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Y:\COTAÇÃO\2025\04. Abril\"/>
    </mc:Choice>
  </mc:AlternateContent>
  <xr:revisionPtr revIDLastSave="0" documentId="13_ncr:1_{2F8A149A-A01C-436C-B0C6-1C5168E46A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stos" sheetId="1" r:id="rId1"/>
    <sheet name="Prod por cliente" sheetId="7" r:id="rId2"/>
    <sheet name="Margens" sheetId="2" r:id="rId3"/>
    <sheet name="Fretes" sheetId="8" r:id="rId4"/>
    <sheet name="Boa Praça" sheetId="6" r:id="rId5"/>
    <sheet name="Cotação" sheetId="5" r:id="rId6"/>
    <sheet name="Assumpnutry" sheetId="9" r:id="rId7"/>
  </sheets>
  <definedNames>
    <definedName name="_xlnm._FilterDatabase" localSheetId="4" hidden="1">'Boa Praça'!$A$2:$P$112</definedName>
    <definedName name="_xlnm._FilterDatabase" localSheetId="5" hidden="1">Cotação!$A$8:$E$8</definedName>
    <definedName name="_xlnm.Print_Titles" localSheetId="5">Cotação!$8:$8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7" i="1" l="1"/>
  <c r="B124" i="7"/>
  <c r="C124" i="7"/>
  <c r="B125" i="7"/>
  <c r="C125" i="7"/>
  <c r="D14" i="1"/>
  <c r="D17" i="1"/>
  <c r="D21" i="1"/>
  <c r="D26" i="1"/>
  <c r="D28" i="1"/>
  <c r="D29" i="1"/>
  <c r="D34" i="1"/>
  <c r="D37" i="1"/>
  <c r="D39" i="1"/>
  <c r="D42" i="1"/>
  <c r="D44" i="1"/>
  <c r="D47" i="1"/>
  <c r="D49" i="1"/>
  <c r="D50" i="1"/>
  <c r="D54" i="1"/>
  <c r="D64" i="1"/>
  <c r="D68" i="1"/>
  <c r="D73" i="1"/>
  <c r="D74" i="1"/>
  <c r="D76" i="1"/>
  <c r="D78" i="1"/>
  <c r="D79" i="1"/>
  <c r="D81" i="1"/>
  <c r="D87" i="1"/>
  <c r="D89" i="1"/>
  <c r="D94" i="1"/>
  <c r="D100" i="1"/>
  <c r="D102" i="1"/>
  <c r="D104" i="1"/>
  <c r="D106" i="1"/>
  <c r="D108" i="1"/>
  <c r="D111" i="1"/>
  <c r="D113" i="1"/>
  <c r="D129" i="1"/>
  <c r="D131" i="1"/>
  <c r="D133" i="1"/>
  <c r="D135" i="1"/>
  <c r="D138" i="1"/>
  <c r="D140" i="1"/>
  <c r="D150" i="1"/>
  <c r="D151" i="1"/>
  <c r="D154" i="1"/>
  <c r="D159" i="1"/>
  <c r="D167" i="1"/>
  <c r="D169" i="1"/>
  <c r="D177" i="1"/>
  <c r="D180" i="1"/>
  <c r="D182" i="1"/>
  <c r="D185" i="1"/>
  <c r="D189" i="1"/>
  <c r="D192" i="1"/>
  <c r="D193" i="1"/>
  <c r="D196" i="1"/>
  <c r="D200" i="1"/>
  <c r="D201" i="1"/>
  <c r="D203" i="1"/>
  <c r="D205" i="1"/>
  <c r="D211" i="1"/>
  <c r="D212" i="1"/>
  <c r="D214" i="1"/>
  <c r="D217" i="1"/>
  <c r="D220" i="1"/>
  <c r="D221" i="1"/>
  <c r="D222" i="1"/>
  <c r="D231" i="1"/>
  <c r="D237" i="1"/>
  <c r="D241" i="1"/>
  <c r="D244" i="1"/>
  <c r="D251" i="1"/>
  <c r="D259" i="1"/>
  <c r="D261" i="1"/>
  <c r="D273" i="1"/>
  <c r="D298" i="1"/>
  <c r="D303" i="1"/>
  <c r="D308" i="1"/>
  <c r="D314" i="1"/>
  <c r="D316" i="1"/>
  <c r="D320" i="1"/>
  <c r="D322" i="1"/>
  <c r="D324" i="1"/>
  <c r="D326" i="1"/>
  <c r="D334" i="1"/>
  <c r="D340" i="1"/>
  <c r="D343" i="1"/>
  <c r="D345" i="1"/>
  <c r="D351" i="1"/>
  <c r="D354" i="1"/>
  <c r="D357" i="1"/>
  <c r="D364" i="1"/>
  <c r="D370" i="1"/>
  <c r="D373" i="1"/>
  <c r="D374" i="1"/>
  <c r="D375" i="1"/>
  <c r="D377" i="1"/>
  <c r="D383" i="1"/>
  <c r="D388" i="1"/>
  <c r="D389" i="1"/>
  <c r="D390" i="1"/>
  <c r="D391" i="1"/>
  <c r="D397" i="1"/>
  <c r="B17" i="7" l="1"/>
  <c r="B21" i="7"/>
  <c r="B26" i="7"/>
  <c r="B28" i="7"/>
  <c r="B29" i="7"/>
  <c r="B34" i="7"/>
  <c r="B37" i="7"/>
  <c r="B39" i="7"/>
  <c r="B47" i="7"/>
  <c r="B102" i="7"/>
  <c r="B108" i="7"/>
  <c r="B111" i="7"/>
  <c r="B138" i="7"/>
  <c r="B150" i="7"/>
  <c r="B151" i="7"/>
  <c r="B159" i="7"/>
  <c r="B167" i="7"/>
  <c r="B169" i="7"/>
  <c r="B177" i="7"/>
  <c r="B189" i="7"/>
  <c r="B217" i="7"/>
  <c r="B241" i="7"/>
  <c r="B273" i="7"/>
  <c r="B340" i="7"/>
  <c r="B343" i="7"/>
  <c r="B345" i="7"/>
  <c r="B351" i="7"/>
  <c r="B354" i="7"/>
  <c r="B357" i="7"/>
  <c r="B377" i="7"/>
  <c r="C17" i="7"/>
  <c r="C21" i="7"/>
  <c r="C26" i="7"/>
  <c r="C28" i="7"/>
  <c r="C29" i="7"/>
  <c r="C34" i="7"/>
  <c r="C37" i="7"/>
  <c r="C39" i="7"/>
  <c r="C47" i="7"/>
  <c r="C102" i="7"/>
  <c r="C108" i="7"/>
  <c r="C111" i="7"/>
  <c r="C138" i="7"/>
  <c r="C150" i="7"/>
  <c r="C151" i="7"/>
  <c r="C159" i="7"/>
  <c r="C167" i="7"/>
  <c r="C169" i="7"/>
  <c r="C177" i="7"/>
  <c r="C189" i="7"/>
  <c r="C217" i="7"/>
  <c r="C241" i="7"/>
  <c r="C273" i="7"/>
  <c r="C340" i="7"/>
  <c r="C343" i="7"/>
  <c r="C345" i="7"/>
  <c r="C351" i="7"/>
  <c r="C354" i="7"/>
  <c r="C357" i="7"/>
  <c r="C377" i="7"/>
  <c r="B335" i="7" l="1"/>
  <c r="C335" i="7"/>
  <c r="B83" i="7"/>
  <c r="C83" i="7"/>
  <c r="B224" i="7"/>
  <c r="C224" i="7"/>
  <c r="B378" i="7"/>
  <c r="C378" i="7"/>
  <c r="B309" i="7" l="1"/>
  <c r="C309" i="7"/>
  <c r="B178" i="7"/>
  <c r="C178" i="7"/>
  <c r="B56" i="7"/>
  <c r="C56" i="7"/>
  <c r="D357" i="5" a="1"/>
  <c r="D357" i="5" s="1"/>
  <c r="D356" i="5" a="1"/>
  <c r="D356" i="5" s="1"/>
  <c r="D355" i="5" a="1"/>
  <c r="D355" i="5" s="1"/>
  <c r="D354" i="5" a="1"/>
  <c r="D354" i="5" s="1"/>
  <c r="D353" i="5" a="1"/>
  <c r="D353" i="5" s="1"/>
  <c r="D352" i="5" a="1"/>
  <c r="D352" i="5" s="1"/>
  <c r="D351" i="5" a="1"/>
  <c r="D351" i="5" s="1"/>
  <c r="D350" i="5" a="1"/>
  <c r="D350" i="5" s="1"/>
  <c r="D349" i="5" a="1"/>
  <c r="D349" i="5" s="1"/>
  <c r="D348" i="5" a="1"/>
  <c r="D348" i="5" s="1"/>
  <c r="D347" i="5" a="1"/>
  <c r="D347" i="5" s="1"/>
  <c r="D346" i="5" a="1"/>
  <c r="D346" i="5" s="1"/>
  <c r="D345" i="5" a="1"/>
  <c r="D345" i="5" s="1"/>
  <c r="D344" i="5" a="1"/>
  <c r="D344" i="5" s="1"/>
  <c r="D343" i="5" a="1"/>
  <c r="D343" i="5" s="1"/>
  <c r="D342" i="5" a="1"/>
  <c r="D342" i="5" s="1"/>
  <c r="D341" i="5" a="1"/>
  <c r="D341" i="5" s="1"/>
  <c r="D340" i="5" a="1"/>
  <c r="D340" i="5" s="1"/>
  <c r="D339" i="5" a="1"/>
  <c r="D339" i="5" s="1"/>
  <c r="D338" i="5" a="1"/>
  <c r="D338" i="5" s="1"/>
  <c r="D337" i="5" a="1"/>
  <c r="D337" i="5" s="1"/>
  <c r="D336" i="5" a="1"/>
  <c r="D336" i="5" s="1"/>
  <c r="D335" i="5" a="1"/>
  <c r="D335" i="5" s="1"/>
  <c r="D334" i="5" a="1"/>
  <c r="D334" i="5" s="1"/>
  <c r="D333" i="5" a="1"/>
  <c r="D333" i="5" s="1"/>
  <c r="D332" i="5" a="1"/>
  <c r="D332" i="5" s="1"/>
  <c r="D331" i="5" a="1"/>
  <c r="D331" i="5" s="1"/>
  <c r="D330" i="5" a="1"/>
  <c r="D330" i="5" s="1"/>
  <c r="D329" i="5" a="1"/>
  <c r="D329" i="5" s="1"/>
  <c r="D328" i="5" a="1"/>
  <c r="D328" i="5" s="1"/>
  <c r="D327" i="5" a="1"/>
  <c r="D327" i="5" s="1"/>
  <c r="D326" i="5" a="1"/>
  <c r="D326" i="5" s="1"/>
  <c r="D325" i="5" a="1"/>
  <c r="D325" i="5" s="1"/>
  <c r="D324" i="5" a="1"/>
  <c r="D324" i="5" s="1"/>
  <c r="D323" i="5" a="1"/>
  <c r="D323" i="5" s="1"/>
  <c r="D322" i="5" a="1"/>
  <c r="D322" i="5" s="1"/>
  <c r="D321" i="5" a="1"/>
  <c r="D321" i="5" s="1"/>
  <c r="D320" i="5" a="1"/>
  <c r="D320" i="5" s="1"/>
  <c r="D319" i="5" a="1"/>
  <c r="D319" i="5" s="1"/>
  <c r="D318" i="5" a="1"/>
  <c r="D318" i="5" s="1"/>
  <c r="D317" i="5" a="1"/>
  <c r="D317" i="5" s="1"/>
  <c r="D316" i="5" a="1"/>
  <c r="D316" i="5" s="1"/>
  <c r="D315" i="5" a="1"/>
  <c r="D315" i="5" s="1"/>
  <c r="D314" i="5" a="1"/>
  <c r="D314" i="5" s="1"/>
  <c r="D313" i="5" a="1"/>
  <c r="D313" i="5" s="1"/>
  <c r="D312" i="5" a="1"/>
  <c r="D312" i="5" s="1"/>
  <c r="D311" i="5" a="1"/>
  <c r="D311" i="5" s="1"/>
  <c r="D310" i="5" a="1"/>
  <c r="D310" i="5" s="1"/>
  <c r="D309" i="5" a="1"/>
  <c r="D309" i="5" s="1"/>
  <c r="D308" i="5" a="1"/>
  <c r="D308" i="5" s="1"/>
  <c r="D307" i="5" a="1"/>
  <c r="D307" i="5" s="1"/>
  <c r="D306" i="5" a="1"/>
  <c r="D306" i="5" s="1"/>
  <c r="D305" i="5" a="1"/>
  <c r="D305" i="5" s="1"/>
  <c r="D304" i="5" a="1"/>
  <c r="D304" i="5" s="1"/>
  <c r="D303" i="5" a="1"/>
  <c r="D303" i="5" s="1"/>
  <c r="D302" i="5" a="1"/>
  <c r="D302" i="5" s="1"/>
  <c r="D301" i="5" a="1"/>
  <c r="D301" i="5" s="1"/>
  <c r="D300" i="5" a="1"/>
  <c r="D300" i="5" s="1"/>
  <c r="D299" i="5" a="1"/>
  <c r="D299" i="5" s="1"/>
  <c r="D298" i="5" a="1"/>
  <c r="D298" i="5" s="1"/>
  <c r="D297" i="5" a="1"/>
  <c r="D297" i="5" s="1"/>
  <c r="D296" i="5" a="1"/>
  <c r="D296" i="5" s="1"/>
  <c r="D295" i="5" a="1"/>
  <c r="D295" i="5" s="1"/>
  <c r="D294" i="5" a="1"/>
  <c r="D294" i="5" s="1"/>
  <c r="D293" i="5" a="1"/>
  <c r="D293" i="5" s="1"/>
  <c r="D292" i="5" a="1"/>
  <c r="D292" i="5" s="1"/>
  <c r="D291" i="5" a="1"/>
  <c r="D291" i="5" s="1"/>
  <c r="D290" i="5" a="1"/>
  <c r="D290" i="5" s="1"/>
  <c r="D289" i="5" a="1"/>
  <c r="D289" i="5" s="1"/>
  <c r="D288" i="5" a="1"/>
  <c r="D288" i="5" s="1"/>
  <c r="D287" i="5" a="1"/>
  <c r="D287" i="5" s="1"/>
  <c r="D286" i="5" a="1"/>
  <c r="D286" i="5" s="1"/>
  <c r="C358" i="8" l="1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  <c r="B358" i="8"/>
  <c r="B357" i="8"/>
  <c r="B356" i="8"/>
  <c r="B355" i="8"/>
  <c r="B354" i="8"/>
  <c r="B353" i="8"/>
  <c r="B352" i="8"/>
  <c r="B351" i="8"/>
  <c r="B350" i="8"/>
  <c r="B349" i="8"/>
  <c r="B348" i="8"/>
  <c r="B347" i="8"/>
  <c r="B346" i="8"/>
  <c r="B345" i="8"/>
  <c r="B344" i="8"/>
  <c r="B343" i="8"/>
  <c r="B342" i="8"/>
  <c r="B341" i="8"/>
  <c r="B340" i="8"/>
  <c r="B339" i="8"/>
  <c r="B338" i="8"/>
  <c r="B337" i="8"/>
  <c r="B336" i="8"/>
  <c r="B335" i="8"/>
  <c r="B334" i="8"/>
  <c r="B333" i="8"/>
  <c r="B332" i="8"/>
  <c r="B331" i="8"/>
  <c r="B330" i="8"/>
  <c r="B329" i="8"/>
  <c r="B328" i="8"/>
  <c r="B327" i="8"/>
  <c r="B326" i="8"/>
  <c r="B325" i="8"/>
  <c r="B324" i="8"/>
  <c r="B323" i="8"/>
  <c r="B322" i="8"/>
  <c r="B321" i="8"/>
  <c r="B320" i="8"/>
  <c r="B319" i="8"/>
  <c r="B318" i="8"/>
  <c r="B317" i="8"/>
  <c r="B316" i="8"/>
  <c r="B315" i="8"/>
  <c r="B314" i="8"/>
  <c r="B313" i="8"/>
  <c r="B312" i="8"/>
  <c r="B311" i="8"/>
  <c r="B310" i="8"/>
  <c r="B309" i="8"/>
  <c r="B308" i="8"/>
  <c r="B307" i="8"/>
  <c r="B306" i="8"/>
  <c r="B305" i="8"/>
  <c r="B304" i="8"/>
  <c r="B303" i="8"/>
  <c r="B302" i="8"/>
  <c r="B301" i="8"/>
  <c r="B300" i="8"/>
  <c r="B299" i="8"/>
  <c r="B298" i="8"/>
  <c r="B297" i="8"/>
  <c r="B296" i="8"/>
  <c r="B295" i="8"/>
  <c r="B294" i="8"/>
  <c r="B293" i="8"/>
  <c r="B292" i="8"/>
  <c r="B291" i="8"/>
  <c r="B290" i="8"/>
  <c r="B289" i="8"/>
  <c r="B288" i="8"/>
  <c r="B287" i="8"/>
  <c r="B286" i="8"/>
  <c r="B285" i="8"/>
  <c r="B284" i="8"/>
  <c r="B283" i="8"/>
  <c r="B282" i="8"/>
  <c r="B281" i="8"/>
  <c r="B280" i="8"/>
  <c r="B279" i="8"/>
  <c r="B278" i="8"/>
  <c r="B277" i="8"/>
  <c r="B276" i="8"/>
  <c r="B275" i="8"/>
  <c r="B274" i="8"/>
  <c r="B273" i="8"/>
  <c r="B272" i="8"/>
  <c r="B271" i="8"/>
  <c r="B270" i="8"/>
  <c r="B269" i="8"/>
  <c r="B268" i="8"/>
  <c r="B267" i="8"/>
  <c r="B266" i="8"/>
  <c r="B265" i="8"/>
  <c r="B264" i="8"/>
  <c r="B263" i="8"/>
  <c r="B262" i="8"/>
  <c r="B261" i="8"/>
  <c r="B260" i="8"/>
  <c r="B259" i="8"/>
  <c r="B258" i="8"/>
  <c r="B257" i="8"/>
  <c r="B256" i="8"/>
  <c r="B255" i="8"/>
  <c r="B254" i="8"/>
  <c r="B253" i="8"/>
  <c r="B252" i="8"/>
  <c r="B251" i="8"/>
  <c r="B250" i="8"/>
  <c r="B249" i="8"/>
  <c r="B248" i="8"/>
  <c r="B247" i="8"/>
  <c r="B246" i="8"/>
  <c r="B245" i="8"/>
  <c r="B244" i="8"/>
  <c r="B243" i="8"/>
  <c r="B242" i="8"/>
  <c r="B241" i="8"/>
  <c r="B240" i="8"/>
  <c r="B239" i="8"/>
  <c r="B238" i="8"/>
  <c r="B237" i="8"/>
  <c r="B236" i="8"/>
  <c r="B235" i="8"/>
  <c r="B234" i="8"/>
  <c r="B233" i="8"/>
  <c r="B232" i="8"/>
  <c r="B231" i="8"/>
  <c r="B230" i="8"/>
  <c r="B229" i="8"/>
  <c r="B228" i="8"/>
  <c r="B227" i="8"/>
  <c r="B226" i="8"/>
  <c r="B225" i="8"/>
  <c r="B224" i="8"/>
  <c r="B223" i="8"/>
  <c r="B222" i="8"/>
  <c r="B221" i="8"/>
  <c r="B220" i="8"/>
  <c r="B219" i="8"/>
  <c r="B218" i="8"/>
  <c r="B217" i="8"/>
  <c r="B216" i="8"/>
  <c r="B215" i="8"/>
  <c r="B214" i="8"/>
  <c r="B213" i="8"/>
  <c r="B212" i="8"/>
  <c r="B211" i="8"/>
  <c r="B210" i="8"/>
  <c r="B209" i="8"/>
  <c r="B208" i="8"/>
  <c r="B207" i="8"/>
  <c r="B206" i="8"/>
  <c r="B205" i="8"/>
  <c r="B204" i="8"/>
  <c r="B203" i="8"/>
  <c r="B202" i="8"/>
  <c r="B201" i="8"/>
  <c r="B200" i="8"/>
  <c r="B199" i="8"/>
  <c r="B198" i="8"/>
  <c r="B197" i="8"/>
  <c r="B196" i="8"/>
  <c r="B195" i="8"/>
  <c r="B194" i="8"/>
  <c r="B193" i="8"/>
  <c r="B192" i="8"/>
  <c r="B191" i="8"/>
  <c r="B190" i="8"/>
  <c r="B189" i="8"/>
  <c r="B188" i="8"/>
  <c r="B187" i="8"/>
  <c r="B186" i="8"/>
  <c r="B185" i="8"/>
  <c r="B184" i="8"/>
  <c r="B183" i="8"/>
  <c r="B182" i="8"/>
  <c r="B181" i="8"/>
  <c r="B180" i="8"/>
  <c r="B179" i="8"/>
  <c r="B178" i="8"/>
  <c r="B177" i="8"/>
  <c r="B176" i="8"/>
  <c r="B175" i="8"/>
  <c r="B174" i="8"/>
  <c r="B173" i="8"/>
  <c r="B172" i="8"/>
  <c r="B171" i="8"/>
  <c r="B170" i="8"/>
  <c r="B169" i="8"/>
  <c r="B168" i="8"/>
  <c r="B167" i="8"/>
  <c r="B166" i="8"/>
  <c r="B165" i="8"/>
  <c r="B164" i="8"/>
  <c r="B163" i="8"/>
  <c r="B162" i="8"/>
  <c r="B161" i="8"/>
  <c r="B160" i="8"/>
  <c r="B159" i="8"/>
  <c r="B158" i="8"/>
  <c r="B157" i="8"/>
  <c r="B156" i="8"/>
  <c r="B155" i="8"/>
  <c r="B154" i="8"/>
  <c r="B153" i="8"/>
  <c r="B152" i="8"/>
  <c r="B151" i="8"/>
  <c r="B150" i="8"/>
  <c r="B149" i="8"/>
  <c r="B148" i="8"/>
  <c r="B147" i="8"/>
  <c r="B146" i="8"/>
  <c r="B145" i="8"/>
  <c r="B144" i="8"/>
  <c r="B143" i="8"/>
  <c r="B142" i="8"/>
  <c r="B141" i="8"/>
  <c r="B140" i="8"/>
  <c r="B139" i="8"/>
  <c r="B138" i="8"/>
  <c r="B137" i="8"/>
  <c r="B136" i="8"/>
  <c r="B135" i="8"/>
  <c r="B134" i="8"/>
  <c r="B133" i="8"/>
  <c r="B132" i="8"/>
  <c r="B131" i="8"/>
  <c r="B130" i="8"/>
  <c r="B129" i="8"/>
  <c r="B128" i="8"/>
  <c r="B127" i="8"/>
  <c r="B126" i="8"/>
  <c r="B125" i="8"/>
  <c r="B124" i="8"/>
  <c r="B123" i="8"/>
  <c r="B122" i="8"/>
  <c r="B121" i="8"/>
  <c r="B120" i="8"/>
  <c r="B119" i="8"/>
  <c r="B118" i="8"/>
  <c r="B117" i="8"/>
  <c r="B116" i="8"/>
  <c r="B115" i="8"/>
  <c r="B114" i="8"/>
  <c r="B113" i="8"/>
  <c r="B112" i="8"/>
  <c r="B111" i="8"/>
  <c r="B110" i="8"/>
  <c r="B109" i="8"/>
  <c r="B108" i="8"/>
  <c r="B107" i="8"/>
  <c r="B106" i="8"/>
  <c r="B105" i="8"/>
  <c r="B104" i="8"/>
  <c r="B103" i="8"/>
  <c r="B102" i="8"/>
  <c r="B101" i="8"/>
  <c r="B100" i="8"/>
  <c r="B99" i="8"/>
  <c r="B98" i="8"/>
  <c r="B97" i="8"/>
  <c r="B96" i="8"/>
  <c r="B95" i="8"/>
  <c r="B94" i="8"/>
  <c r="B93" i="8"/>
  <c r="B92" i="8"/>
  <c r="B91" i="8"/>
  <c r="B90" i="8"/>
  <c r="B89" i="8"/>
  <c r="B88" i="8"/>
  <c r="B87" i="8"/>
  <c r="B86" i="8"/>
  <c r="B85" i="8"/>
  <c r="B84" i="8"/>
  <c r="B83" i="8"/>
  <c r="B82" i="8"/>
  <c r="B81" i="8"/>
  <c r="B80" i="8"/>
  <c r="B79" i="8"/>
  <c r="B78" i="8"/>
  <c r="B77" i="8"/>
  <c r="B76" i="8"/>
  <c r="B75" i="8"/>
  <c r="B74" i="8"/>
  <c r="B73" i="8"/>
  <c r="B72" i="8"/>
  <c r="B71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" i="8"/>
  <c r="B129" i="7"/>
  <c r="C129" i="7"/>
  <c r="B128" i="7"/>
  <c r="C128" i="7"/>
  <c r="G9" i="5"/>
  <c r="B144" i="7"/>
  <c r="C144" i="7"/>
  <c r="B52" i="7"/>
  <c r="C52" i="7"/>
  <c r="B209" i="7"/>
  <c r="C209" i="7"/>
  <c r="B146" i="7"/>
  <c r="C146" i="7"/>
  <c r="B347" i="7"/>
  <c r="C347" i="7"/>
  <c r="B90" i="7"/>
  <c r="C90" i="7"/>
  <c r="B331" i="7"/>
  <c r="C331" i="7"/>
  <c r="B107" i="7" l="1"/>
  <c r="C107" i="7"/>
  <c r="B45" i="7"/>
  <c r="C45" i="7"/>
  <c r="B308" i="7"/>
  <c r="C308" i="7"/>
  <c r="B54" i="7"/>
  <c r="C54" i="7"/>
  <c r="I3" i="6"/>
  <c r="I4" i="6"/>
  <c r="J4" i="6" s="1"/>
  <c r="I5" i="6"/>
  <c r="J5" i="6" s="1"/>
  <c r="I6" i="6"/>
  <c r="J6" i="6" s="1"/>
  <c r="I7" i="6"/>
  <c r="J7" i="6" s="1"/>
  <c r="I8" i="6"/>
  <c r="J8" i="6" s="1"/>
  <c r="I9" i="6"/>
  <c r="J9" i="6" s="1"/>
  <c r="I10" i="6"/>
  <c r="J10" i="6" s="1"/>
  <c r="I11" i="6"/>
  <c r="J11" i="6" s="1"/>
  <c r="I12" i="6"/>
  <c r="J12" i="6" s="1"/>
  <c r="I13" i="6"/>
  <c r="J13" i="6" s="1"/>
  <c r="I14" i="6"/>
  <c r="J14" i="6" s="1"/>
  <c r="I15" i="6"/>
  <c r="J15" i="6" s="1"/>
  <c r="I16" i="6"/>
  <c r="J16" i="6" s="1"/>
  <c r="I17" i="6"/>
  <c r="J17" i="6" s="1"/>
  <c r="I18" i="6"/>
  <c r="J18" i="6" s="1"/>
  <c r="I19" i="6"/>
  <c r="J19" i="6" s="1"/>
  <c r="I20" i="6"/>
  <c r="J20" i="6" s="1"/>
  <c r="I21" i="6"/>
  <c r="J21" i="6" s="1"/>
  <c r="I22" i="6"/>
  <c r="J22" i="6" s="1"/>
  <c r="I23" i="6"/>
  <c r="J23" i="6" s="1"/>
  <c r="I24" i="6"/>
  <c r="J24" i="6" s="1"/>
  <c r="I25" i="6"/>
  <c r="J25" i="6" s="1"/>
  <c r="I26" i="6"/>
  <c r="J26" i="6" s="1"/>
  <c r="I27" i="6"/>
  <c r="J27" i="6" s="1"/>
  <c r="I28" i="6"/>
  <c r="J28" i="6" s="1"/>
  <c r="I29" i="6"/>
  <c r="J29" i="6" s="1"/>
  <c r="I30" i="6"/>
  <c r="J30" i="6" s="1"/>
  <c r="I31" i="6"/>
  <c r="J31" i="6" s="1"/>
  <c r="I32" i="6"/>
  <c r="J32" i="6" s="1"/>
  <c r="I33" i="6"/>
  <c r="J33" i="6" s="1"/>
  <c r="I34" i="6"/>
  <c r="J34" i="6" s="1"/>
  <c r="I35" i="6"/>
  <c r="J35" i="6" s="1"/>
  <c r="I36" i="6"/>
  <c r="J36" i="6" s="1"/>
  <c r="I37" i="6"/>
  <c r="J37" i="6" s="1"/>
  <c r="I38" i="6"/>
  <c r="J38" i="6" s="1"/>
  <c r="I39" i="6"/>
  <c r="J39" i="6" s="1"/>
  <c r="I40" i="6"/>
  <c r="J40" i="6" s="1"/>
  <c r="I41" i="6"/>
  <c r="J41" i="6" s="1"/>
  <c r="I42" i="6"/>
  <c r="J42" i="6" s="1"/>
  <c r="I43" i="6"/>
  <c r="J43" i="6" s="1"/>
  <c r="I44" i="6"/>
  <c r="J44" i="6" s="1"/>
  <c r="I45" i="6"/>
  <c r="J45" i="6" s="1"/>
  <c r="I46" i="6"/>
  <c r="J46" i="6" s="1"/>
  <c r="I47" i="6"/>
  <c r="J47" i="6" s="1"/>
  <c r="I48" i="6"/>
  <c r="J48" i="6" s="1"/>
  <c r="I49" i="6"/>
  <c r="J49" i="6" s="1"/>
  <c r="I50" i="6"/>
  <c r="J50" i="6" s="1"/>
  <c r="I51" i="6"/>
  <c r="J51" i="6" s="1"/>
  <c r="I52" i="6"/>
  <c r="J52" i="6" s="1"/>
  <c r="I54" i="6"/>
  <c r="J54" i="6" s="1"/>
  <c r="I55" i="6"/>
  <c r="J55" i="6" s="1"/>
  <c r="I56" i="6"/>
  <c r="J56" i="6" s="1"/>
  <c r="I57" i="6"/>
  <c r="J57" i="6" s="1"/>
  <c r="I58" i="6"/>
  <c r="J58" i="6" s="1"/>
  <c r="I59" i="6"/>
  <c r="J59" i="6" s="1"/>
  <c r="I60" i="6"/>
  <c r="J60" i="6" s="1"/>
  <c r="I61" i="6"/>
  <c r="J61" i="6" s="1"/>
  <c r="I62" i="6"/>
  <c r="J62" i="6" s="1"/>
  <c r="I63" i="6"/>
  <c r="J63" i="6" s="1"/>
  <c r="I64" i="6"/>
  <c r="J64" i="6" s="1"/>
  <c r="I65" i="6"/>
  <c r="J65" i="6" s="1"/>
  <c r="I66" i="6"/>
  <c r="J66" i="6" s="1"/>
  <c r="I67" i="6"/>
  <c r="J67" i="6" s="1"/>
  <c r="I68" i="6"/>
  <c r="J68" i="6" s="1"/>
  <c r="I69" i="6"/>
  <c r="J69" i="6" s="1"/>
  <c r="I70" i="6"/>
  <c r="J70" i="6" s="1"/>
  <c r="I71" i="6"/>
  <c r="J71" i="6" s="1"/>
  <c r="I72" i="6"/>
  <c r="J72" i="6" s="1"/>
  <c r="I73" i="6"/>
  <c r="J73" i="6" s="1"/>
  <c r="I74" i="6"/>
  <c r="J74" i="6" s="1"/>
  <c r="I76" i="6"/>
  <c r="J76" i="6" s="1"/>
  <c r="I77" i="6"/>
  <c r="J77" i="6" s="1"/>
  <c r="I78" i="6"/>
  <c r="J78" i="6" s="1"/>
  <c r="I79" i="6"/>
  <c r="J79" i="6" s="1"/>
  <c r="I80" i="6"/>
  <c r="J80" i="6" s="1"/>
  <c r="I81" i="6"/>
  <c r="J81" i="6" s="1"/>
  <c r="I82" i="6"/>
  <c r="J82" i="6" s="1"/>
  <c r="I83" i="6"/>
  <c r="J83" i="6" s="1"/>
  <c r="I84" i="6"/>
  <c r="J84" i="6" s="1"/>
  <c r="I85" i="6"/>
  <c r="J85" i="6" s="1"/>
  <c r="I86" i="6"/>
  <c r="J86" i="6" s="1"/>
  <c r="I87" i="6"/>
  <c r="J87" i="6" s="1"/>
  <c r="I88" i="6"/>
  <c r="J88" i="6" s="1"/>
  <c r="I89" i="6"/>
  <c r="J89" i="6" s="1"/>
  <c r="I90" i="6"/>
  <c r="J90" i="6" s="1"/>
  <c r="I91" i="6"/>
  <c r="J91" i="6" s="1"/>
  <c r="I92" i="6"/>
  <c r="J92" i="6" s="1"/>
  <c r="I93" i="6"/>
  <c r="J93" i="6" s="1"/>
  <c r="I94" i="6"/>
  <c r="J94" i="6" s="1"/>
  <c r="I95" i="6"/>
  <c r="J95" i="6" s="1"/>
  <c r="I96" i="6"/>
  <c r="J96" i="6" s="1"/>
  <c r="I97" i="6"/>
  <c r="J97" i="6" s="1"/>
  <c r="I98" i="6"/>
  <c r="J98" i="6" s="1"/>
  <c r="I99" i="6"/>
  <c r="J99" i="6" s="1"/>
  <c r="I100" i="6"/>
  <c r="J100" i="6" s="1"/>
  <c r="I101" i="6"/>
  <c r="J101" i="6" s="1"/>
  <c r="I102" i="6"/>
  <c r="J102" i="6" s="1"/>
  <c r="I103" i="6"/>
  <c r="J103" i="6" s="1"/>
  <c r="I104" i="6"/>
  <c r="J104" i="6" s="1"/>
  <c r="I105" i="6"/>
  <c r="J105" i="6" s="1"/>
  <c r="I106" i="6"/>
  <c r="J106" i="6" s="1"/>
  <c r="I107" i="6"/>
  <c r="J107" i="6" s="1"/>
  <c r="I108" i="6"/>
  <c r="J108" i="6" s="1"/>
  <c r="I110" i="6"/>
  <c r="J110" i="6" s="1"/>
  <c r="I111" i="6"/>
  <c r="J111" i="6" s="1"/>
  <c r="B257" i="7"/>
  <c r="C257" i="7"/>
  <c r="B50" i="7"/>
  <c r="C50" i="7"/>
  <c r="B48" i="7"/>
  <c r="C48" i="7"/>
  <c r="B73" i="7"/>
  <c r="C73" i="7"/>
  <c r="B97" i="7"/>
  <c r="C97" i="7"/>
  <c r="B134" i="7"/>
  <c r="C134" i="7"/>
  <c r="B130" i="7"/>
  <c r="C130" i="7"/>
  <c r="I53" i="6" l="1"/>
  <c r="J53" i="6" s="1"/>
  <c r="I75" i="6"/>
  <c r="J75" i="6" s="1"/>
  <c r="I109" i="6"/>
  <c r="J109" i="6" s="1"/>
  <c r="B360" i="7"/>
  <c r="C360" i="7"/>
  <c r="B114" i="7"/>
  <c r="C114" i="7"/>
  <c r="L106" i="6"/>
  <c r="K106" i="6"/>
  <c r="K107" i="6" l="1"/>
  <c r="K96" i="6"/>
  <c r="K93" i="6"/>
  <c r="K105" i="6"/>
  <c r="K101" i="6"/>
  <c r="K102" i="6"/>
  <c r="K103" i="6"/>
  <c r="K104" i="6"/>
  <c r="K108" i="6"/>
  <c r="K109" i="6"/>
  <c r="K110" i="6"/>
  <c r="K111" i="6"/>
  <c r="B91" i="7"/>
  <c r="C91" i="7"/>
  <c r="B181" i="7"/>
  <c r="C181" i="7"/>
  <c r="B191" i="7"/>
  <c r="C191" i="7"/>
  <c r="B105" i="7"/>
  <c r="C105" i="7"/>
  <c r="B86" i="7"/>
  <c r="C86" i="7"/>
  <c r="B301" i="7"/>
  <c r="B300" i="7"/>
  <c r="C301" i="7"/>
  <c r="C300" i="7"/>
  <c r="J3" i="6" l="1"/>
  <c r="L3" i="6" s="1"/>
  <c r="K3" i="6"/>
  <c r="B71" i="7"/>
  <c r="C71" i="7"/>
  <c r="I112" i="6" l="1"/>
  <c r="J112" i="6" s="1"/>
  <c r="H4" i="5"/>
  <c r="K112" i="6" l="1"/>
  <c r="P112" i="6"/>
  <c r="B381" i="7"/>
  <c r="C381" i="7"/>
  <c r="B362" i="7" l="1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9" i="7"/>
  <c r="B380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9" i="7"/>
  <c r="C380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B361" i="7"/>
  <c r="C361" i="7"/>
  <c r="C3" i="7" l="1"/>
  <c r="C6" i="7"/>
  <c r="C7" i="7"/>
  <c r="C10" i="7"/>
  <c r="C11" i="7"/>
  <c r="C14" i="7"/>
  <c r="C15" i="7"/>
  <c r="C16" i="7"/>
  <c r="C18" i="7"/>
  <c r="C19" i="7"/>
  <c r="C20" i="7"/>
  <c r="C22" i="7"/>
  <c r="C23" i="7"/>
  <c r="C24" i="7"/>
  <c r="C25" i="7"/>
  <c r="C27" i="7"/>
  <c r="C30" i="7"/>
  <c r="C31" i="7"/>
  <c r="C32" i="7"/>
  <c r="C36" i="7"/>
  <c r="C38" i="7"/>
  <c r="C40" i="7"/>
  <c r="C43" i="7"/>
  <c r="C44" i="7"/>
  <c r="C46" i="7"/>
  <c r="C49" i="7"/>
  <c r="C41" i="7"/>
  <c r="C42" i="7"/>
  <c r="C51" i="7"/>
  <c r="C53" i="7"/>
  <c r="C55" i="7"/>
  <c r="C57" i="7"/>
  <c r="C58" i="7"/>
  <c r="C59" i="7"/>
  <c r="C60" i="7"/>
  <c r="C61" i="7"/>
  <c r="C62" i="7"/>
  <c r="C63" i="7"/>
  <c r="C64" i="7"/>
  <c r="C69" i="7"/>
  <c r="B65" i="7"/>
  <c r="C66" i="7"/>
  <c r="C67" i="7"/>
  <c r="C68" i="7"/>
  <c r="C70" i="7"/>
  <c r="C72" i="7"/>
  <c r="C74" i="7"/>
  <c r="C75" i="7"/>
  <c r="C76" i="7"/>
  <c r="C77" i="7"/>
  <c r="C78" i="7"/>
  <c r="C79" i="7"/>
  <c r="C80" i="7"/>
  <c r="C81" i="7"/>
  <c r="C82" i="7"/>
  <c r="C84" i="7"/>
  <c r="B85" i="7"/>
  <c r="C87" i="7"/>
  <c r="C88" i="7"/>
  <c r="C89" i="7"/>
  <c r="C92" i="7"/>
  <c r="C93" i="7"/>
  <c r="C94" i="7"/>
  <c r="C95" i="7"/>
  <c r="C96" i="7"/>
  <c r="C98" i="7"/>
  <c r="C99" i="7"/>
  <c r="C100" i="7"/>
  <c r="C101" i="7"/>
  <c r="C103" i="7"/>
  <c r="C104" i="7"/>
  <c r="C106" i="7"/>
  <c r="C109" i="7"/>
  <c r="C110" i="7"/>
  <c r="C112" i="7"/>
  <c r="C113" i="7"/>
  <c r="C115" i="7"/>
  <c r="C116" i="7"/>
  <c r="C117" i="7"/>
  <c r="C118" i="7"/>
  <c r="C119" i="7"/>
  <c r="C120" i="7"/>
  <c r="C121" i="7"/>
  <c r="C122" i="7"/>
  <c r="C123" i="7"/>
  <c r="C126" i="7"/>
  <c r="C127" i="7"/>
  <c r="C131" i="7"/>
  <c r="C132" i="7"/>
  <c r="C133" i="7"/>
  <c r="C135" i="7"/>
  <c r="C136" i="7"/>
  <c r="C137" i="7"/>
  <c r="C147" i="7"/>
  <c r="C139" i="7"/>
  <c r="C140" i="7"/>
  <c r="C141" i="7"/>
  <c r="C142" i="7"/>
  <c r="C143" i="7"/>
  <c r="C145" i="7"/>
  <c r="C148" i="7"/>
  <c r="C149" i="7"/>
  <c r="C152" i="7"/>
  <c r="C153" i="7"/>
  <c r="B154" i="7"/>
  <c r="C155" i="7"/>
  <c r="C156" i="7"/>
  <c r="C157" i="7"/>
  <c r="C158" i="7"/>
  <c r="C160" i="7"/>
  <c r="C161" i="7"/>
  <c r="C162" i="7"/>
  <c r="C163" i="7"/>
  <c r="C164" i="7"/>
  <c r="C165" i="7"/>
  <c r="C166" i="7"/>
  <c r="C168" i="7"/>
  <c r="C33" i="7"/>
  <c r="C35" i="7"/>
  <c r="C170" i="7"/>
  <c r="C171" i="7"/>
  <c r="C172" i="7"/>
  <c r="C174" i="7"/>
  <c r="C173" i="7"/>
  <c r="C175" i="7"/>
  <c r="C176" i="7"/>
  <c r="C179" i="7"/>
  <c r="C180" i="7"/>
  <c r="C182" i="7"/>
  <c r="C183" i="7"/>
  <c r="C184" i="7"/>
  <c r="C185" i="7"/>
  <c r="C186" i="7"/>
  <c r="C187" i="7"/>
  <c r="C188" i="7"/>
  <c r="C190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B205" i="7"/>
  <c r="C206" i="7"/>
  <c r="C207" i="7"/>
  <c r="C208" i="7"/>
  <c r="C210" i="7"/>
  <c r="C211" i="7"/>
  <c r="C212" i="7"/>
  <c r="C213" i="7"/>
  <c r="C214" i="7"/>
  <c r="C215" i="7"/>
  <c r="C216" i="7"/>
  <c r="C218" i="7"/>
  <c r="C219" i="7"/>
  <c r="C220" i="7"/>
  <c r="C221" i="7"/>
  <c r="C222" i="7"/>
  <c r="B223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4" i="7"/>
  <c r="C275" i="7"/>
  <c r="C276" i="7"/>
  <c r="C277" i="7"/>
  <c r="B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B296" i="7"/>
  <c r="C297" i="7"/>
  <c r="C298" i="7"/>
  <c r="C299" i="7"/>
  <c r="C302" i="7"/>
  <c r="C303" i="7"/>
  <c r="C304" i="7"/>
  <c r="C305" i="7"/>
  <c r="C306" i="7"/>
  <c r="C307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B332" i="7"/>
  <c r="C333" i="7"/>
  <c r="C334" i="7"/>
  <c r="C336" i="7"/>
  <c r="C337" i="7"/>
  <c r="C338" i="7"/>
  <c r="C339" i="7"/>
  <c r="C341" i="7"/>
  <c r="C342" i="7"/>
  <c r="C344" i="7"/>
  <c r="C346" i="7"/>
  <c r="C348" i="7"/>
  <c r="C349" i="7"/>
  <c r="C350" i="7"/>
  <c r="C352" i="7"/>
  <c r="C353" i="7"/>
  <c r="C355" i="7"/>
  <c r="C356" i="7"/>
  <c r="C358" i="7"/>
  <c r="C359" i="7"/>
  <c r="C2" i="7"/>
  <c r="K74" i="6"/>
  <c r="K100" i="6"/>
  <c r="K99" i="6"/>
  <c r="K98" i="6"/>
  <c r="K97" i="6"/>
  <c r="K95" i="6"/>
  <c r="K94" i="6"/>
  <c r="K92" i="6"/>
  <c r="K91" i="6"/>
  <c r="K90" i="6"/>
  <c r="K89" i="6"/>
  <c r="K88" i="6"/>
  <c r="K87" i="6"/>
  <c r="K86" i="6"/>
  <c r="K85" i="6"/>
  <c r="K84" i="6"/>
  <c r="K83" i="6"/>
  <c r="K82" i="6"/>
  <c r="K81" i="6"/>
  <c r="K80" i="6"/>
  <c r="K79" i="6"/>
  <c r="K78" i="6"/>
  <c r="K77" i="6"/>
  <c r="K76" i="6"/>
  <c r="K75" i="6"/>
  <c r="K73" i="6"/>
  <c r="K72" i="6"/>
  <c r="K71" i="6"/>
  <c r="K70" i="6"/>
  <c r="K69" i="6"/>
  <c r="K68" i="6"/>
  <c r="K67" i="6"/>
  <c r="K66" i="6"/>
  <c r="K65" i="6"/>
  <c r="K64" i="6"/>
  <c r="K63" i="6"/>
  <c r="K62" i="6"/>
  <c r="K61" i="6"/>
  <c r="K60" i="6"/>
  <c r="K59" i="6"/>
  <c r="K58" i="6"/>
  <c r="K57" i="6"/>
  <c r="K56" i="6"/>
  <c r="K55" i="6"/>
  <c r="K54" i="6"/>
  <c r="K53" i="6"/>
  <c r="K52" i="6"/>
  <c r="K51" i="6"/>
  <c r="K50" i="6"/>
  <c r="K49" i="6"/>
  <c r="K48" i="6"/>
  <c r="K46" i="6"/>
  <c r="K45" i="6"/>
  <c r="K44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H3" i="5"/>
  <c r="K47" i="6" l="1"/>
  <c r="B236" i="7"/>
  <c r="B148" i="7"/>
  <c r="B270" i="7"/>
  <c r="B101" i="7"/>
  <c r="B324" i="7"/>
  <c r="B201" i="7"/>
  <c r="B62" i="7"/>
  <c r="B293" i="7"/>
  <c r="B166" i="7"/>
  <c r="B14" i="7"/>
  <c r="B356" i="7"/>
  <c r="B316" i="7"/>
  <c r="B262" i="7"/>
  <c r="B228" i="7"/>
  <c r="B193" i="7"/>
  <c r="B137" i="7"/>
  <c r="B92" i="7"/>
  <c r="B51" i="7"/>
  <c r="C223" i="7"/>
  <c r="B344" i="7"/>
  <c r="B306" i="7"/>
  <c r="B287" i="7"/>
  <c r="B253" i="7"/>
  <c r="B219" i="7"/>
  <c r="B183" i="7"/>
  <c r="B123" i="7"/>
  <c r="B80" i="7"/>
  <c r="B38" i="7"/>
  <c r="B333" i="7"/>
  <c r="B297" i="7"/>
  <c r="B279" i="7"/>
  <c r="B245" i="7"/>
  <c r="B210" i="7"/>
  <c r="B172" i="7"/>
  <c r="B157" i="7"/>
  <c r="B115" i="7"/>
  <c r="B70" i="7"/>
  <c r="B23" i="7"/>
  <c r="C85" i="7"/>
  <c r="C332" i="7"/>
  <c r="C296" i="7"/>
  <c r="C278" i="7"/>
  <c r="B355" i="7"/>
  <c r="B342" i="7"/>
  <c r="B323" i="7"/>
  <c r="B315" i="7"/>
  <c r="B305" i="7"/>
  <c r="B286" i="7"/>
  <c r="B269" i="7"/>
  <c r="B261" i="7"/>
  <c r="B252" i="7"/>
  <c r="B244" i="7"/>
  <c r="B235" i="7"/>
  <c r="B227" i="7"/>
  <c r="B218" i="7"/>
  <c r="B208" i="7"/>
  <c r="B200" i="7"/>
  <c r="B192" i="7"/>
  <c r="B182" i="7"/>
  <c r="B171" i="7"/>
  <c r="B165" i="7"/>
  <c r="B156" i="7"/>
  <c r="B145" i="7"/>
  <c r="B136" i="7"/>
  <c r="B122" i="7"/>
  <c r="B113" i="7"/>
  <c r="B100" i="7"/>
  <c r="B89" i="7"/>
  <c r="B79" i="7"/>
  <c r="B68" i="7"/>
  <c r="B61" i="7"/>
  <c r="B42" i="7"/>
  <c r="B36" i="7"/>
  <c r="B22" i="7"/>
  <c r="B6" i="7"/>
  <c r="C205" i="7"/>
  <c r="C154" i="7"/>
  <c r="C65" i="7"/>
  <c r="B350" i="7"/>
  <c r="B338" i="7"/>
  <c r="B328" i="7"/>
  <c r="B320" i="7"/>
  <c r="B312" i="7"/>
  <c r="B302" i="7"/>
  <c r="B291" i="7"/>
  <c r="B283" i="7"/>
  <c r="B275" i="7"/>
  <c r="B266" i="7"/>
  <c r="B258" i="7"/>
  <c r="B249" i="7"/>
  <c r="B240" i="7"/>
  <c r="B232" i="7"/>
  <c r="B214" i="7"/>
  <c r="B197" i="7"/>
  <c r="B187" i="7"/>
  <c r="B176" i="7"/>
  <c r="B33" i="7"/>
  <c r="B162" i="7"/>
  <c r="B141" i="7"/>
  <c r="B132" i="7"/>
  <c r="B119" i="7"/>
  <c r="B109" i="7"/>
  <c r="B96" i="7"/>
  <c r="B76" i="7"/>
  <c r="B58" i="7"/>
  <c r="B46" i="7"/>
  <c r="B30" i="7"/>
  <c r="B19" i="7"/>
  <c r="B2" i="7"/>
  <c r="B349" i="7"/>
  <c r="B337" i="7"/>
  <c r="B327" i="7"/>
  <c r="B319" i="7"/>
  <c r="B311" i="7"/>
  <c r="B290" i="7"/>
  <c r="B282" i="7"/>
  <c r="B274" i="7"/>
  <c r="B265" i="7"/>
  <c r="B256" i="7"/>
  <c r="B248" i="7"/>
  <c r="B239" i="7"/>
  <c r="B231" i="7"/>
  <c r="B222" i="7"/>
  <c r="B213" i="7"/>
  <c r="B204" i="7"/>
  <c r="B196" i="7"/>
  <c r="B186" i="7"/>
  <c r="B175" i="7"/>
  <c r="B168" i="7"/>
  <c r="B161" i="7"/>
  <c r="B160" i="7"/>
  <c r="B153" i="7"/>
  <c r="B140" i="7"/>
  <c r="B131" i="7"/>
  <c r="B118" i="7"/>
  <c r="B106" i="7"/>
  <c r="B95" i="7"/>
  <c r="B84" i="7"/>
  <c r="B75" i="7"/>
  <c r="B69" i="7"/>
  <c r="B57" i="7"/>
  <c r="B44" i="7"/>
  <c r="B27" i="7"/>
  <c r="B18" i="7"/>
  <c r="B11" i="7"/>
  <c r="B3" i="7"/>
  <c r="B13" i="7"/>
  <c r="C13" i="7"/>
  <c r="B9" i="7"/>
  <c r="C9" i="7"/>
  <c r="B5" i="7"/>
  <c r="C5" i="7"/>
  <c r="B359" i="7"/>
  <c r="B353" i="7"/>
  <c r="B348" i="7"/>
  <c r="B341" i="7"/>
  <c r="B336" i="7"/>
  <c r="B330" i="7"/>
  <c r="B326" i="7"/>
  <c r="B322" i="7"/>
  <c r="B318" i="7"/>
  <c r="B314" i="7"/>
  <c r="B310" i="7"/>
  <c r="B304" i="7"/>
  <c r="B299" i="7"/>
  <c r="B295" i="7"/>
  <c r="B289" i="7"/>
  <c r="B285" i="7"/>
  <c r="B281" i="7"/>
  <c r="B277" i="7"/>
  <c r="B272" i="7"/>
  <c r="B268" i="7"/>
  <c r="B264" i="7"/>
  <c r="B260" i="7"/>
  <c r="B255" i="7"/>
  <c r="B251" i="7"/>
  <c r="B247" i="7"/>
  <c r="B243" i="7"/>
  <c r="B238" i="7"/>
  <c r="B234" i="7"/>
  <c r="B230" i="7"/>
  <c r="B226" i="7"/>
  <c r="B221" i="7"/>
  <c r="B216" i="7"/>
  <c r="B212" i="7"/>
  <c r="B207" i="7"/>
  <c r="B203" i="7"/>
  <c r="B199" i="7"/>
  <c r="B195" i="7"/>
  <c r="B190" i="7"/>
  <c r="B185" i="7"/>
  <c r="B180" i="7"/>
  <c r="B173" i="7"/>
  <c r="B170" i="7"/>
  <c r="B164" i="7"/>
  <c r="B152" i="7"/>
  <c r="B143" i="7"/>
  <c r="B139" i="7"/>
  <c r="B135" i="7"/>
  <c r="B127" i="7"/>
  <c r="B121" i="7"/>
  <c r="B117" i="7"/>
  <c r="B112" i="7"/>
  <c r="B104" i="7"/>
  <c r="B99" i="7"/>
  <c r="B94" i="7"/>
  <c r="B88" i="7"/>
  <c r="B82" i="7"/>
  <c r="B78" i="7"/>
  <c r="B74" i="7"/>
  <c r="B67" i="7"/>
  <c r="B64" i="7"/>
  <c r="B60" i="7"/>
  <c r="B55" i="7"/>
  <c r="B41" i="7"/>
  <c r="B43" i="7"/>
  <c r="B32" i="7"/>
  <c r="B25" i="7"/>
  <c r="B16" i="7"/>
  <c r="B10" i="7"/>
  <c r="B12" i="7"/>
  <c r="C12" i="7"/>
  <c r="B8" i="7"/>
  <c r="C8" i="7"/>
  <c r="B4" i="7"/>
  <c r="C4" i="7"/>
  <c r="B358" i="7"/>
  <c r="B352" i="7"/>
  <c r="B346" i="7"/>
  <c r="B339" i="7"/>
  <c r="B334" i="7"/>
  <c r="B329" i="7"/>
  <c r="B325" i="7"/>
  <c r="B321" i="7"/>
  <c r="B317" i="7"/>
  <c r="B313" i="7"/>
  <c r="B307" i="7"/>
  <c r="B303" i="7"/>
  <c r="B298" i="7"/>
  <c r="B294" i="7"/>
  <c r="B292" i="7"/>
  <c r="B288" i="7"/>
  <c r="B284" i="7"/>
  <c r="B280" i="7"/>
  <c r="B276" i="7"/>
  <c r="B271" i="7"/>
  <c r="B267" i="7"/>
  <c r="B263" i="7"/>
  <c r="B259" i="7"/>
  <c r="B254" i="7"/>
  <c r="B250" i="7"/>
  <c r="B246" i="7"/>
  <c r="B242" i="7"/>
  <c r="B237" i="7"/>
  <c r="B233" i="7"/>
  <c r="B229" i="7"/>
  <c r="B225" i="7"/>
  <c r="B220" i="7"/>
  <c r="B215" i="7"/>
  <c r="B211" i="7"/>
  <c r="B206" i="7"/>
  <c r="B202" i="7"/>
  <c r="B198" i="7"/>
  <c r="B194" i="7"/>
  <c r="B188" i="7"/>
  <c r="B184" i="7"/>
  <c r="B179" i="7"/>
  <c r="B174" i="7"/>
  <c r="B35" i="7"/>
  <c r="B163" i="7"/>
  <c r="B158" i="7"/>
  <c r="B155" i="7"/>
  <c r="B149" i="7"/>
  <c r="B142" i="7"/>
  <c r="B147" i="7"/>
  <c r="B133" i="7"/>
  <c r="B126" i="7"/>
  <c r="B120" i="7"/>
  <c r="B116" i="7"/>
  <c r="B110" i="7"/>
  <c r="B103" i="7"/>
  <c r="B98" i="7"/>
  <c r="B93" i="7"/>
  <c r="B87" i="7"/>
  <c r="B81" i="7"/>
  <c r="B77" i="7"/>
  <c r="B72" i="7"/>
  <c r="B66" i="7"/>
  <c r="B63" i="7"/>
  <c r="B59" i="7"/>
  <c r="B53" i="7"/>
  <c r="B49" i="7"/>
  <c r="B40" i="7"/>
  <c r="B31" i="7"/>
  <c r="B24" i="7"/>
  <c r="B20" i="7"/>
  <c r="B15" i="7"/>
  <c r="B7" i="7"/>
  <c r="P91" i="6"/>
  <c r="L9" i="6"/>
  <c r="P9" i="6"/>
  <c r="P94" i="6"/>
  <c r="P3" i="6"/>
  <c r="S3" i="6"/>
  <c r="L52" i="6"/>
  <c r="P52" i="6"/>
  <c r="P36" i="6"/>
  <c r="L36" i="6"/>
  <c r="L34" i="6"/>
  <c r="P34" i="6"/>
  <c r="P27" i="6"/>
  <c r="L27" i="6"/>
  <c r="P31" i="6"/>
  <c r="L31" i="6"/>
  <c r="L108" i="6"/>
  <c r="P108" i="6"/>
  <c r="L13" i="6"/>
  <c r="P13" i="6"/>
  <c r="L66" i="6"/>
  <c r="P66" i="6"/>
  <c r="P100" i="6"/>
  <c r="L100" i="6"/>
  <c r="L72" i="6"/>
  <c r="P72" i="6"/>
  <c r="L60" i="6"/>
  <c r="P60" i="6"/>
  <c r="P67" i="6"/>
  <c r="L67" i="6"/>
  <c r="P12" i="6"/>
  <c r="P62" i="6"/>
  <c r="L62" i="6"/>
  <c r="L79" i="6"/>
  <c r="P79" i="6"/>
  <c r="P54" i="6"/>
  <c r="L54" i="6"/>
  <c r="L56" i="6"/>
  <c r="P56" i="6"/>
  <c r="P64" i="6"/>
  <c r="L64" i="6"/>
  <c r="L46" i="6"/>
  <c r="P46" i="6"/>
  <c r="L21" i="6"/>
  <c r="L87" i="6"/>
  <c r="P87" i="6"/>
  <c r="P20" i="6"/>
  <c r="L20" i="6"/>
  <c r="L86" i="6"/>
  <c r="P86" i="6"/>
  <c r="L107" i="6"/>
  <c r="P107" i="6"/>
  <c r="L80" i="6"/>
  <c r="P80" i="6"/>
  <c r="P10" i="6"/>
  <c r="L10" i="6"/>
  <c r="L59" i="6"/>
  <c r="P59" i="6"/>
  <c r="L63" i="6"/>
  <c r="P63" i="6"/>
  <c r="P43" i="6"/>
  <c r="L43" i="6"/>
  <c r="L45" i="6"/>
  <c r="P45" i="6"/>
  <c r="L49" i="6"/>
  <c r="P49" i="6"/>
  <c r="P6" i="6"/>
  <c r="L6" i="6"/>
  <c r="P17" i="6"/>
  <c r="L17" i="6"/>
  <c r="L77" i="6"/>
  <c r="P77" i="6"/>
  <c r="L82" i="6"/>
  <c r="P82" i="6"/>
  <c r="P71" i="6"/>
  <c r="L71" i="6"/>
  <c r="P73" i="6"/>
  <c r="L73" i="6"/>
  <c r="P75" i="6"/>
  <c r="L75" i="6"/>
  <c r="P40" i="6"/>
  <c r="L40" i="6"/>
  <c r="P98" i="6"/>
  <c r="L26" i="6"/>
  <c r="P26" i="6"/>
  <c r="L97" i="6"/>
  <c r="P97" i="6"/>
  <c r="P14" i="6"/>
  <c r="L14" i="6"/>
  <c r="P95" i="6"/>
  <c r="L16" i="6"/>
  <c r="P16" i="6"/>
  <c r="L68" i="6"/>
  <c r="P68" i="6"/>
  <c r="L105" i="6"/>
  <c r="L78" i="6"/>
  <c r="P78" i="6"/>
  <c r="L65" i="6"/>
  <c r="P65" i="6"/>
  <c r="P70" i="6"/>
  <c r="L70" i="6"/>
  <c r="L58" i="6"/>
  <c r="P58" i="6"/>
  <c r="P39" i="6"/>
  <c r="L39" i="6"/>
  <c r="L92" i="6"/>
  <c r="P92" i="6"/>
  <c r="L24" i="6"/>
  <c r="P24" i="6"/>
  <c r="P53" i="6"/>
  <c r="L53" i="6"/>
  <c r="P37" i="6"/>
  <c r="L37" i="6"/>
  <c r="P89" i="6"/>
  <c r="P22" i="6"/>
  <c r="L22" i="6"/>
  <c r="P88" i="6"/>
  <c r="L7" i="6"/>
  <c r="P7" i="6"/>
  <c r="P84" i="6"/>
  <c r="L111" i="6"/>
  <c r="L48" i="6"/>
  <c r="P48" i="6"/>
  <c r="P28" i="6"/>
  <c r="L28" i="6"/>
  <c r="L32" i="6"/>
  <c r="P32" i="6"/>
  <c r="L25" i="6"/>
  <c r="P25" i="6"/>
  <c r="P102" i="6"/>
  <c r="L90" i="6"/>
  <c r="P90" i="6"/>
  <c r="P47" i="6"/>
  <c r="L47" i="6"/>
  <c r="P8" i="6"/>
  <c r="L8" i="6"/>
  <c r="L30" i="6"/>
  <c r="P30" i="6"/>
  <c r="P103" i="6"/>
  <c r="L103" i="6"/>
  <c r="L23" i="6"/>
  <c r="P23" i="6"/>
  <c r="P99" i="6"/>
  <c r="L99" i="6"/>
  <c r="P11" i="6"/>
  <c r="L61" i="6"/>
  <c r="P61" i="6"/>
  <c r="P69" i="6"/>
  <c r="L69" i="6"/>
  <c r="P44" i="6"/>
  <c r="P51" i="6"/>
  <c r="L51" i="6"/>
  <c r="P50" i="6"/>
  <c r="L50" i="6"/>
  <c r="L35" i="6"/>
  <c r="P35" i="6"/>
  <c r="P19" i="6"/>
  <c r="L19" i="6"/>
  <c r="P81" i="6"/>
  <c r="L81" i="6"/>
  <c r="L18" i="6"/>
  <c r="P18" i="6"/>
  <c r="P85" i="6"/>
  <c r="L85" i="6"/>
  <c r="L93" i="6"/>
  <c r="P93" i="6"/>
  <c r="L76" i="6"/>
  <c r="P76" i="6"/>
  <c r="L83" i="6"/>
  <c r="P83" i="6"/>
  <c r="P42" i="6"/>
  <c r="L42" i="6"/>
  <c r="L104" i="6"/>
  <c r="P104" i="6"/>
  <c r="P29" i="6"/>
  <c r="L29" i="6"/>
  <c r="L101" i="6"/>
  <c r="P101" i="6"/>
  <c r="P15" i="6"/>
  <c r="L15" i="6"/>
  <c r="P96" i="6"/>
  <c r="L96" i="6"/>
  <c r="P5" i="6"/>
  <c r="P55" i="6"/>
  <c r="L55" i="6"/>
  <c r="L57" i="6"/>
  <c r="P57" i="6"/>
  <c r="P41" i="6"/>
  <c r="L41" i="6"/>
  <c r="P38" i="6"/>
  <c r="L38" i="6"/>
  <c r="P33" i="6"/>
  <c r="L33" i="6"/>
  <c r="L110" i="6"/>
  <c r="P110" i="6"/>
  <c r="A9" i="5" l="1" a="1"/>
  <c r="A9" i="5" s="1"/>
  <c r="D9" i="5" s="1" a="1"/>
  <c r="D9" i="5" s="1"/>
  <c r="D279" i="5" a="1"/>
  <c r="D279" i="5" s="1"/>
  <c r="D268" i="5" a="1"/>
  <c r="D268" i="5" s="1"/>
  <c r="D270" i="5" a="1"/>
  <c r="D270" i="5" s="1"/>
  <c r="D275" i="5" a="1"/>
  <c r="D275" i="5" s="1"/>
  <c r="D278" i="5" a="1"/>
  <c r="D278" i="5" s="1"/>
  <c r="D267" i="5" a="1"/>
  <c r="D267" i="5" s="1"/>
  <c r="D265" i="5" a="1"/>
  <c r="D265" i="5" s="1"/>
  <c r="D276" i="5" a="1"/>
  <c r="D276" i="5" s="1"/>
  <c r="D259" i="5" a="1"/>
  <c r="D259" i="5" s="1"/>
  <c r="D264" i="5" a="1"/>
  <c r="D264" i="5" s="1"/>
  <c r="D280" i="5" a="1"/>
  <c r="D280" i="5" s="1"/>
  <c r="D285" i="5" a="1"/>
  <c r="D285" i="5" s="1"/>
  <c r="D284" i="5" a="1"/>
  <c r="D284" i="5" s="1"/>
  <c r="D266" i="5" a="1"/>
  <c r="D266" i="5" s="1"/>
  <c r="D273" i="5" a="1"/>
  <c r="D273" i="5" s="1"/>
  <c r="D274" i="5" a="1"/>
  <c r="D274" i="5" s="1"/>
  <c r="D271" i="5" a="1"/>
  <c r="D271" i="5" s="1"/>
  <c r="D283" i="5" a="1"/>
  <c r="D283" i="5" s="1"/>
  <c r="D269" i="5" a="1"/>
  <c r="D269" i="5" s="1"/>
  <c r="D260" i="5" a="1"/>
  <c r="D260" i="5" s="1"/>
  <c r="D262" i="5" a="1"/>
  <c r="D262" i="5" s="1"/>
  <c r="D282" i="5" a="1"/>
  <c r="D282" i="5" s="1"/>
  <c r="D263" i="5" a="1"/>
  <c r="D263" i="5" s="1"/>
  <c r="D281" i="5" a="1"/>
  <c r="D281" i="5" s="1"/>
  <c r="D261" i="5" a="1"/>
  <c r="D261" i="5" s="1"/>
  <c r="D277" i="5" a="1"/>
  <c r="D277" i="5" s="1"/>
  <c r="D272" i="5" a="1"/>
  <c r="D272" i="5" s="1"/>
  <c r="Q44" i="6"/>
  <c r="L44" i="6"/>
  <c r="Q95" i="6"/>
  <c r="L95" i="6"/>
  <c r="Q12" i="6"/>
  <c r="L12" i="6"/>
  <c r="Q91" i="6"/>
  <c r="L91" i="6"/>
  <c r="Q98" i="6"/>
  <c r="L98" i="6"/>
  <c r="Q94" i="6"/>
  <c r="L94" i="6"/>
  <c r="Q5" i="6"/>
  <c r="L5" i="6"/>
  <c r="Q102" i="6"/>
  <c r="L102" i="6"/>
  <c r="Q89" i="6"/>
  <c r="L89" i="6"/>
  <c r="Q11" i="6"/>
  <c r="L11" i="6"/>
  <c r="Q112" i="6"/>
  <c r="L112" i="6"/>
  <c r="Q84" i="6"/>
  <c r="L84" i="6"/>
  <c r="Q88" i="6"/>
  <c r="L88" i="6"/>
  <c r="Q43" i="6"/>
  <c r="Q100" i="6"/>
  <c r="Q85" i="6"/>
  <c r="Q97" i="6"/>
  <c r="Q108" i="6"/>
  <c r="Q93" i="6"/>
  <c r="Q67" i="6"/>
  <c r="Q47" i="6"/>
  <c r="Q48" i="6"/>
  <c r="Q59" i="6"/>
  <c r="Q52" i="6"/>
  <c r="Q38" i="6"/>
  <c r="Q50" i="6"/>
  <c r="Q69" i="6"/>
  <c r="Q61" i="6"/>
  <c r="Q23" i="6"/>
  <c r="Q8" i="6"/>
  <c r="Q22" i="6"/>
  <c r="Q53" i="6"/>
  <c r="Q24" i="6"/>
  <c r="Q92" i="6"/>
  <c r="P106" i="6"/>
  <c r="Q68" i="6"/>
  <c r="Q14" i="6"/>
  <c r="Q82" i="6"/>
  <c r="Q17" i="6"/>
  <c r="Q49" i="6"/>
  <c r="Q10" i="6"/>
  <c r="Q107" i="6"/>
  <c r="Q20" i="6"/>
  <c r="Q87" i="6"/>
  <c r="Q56" i="6"/>
  <c r="Q9" i="6"/>
  <c r="Q55" i="6"/>
  <c r="Q42" i="6"/>
  <c r="Q83" i="6"/>
  <c r="Q76" i="6"/>
  <c r="Q18" i="6"/>
  <c r="Q35" i="6"/>
  <c r="Q99" i="6"/>
  <c r="Q90" i="6"/>
  <c r="Q32" i="6"/>
  <c r="Q37" i="6"/>
  <c r="Q39" i="6"/>
  <c r="Q75" i="6"/>
  <c r="Q73" i="6"/>
  <c r="Q63" i="6"/>
  <c r="Q80" i="6"/>
  <c r="Q54" i="6"/>
  <c r="Q60" i="6"/>
  <c r="Q66" i="6"/>
  <c r="Q13" i="6"/>
  <c r="Q31" i="6"/>
  <c r="P109" i="6"/>
  <c r="L109" i="6"/>
  <c r="Q33" i="6"/>
  <c r="Q96" i="6"/>
  <c r="Q15" i="6"/>
  <c r="Q101" i="6"/>
  <c r="Q81" i="6"/>
  <c r="Q19" i="6"/>
  <c r="Q51" i="6"/>
  <c r="Q103" i="6"/>
  <c r="Q30" i="6"/>
  <c r="L74" i="6"/>
  <c r="P74" i="6"/>
  <c r="Q28" i="6"/>
  <c r="Q58" i="6"/>
  <c r="Q26" i="6"/>
  <c r="Q45" i="6"/>
  <c r="Q46" i="6"/>
  <c r="Q79" i="6"/>
  <c r="Q36" i="6"/>
  <c r="Q110" i="6"/>
  <c r="Q41" i="6"/>
  <c r="Q57" i="6"/>
  <c r="Q29" i="6"/>
  <c r="Q104" i="6"/>
  <c r="Q25" i="6"/>
  <c r="Q7" i="6"/>
  <c r="Q70" i="6"/>
  <c r="Q65" i="6"/>
  <c r="Q78" i="6"/>
  <c r="Q16" i="6"/>
  <c r="Q40" i="6"/>
  <c r="Q71" i="6"/>
  <c r="Q77" i="6"/>
  <c r="Q6" i="6"/>
  <c r="Q86" i="6"/>
  <c r="Q64" i="6"/>
  <c r="Q62" i="6"/>
  <c r="Q72" i="6"/>
  <c r="Q27" i="6"/>
  <c r="Q34" i="6"/>
  <c r="Q3" i="6"/>
  <c r="D258" i="5" l="1" a="1"/>
  <c r="D258" i="5" s="1"/>
  <c r="D257" i="5" a="1"/>
  <c r="D257" i="5" s="1"/>
  <c r="D134" i="5" a="1"/>
  <c r="D134" i="5" s="1"/>
  <c r="D177" i="5" a="1"/>
  <c r="D177" i="5" s="1"/>
  <c r="D187" i="5" a="1"/>
  <c r="D187" i="5" s="1"/>
  <c r="D212" i="5" a="1"/>
  <c r="D212" i="5" s="1"/>
  <c r="E212" i="5" s="1"/>
  <c r="D208" i="5" a="1"/>
  <c r="D208" i="5" s="1"/>
  <c r="E208" i="5" s="1"/>
  <c r="D239" i="5" a="1"/>
  <c r="D239" i="5" s="1"/>
  <c r="E239" i="5" s="1"/>
  <c r="D248" i="5" a="1"/>
  <c r="D248" i="5" s="1"/>
  <c r="D164" i="5" a="1"/>
  <c r="D164" i="5" s="1"/>
  <c r="E164" i="5" s="1"/>
  <c r="D155" i="5" a="1"/>
  <c r="D155" i="5" s="1"/>
  <c r="D152" i="5" a="1"/>
  <c r="D152" i="5" s="1"/>
  <c r="E152" i="5" s="1"/>
  <c r="D150" i="5" a="1"/>
  <c r="D150" i="5" s="1"/>
  <c r="E150" i="5" s="1"/>
  <c r="D140" i="5" a="1"/>
  <c r="D140" i="5" s="1"/>
  <c r="E140" i="5" s="1"/>
  <c r="D222" i="5" a="1"/>
  <c r="D222" i="5" s="1"/>
  <c r="E222" i="5" s="1"/>
  <c r="D144" i="5" a="1"/>
  <c r="D144" i="5" s="1"/>
  <c r="E144" i="5" s="1"/>
  <c r="D107" i="5" a="1"/>
  <c r="D107" i="5" s="1"/>
  <c r="E107" i="5" s="1"/>
  <c r="D161" i="5" a="1"/>
  <c r="D161" i="5" s="1"/>
  <c r="E161" i="5" s="1"/>
  <c r="D195" i="5" a="1"/>
  <c r="D195" i="5" s="1"/>
  <c r="D235" i="5" a="1"/>
  <c r="D235" i="5" s="1"/>
  <c r="D146" i="5" a="1"/>
  <c r="D146" i="5" s="1"/>
  <c r="E146" i="5" s="1"/>
  <c r="D231" i="5" a="1"/>
  <c r="D231" i="5" s="1"/>
  <c r="E231" i="5" s="1"/>
  <c r="D168" i="5" a="1"/>
  <c r="D168" i="5" s="1"/>
  <c r="E168" i="5" s="1"/>
  <c r="D191" i="5" a="1"/>
  <c r="D191" i="5" s="1"/>
  <c r="E191" i="5" s="1"/>
  <c r="D240" i="5" a="1"/>
  <c r="D240" i="5" s="1"/>
  <c r="E240" i="5" s="1"/>
  <c r="D203" i="5" a="1"/>
  <c r="D203" i="5" s="1"/>
  <c r="E203" i="5" s="1"/>
  <c r="D119" i="5" a="1"/>
  <c r="D119" i="5" s="1"/>
  <c r="E119" i="5" s="1"/>
  <c r="D113" i="5" a="1"/>
  <c r="D113" i="5" s="1"/>
  <c r="E113" i="5" s="1"/>
  <c r="D204" i="5" a="1"/>
  <c r="D204" i="5" s="1"/>
  <c r="E204" i="5" s="1"/>
  <c r="D225" i="5" a="1"/>
  <c r="D225" i="5" s="1"/>
  <c r="E225" i="5" s="1"/>
  <c r="D105" i="5" a="1"/>
  <c r="D105" i="5" s="1"/>
  <c r="E105" i="5" s="1"/>
  <c r="D123" i="5" a="1"/>
  <c r="D123" i="5" s="1"/>
  <c r="E123" i="5" s="1"/>
  <c r="D200" i="5" a="1"/>
  <c r="D200" i="5" s="1"/>
  <c r="E200" i="5" s="1"/>
  <c r="D234" i="5" a="1"/>
  <c r="D234" i="5" s="1"/>
  <c r="E234" i="5" s="1"/>
  <c r="D256" i="5" a="1"/>
  <c r="D256" i="5" s="1"/>
  <c r="D158" i="5" a="1"/>
  <c r="D158" i="5" s="1"/>
  <c r="D246" i="5" a="1"/>
  <c r="D246" i="5" s="1"/>
  <c r="E246" i="5" s="1"/>
  <c r="D159" i="5" a="1"/>
  <c r="D159" i="5" s="1"/>
  <c r="E159" i="5" s="1"/>
  <c r="D170" i="5" a="1"/>
  <c r="D170" i="5" s="1"/>
  <c r="E170" i="5" s="1"/>
  <c r="D206" i="5" a="1"/>
  <c r="D206" i="5" s="1"/>
  <c r="E206" i="5" s="1"/>
  <c r="D131" i="5" a="1"/>
  <c r="D131" i="5" s="1"/>
  <c r="E131" i="5" s="1"/>
  <c r="D157" i="5" a="1"/>
  <c r="D157" i="5" s="1"/>
  <c r="E157" i="5" s="1"/>
  <c r="D199" i="5" a="1"/>
  <c r="D199" i="5" s="1"/>
  <c r="E199" i="5" s="1"/>
  <c r="D104" i="5" a="1"/>
  <c r="D104" i="5" s="1"/>
  <c r="E104" i="5" s="1"/>
  <c r="D112" i="5" a="1"/>
  <c r="D112" i="5" s="1"/>
  <c r="E112" i="5" s="1"/>
  <c r="D139" i="5" a="1"/>
  <c r="D139" i="5" s="1"/>
  <c r="E139" i="5" s="1"/>
  <c r="D242" i="5" a="1"/>
  <c r="D242" i="5" s="1"/>
  <c r="E242" i="5" s="1"/>
  <c r="D190" i="5" a="1"/>
  <c r="D190" i="5" s="1"/>
  <c r="E190" i="5" s="1"/>
  <c r="D110" i="5" a="1"/>
  <c r="D110" i="5" s="1"/>
  <c r="E110" i="5" s="1"/>
  <c r="D221" i="5" a="1"/>
  <c r="D221" i="5" s="1"/>
  <c r="E221" i="5" s="1"/>
  <c r="D111" i="5" a="1"/>
  <c r="D111" i="5" s="1"/>
  <c r="D211" i="5" a="1"/>
  <c r="D211" i="5" s="1"/>
  <c r="E211" i="5" s="1"/>
  <c r="D250" i="5" a="1"/>
  <c r="D250" i="5" s="1"/>
  <c r="E250" i="5" s="1"/>
  <c r="D183" i="5" a="1"/>
  <c r="D183" i="5" s="1"/>
  <c r="E183" i="5" s="1"/>
  <c r="D106" i="5" a="1"/>
  <c r="D106" i="5" s="1"/>
  <c r="E106" i="5" s="1"/>
  <c r="D142" i="5" a="1"/>
  <c r="D142" i="5" s="1"/>
  <c r="E142" i="5" s="1"/>
  <c r="D143" i="5" a="1"/>
  <c r="D143" i="5" s="1"/>
  <c r="E143" i="5" s="1"/>
  <c r="D254" i="5" a="1"/>
  <c r="D254" i="5" s="1"/>
  <c r="E254" i="5" s="1"/>
  <c r="D172" i="5" a="1"/>
  <c r="D172" i="5" s="1"/>
  <c r="E172" i="5" s="1"/>
  <c r="D218" i="5" a="1"/>
  <c r="D218" i="5" s="1"/>
  <c r="E218" i="5" s="1"/>
  <c r="D136" i="5" a="1"/>
  <c r="D136" i="5" s="1"/>
  <c r="E136" i="5" s="1"/>
  <c r="D117" i="5" a="1"/>
  <c r="D117" i="5" s="1"/>
  <c r="E117" i="5" s="1"/>
  <c r="D214" i="5" a="1"/>
  <c r="D214" i="5" s="1"/>
  <c r="E214" i="5" s="1"/>
  <c r="D175" i="5" a="1"/>
  <c r="D175" i="5" s="1"/>
  <c r="E175" i="5" s="1"/>
  <c r="D178" i="5" a="1"/>
  <c r="D178" i="5" s="1"/>
  <c r="E178" i="5" s="1"/>
  <c r="D197" i="5" a="1"/>
  <c r="D197" i="5" s="1"/>
  <c r="E197" i="5" s="1"/>
  <c r="D245" i="5" a="1"/>
  <c r="D245" i="5" s="1"/>
  <c r="E245" i="5" s="1"/>
  <c r="D205" i="5" a="1"/>
  <c r="D205" i="5" s="1"/>
  <c r="D223" i="5" a="1"/>
  <c r="D223" i="5" s="1"/>
  <c r="E223" i="5" s="1"/>
  <c r="D128" i="5" a="1"/>
  <c r="D128" i="5" s="1"/>
  <c r="E128" i="5" s="1"/>
  <c r="D229" i="5" a="1"/>
  <c r="D229" i="5" s="1"/>
  <c r="E229" i="5" s="1"/>
  <c r="D182" i="5" a="1"/>
  <c r="D182" i="5" s="1"/>
  <c r="E182" i="5" s="1"/>
  <c r="D213" i="5" a="1"/>
  <c r="D213" i="5" s="1"/>
  <c r="E213" i="5" s="1"/>
  <c r="D252" i="5" a="1"/>
  <c r="D252" i="5" s="1"/>
  <c r="E252" i="5" s="1"/>
  <c r="D171" i="5" a="1"/>
  <c r="D171" i="5" s="1"/>
  <c r="E171" i="5" s="1"/>
  <c r="D201" i="5" a="1"/>
  <c r="D201" i="5" s="1"/>
  <c r="E201" i="5" s="1"/>
  <c r="D247" i="5" a="1"/>
  <c r="D247" i="5" s="1"/>
  <c r="E247" i="5" s="1"/>
  <c r="D210" i="5" a="1"/>
  <c r="D210" i="5" s="1"/>
  <c r="E210" i="5" s="1"/>
  <c r="D232" i="5" a="1"/>
  <c r="D232" i="5" s="1"/>
  <c r="E232" i="5" s="1"/>
  <c r="D174" i="5" a="1"/>
  <c r="D174" i="5" s="1"/>
  <c r="E174" i="5" s="1"/>
  <c r="D243" i="5" a="1"/>
  <c r="D243" i="5" s="1"/>
  <c r="E243" i="5" s="1"/>
  <c r="D154" i="5" a="1"/>
  <c r="D154" i="5" s="1"/>
  <c r="E154" i="5" s="1"/>
  <c r="D193" i="5" a="1"/>
  <c r="D193" i="5" s="1"/>
  <c r="E193" i="5" s="1"/>
  <c r="D192" i="5" a="1"/>
  <c r="D192" i="5" s="1"/>
  <c r="E192" i="5" s="1"/>
  <c r="D220" i="5" a="1"/>
  <c r="D220" i="5" s="1"/>
  <c r="E220" i="5" s="1"/>
  <c r="D133" i="5" a="1"/>
  <c r="D133" i="5" s="1"/>
  <c r="E133" i="5" s="1"/>
  <c r="D181" i="5" a="1"/>
  <c r="D181" i="5" s="1"/>
  <c r="E181" i="5" s="1"/>
  <c r="D141" i="5" a="1"/>
  <c r="D141" i="5" s="1"/>
  <c r="E141" i="5" s="1"/>
  <c r="D194" i="5" a="1"/>
  <c r="D194" i="5" s="1"/>
  <c r="E194" i="5" s="1"/>
  <c r="D216" i="5" a="1"/>
  <c r="D216" i="5" s="1"/>
  <c r="E216" i="5" s="1"/>
  <c r="D236" i="5" a="1"/>
  <c r="D236" i="5" s="1"/>
  <c r="E236" i="5" s="1"/>
  <c r="D151" i="5" a="1"/>
  <c r="D151" i="5" s="1"/>
  <c r="E151" i="5" s="1"/>
  <c r="D147" i="5" a="1"/>
  <c r="D147" i="5" s="1"/>
  <c r="E147" i="5" s="1"/>
  <c r="D186" i="5" a="1"/>
  <c r="D186" i="5" s="1"/>
  <c r="E186" i="5" s="1"/>
  <c r="D249" i="5" a="1"/>
  <c r="D249" i="5" s="1"/>
  <c r="E249" i="5" s="1"/>
  <c r="D179" i="5" a="1"/>
  <c r="D179" i="5" s="1"/>
  <c r="E179" i="5" s="1"/>
  <c r="D233" i="5" a="1"/>
  <c r="D233" i="5" s="1"/>
  <c r="E233" i="5" s="1"/>
  <c r="D129" i="5" a="1"/>
  <c r="D129" i="5" s="1"/>
  <c r="E129" i="5" s="1"/>
  <c r="D135" i="5" a="1"/>
  <c r="D135" i="5" s="1"/>
  <c r="E135" i="5" s="1"/>
  <c r="D196" i="5" a="1"/>
  <c r="D196" i="5" s="1"/>
  <c r="E196" i="5" s="1"/>
  <c r="D156" i="5" a="1"/>
  <c r="D156" i="5" s="1"/>
  <c r="E156" i="5" s="1"/>
  <c r="D209" i="5" a="1"/>
  <c r="D209" i="5" s="1"/>
  <c r="E209" i="5" s="1"/>
  <c r="D148" i="5" a="1"/>
  <c r="D148" i="5" s="1"/>
  <c r="E148" i="5" s="1"/>
  <c r="D160" i="5" a="1"/>
  <c r="D160" i="5" s="1"/>
  <c r="E160" i="5" s="1"/>
  <c r="D138" i="5" a="1"/>
  <c r="D138" i="5" s="1"/>
  <c r="E138" i="5" s="1"/>
  <c r="D226" i="5" a="1"/>
  <c r="D226" i="5" s="1"/>
  <c r="E226" i="5" s="1"/>
  <c r="D130" i="5" a="1"/>
  <c r="D130" i="5" s="1"/>
  <c r="E130" i="5" s="1"/>
  <c r="D126" i="5" a="1"/>
  <c r="D126" i="5" s="1"/>
  <c r="E126" i="5" s="1"/>
  <c r="D108" i="5" a="1"/>
  <c r="D108" i="5" s="1"/>
  <c r="E108" i="5" s="1"/>
  <c r="D207" i="5" a="1"/>
  <c r="D207" i="5" s="1"/>
  <c r="E207" i="5" s="1"/>
  <c r="D230" i="5" a="1"/>
  <c r="D230" i="5" s="1"/>
  <c r="E230" i="5" s="1"/>
  <c r="D165" i="5" a="1"/>
  <c r="D165" i="5" s="1"/>
  <c r="E165" i="5" s="1"/>
  <c r="D118" i="5" a="1"/>
  <c r="D118" i="5" s="1"/>
  <c r="E118" i="5" s="1"/>
  <c r="D149" i="5" a="1"/>
  <c r="D149" i="5" s="1"/>
  <c r="E149" i="5" s="1"/>
  <c r="D167" i="5" a="1"/>
  <c r="D167" i="5" s="1"/>
  <c r="E167" i="5" s="1"/>
  <c r="D127" i="5" a="1"/>
  <c r="D127" i="5" s="1"/>
  <c r="E127" i="5" s="1"/>
  <c r="D120" i="5" a="1"/>
  <c r="D120" i="5" s="1"/>
  <c r="E120" i="5" s="1"/>
  <c r="D255" i="5" a="1"/>
  <c r="D255" i="5" s="1"/>
  <c r="E255" i="5" s="1"/>
  <c r="D166" i="5" a="1"/>
  <c r="D166" i="5" s="1"/>
  <c r="E166" i="5" s="1"/>
  <c r="D132" i="5" a="1"/>
  <c r="D132" i="5" s="1"/>
  <c r="E132" i="5" s="1"/>
  <c r="D227" i="5" a="1"/>
  <c r="D227" i="5" s="1"/>
  <c r="E227" i="5" s="1"/>
  <c r="D145" i="5" a="1"/>
  <c r="D145" i="5" s="1"/>
  <c r="E145" i="5" s="1"/>
  <c r="D217" i="5" a="1"/>
  <c r="D217" i="5" s="1"/>
  <c r="E217" i="5" s="1"/>
  <c r="D162" i="5" a="1"/>
  <c r="D162" i="5" s="1"/>
  <c r="E162" i="5" s="1"/>
  <c r="D109" i="5" a="1"/>
  <c r="D109" i="5" s="1"/>
  <c r="E109" i="5" s="1"/>
  <c r="D116" i="5" a="1"/>
  <c r="D116" i="5" s="1"/>
  <c r="E116" i="5" s="1"/>
  <c r="D125" i="5" a="1"/>
  <c r="D125" i="5" s="1"/>
  <c r="E125" i="5" s="1"/>
  <c r="D224" i="5" a="1"/>
  <c r="D224" i="5" s="1"/>
  <c r="E224" i="5" s="1"/>
  <c r="D202" i="5" a="1"/>
  <c r="D202" i="5" s="1"/>
  <c r="E202" i="5" s="1"/>
  <c r="D215" i="5" a="1"/>
  <c r="D215" i="5" s="1"/>
  <c r="E215" i="5" s="1"/>
  <c r="D102" i="5" a="1"/>
  <c r="D102" i="5" s="1"/>
  <c r="E102" i="5" s="1"/>
  <c r="D244" i="5" a="1"/>
  <c r="D244" i="5" s="1"/>
  <c r="E244" i="5" s="1"/>
  <c r="D253" i="5" a="1"/>
  <c r="D253" i="5" s="1"/>
  <c r="E253" i="5" s="1"/>
  <c r="D122" i="5" a="1"/>
  <c r="D122" i="5" s="1"/>
  <c r="E122" i="5" s="1"/>
  <c r="D188" i="5" a="1"/>
  <c r="D188" i="5" s="1"/>
  <c r="E188" i="5" s="1"/>
  <c r="D185" i="5" a="1"/>
  <c r="D185" i="5" s="1"/>
  <c r="E185" i="5" s="1"/>
  <c r="D115" i="5" a="1"/>
  <c r="D115" i="5" s="1"/>
  <c r="E115" i="5" s="1"/>
  <c r="D169" i="5" a="1"/>
  <c r="D169" i="5" s="1"/>
  <c r="E169" i="5" s="1"/>
  <c r="D163" i="5" a="1"/>
  <c r="D163" i="5" s="1"/>
  <c r="E163" i="5" s="1"/>
  <c r="D103" i="5" a="1"/>
  <c r="D103" i="5" s="1"/>
  <c r="E103" i="5" s="1"/>
  <c r="D238" i="5" a="1"/>
  <c r="D238" i="5" s="1"/>
  <c r="E238" i="5" s="1"/>
  <c r="D198" i="5" a="1"/>
  <c r="D198" i="5" s="1"/>
  <c r="E198" i="5" s="1"/>
  <c r="D153" i="5" a="1"/>
  <c r="D153" i="5" s="1"/>
  <c r="E153" i="5" s="1"/>
  <c r="D241" i="5" a="1"/>
  <c r="D241" i="5" s="1"/>
  <c r="E241" i="5" s="1"/>
  <c r="D176" i="5" a="1"/>
  <c r="D176" i="5" s="1"/>
  <c r="E176" i="5" s="1"/>
  <c r="D251" i="5" a="1"/>
  <c r="D251" i="5" s="1"/>
  <c r="E251" i="5" s="1"/>
  <c r="D137" i="5" a="1"/>
  <c r="D137" i="5" s="1"/>
  <c r="E137" i="5" s="1"/>
  <c r="D184" i="5" a="1"/>
  <c r="D184" i="5" s="1"/>
  <c r="E184" i="5" s="1"/>
  <c r="D173" i="5" a="1"/>
  <c r="D173" i="5" s="1"/>
  <c r="E173" i="5" s="1"/>
  <c r="D180" i="5" a="1"/>
  <c r="D180" i="5" s="1"/>
  <c r="E180" i="5" s="1"/>
  <c r="D189" i="5" a="1"/>
  <c r="D189" i="5" s="1"/>
  <c r="E189" i="5" s="1"/>
  <c r="D124" i="5" a="1"/>
  <c r="D124" i="5" s="1"/>
  <c r="E124" i="5" s="1"/>
  <c r="D121" i="5" a="1"/>
  <c r="D121" i="5" s="1"/>
  <c r="E121" i="5" s="1"/>
  <c r="D228" i="5" a="1"/>
  <c r="D228" i="5" s="1"/>
  <c r="E228" i="5" s="1"/>
  <c r="D219" i="5" a="1"/>
  <c r="D219" i="5" s="1"/>
  <c r="E219" i="5" s="1"/>
  <c r="D237" i="5" a="1"/>
  <c r="D237" i="5" s="1"/>
  <c r="E237" i="5" s="1"/>
  <c r="D114" i="5" a="1"/>
  <c r="D114" i="5" s="1"/>
  <c r="E114" i="5" s="1"/>
  <c r="D65" i="5" a="1"/>
  <c r="D65" i="5" s="1"/>
  <c r="E65" i="5" s="1"/>
  <c r="D68" i="5" a="1"/>
  <c r="D68" i="5" s="1"/>
  <c r="E68" i="5" s="1"/>
  <c r="D14" i="5" a="1"/>
  <c r="D14" i="5" s="1"/>
  <c r="E14" i="5" s="1"/>
  <c r="D66" i="5" a="1"/>
  <c r="D66" i="5" s="1"/>
  <c r="E66" i="5" s="1"/>
  <c r="D19" i="5" a="1"/>
  <c r="D19" i="5" s="1"/>
  <c r="E19" i="5" s="1"/>
  <c r="D22" i="5" a="1"/>
  <c r="D22" i="5" s="1"/>
  <c r="E22" i="5" s="1"/>
  <c r="D43" i="5" a="1"/>
  <c r="D43" i="5" s="1"/>
  <c r="E43" i="5" s="1"/>
  <c r="D40" i="5" a="1"/>
  <c r="D40" i="5" s="1"/>
  <c r="E40" i="5" s="1"/>
  <c r="D29" i="5" a="1"/>
  <c r="D29" i="5" s="1"/>
  <c r="E29" i="5" s="1"/>
  <c r="D92" i="5" a="1"/>
  <c r="D92" i="5" s="1"/>
  <c r="E92" i="5" s="1"/>
  <c r="D30" i="5" a="1"/>
  <c r="D30" i="5" s="1"/>
  <c r="E30" i="5" s="1"/>
  <c r="D42" i="5" a="1"/>
  <c r="D42" i="5" s="1"/>
  <c r="E42" i="5" s="1"/>
  <c r="D38" i="5" a="1"/>
  <c r="D38" i="5" s="1"/>
  <c r="E38" i="5" s="1"/>
  <c r="D52" i="5" a="1"/>
  <c r="D52" i="5" s="1"/>
  <c r="E52" i="5" s="1"/>
  <c r="D25" i="5" a="1"/>
  <c r="D25" i="5" s="1"/>
  <c r="E25" i="5" s="1"/>
  <c r="D57" i="5" a="1"/>
  <c r="D57" i="5" s="1"/>
  <c r="E57" i="5" s="1"/>
  <c r="D12" i="5" a="1"/>
  <c r="D12" i="5" s="1"/>
  <c r="E12" i="5" s="1"/>
  <c r="D70" i="5" a="1"/>
  <c r="D70" i="5" s="1"/>
  <c r="E70" i="5" s="1"/>
  <c r="D36" i="5" a="1"/>
  <c r="D36" i="5" s="1"/>
  <c r="E36" i="5" s="1"/>
  <c r="D89" i="5" a="1"/>
  <c r="D89" i="5" s="1"/>
  <c r="E89" i="5" s="1"/>
  <c r="D80" i="5" a="1"/>
  <c r="D80" i="5" s="1"/>
  <c r="E80" i="5" s="1"/>
  <c r="D69" i="5" a="1"/>
  <c r="D69" i="5" s="1"/>
  <c r="E69" i="5" s="1"/>
  <c r="D23" i="5" a="1"/>
  <c r="D23" i="5" s="1"/>
  <c r="E23" i="5" s="1"/>
  <c r="D37" i="5" a="1"/>
  <c r="D37" i="5" s="1"/>
  <c r="E37" i="5" s="1"/>
  <c r="D73" i="5" a="1"/>
  <c r="D73" i="5" s="1"/>
  <c r="E73" i="5" s="1"/>
  <c r="D101" i="5" a="1"/>
  <c r="D101" i="5" s="1"/>
  <c r="E101" i="5" s="1"/>
  <c r="D90" i="5" a="1"/>
  <c r="D90" i="5" s="1"/>
  <c r="E90" i="5" s="1"/>
  <c r="D61" i="5" a="1"/>
  <c r="D61" i="5" s="1"/>
  <c r="E61" i="5" s="1"/>
  <c r="D87" i="5" a="1"/>
  <c r="D87" i="5" s="1"/>
  <c r="E87" i="5" s="1"/>
  <c r="D72" i="5" a="1"/>
  <c r="D72" i="5" s="1"/>
  <c r="E72" i="5" s="1"/>
  <c r="D18" i="5" a="1"/>
  <c r="D18" i="5" s="1"/>
  <c r="E18" i="5" s="1"/>
  <c r="D34" i="5" a="1"/>
  <c r="D34" i="5" s="1"/>
  <c r="E34" i="5" s="1"/>
  <c r="D54" i="5" a="1"/>
  <c r="D54" i="5" s="1"/>
  <c r="E54" i="5" s="1"/>
  <c r="D55" i="5" a="1"/>
  <c r="D55" i="5" s="1"/>
  <c r="E55" i="5" s="1"/>
  <c r="D32" i="5" a="1"/>
  <c r="D32" i="5" s="1"/>
  <c r="E32" i="5" s="1"/>
  <c r="D58" i="5" a="1"/>
  <c r="D58" i="5" s="1"/>
  <c r="E58" i="5" s="1"/>
  <c r="D85" i="5" a="1"/>
  <c r="D85" i="5" s="1"/>
  <c r="E85" i="5" s="1"/>
  <c r="D93" i="5" a="1"/>
  <c r="D93" i="5" s="1"/>
  <c r="E93" i="5" s="1"/>
  <c r="D82" i="5" a="1"/>
  <c r="D82" i="5" s="1"/>
  <c r="E82" i="5" s="1"/>
  <c r="D98" i="5" a="1"/>
  <c r="D98" i="5" s="1"/>
  <c r="E98" i="5" s="1"/>
  <c r="D39" i="5" a="1"/>
  <c r="D39" i="5" s="1"/>
  <c r="E39" i="5" s="1"/>
  <c r="D64" i="5" a="1"/>
  <c r="D64" i="5" s="1"/>
  <c r="E64" i="5" s="1"/>
  <c r="D10" i="5" a="1"/>
  <c r="D10" i="5" s="1"/>
  <c r="E10" i="5" s="1"/>
  <c r="D26" i="5" a="1"/>
  <c r="D26" i="5" s="1"/>
  <c r="E26" i="5" s="1"/>
  <c r="D62" i="5" a="1"/>
  <c r="D62" i="5" s="1"/>
  <c r="E62" i="5" s="1"/>
  <c r="D27" i="5" a="1"/>
  <c r="D27" i="5" s="1"/>
  <c r="E27" i="5" s="1"/>
  <c r="D31" i="5" a="1"/>
  <c r="D31" i="5" s="1"/>
  <c r="E31" i="5" s="1"/>
  <c r="D59" i="5" a="1"/>
  <c r="D59" i="5" s="1"/>
  <c r="E59" i="5" s="1"/>
  <c r="D56" i="5" a="1"/>
  <c r="D56" i="5" s="1"/>
  <c r="E56" i="5" s="1"/>
  <c r="D71" i="5" a="1"/>
  <c r="D71" i="5" s="1"/>
  <c r="E71" i="5" s="1"/>
  <c r="D21" i="5" a="1"/>
  <c r="D21" i="5" s="1"/>
  <c r="E21" i="5" s="1"/>
  <c r="D15" i="5" a="1"/>
  <c r="D15" i="5" s="1"/>
  <c r="E15" i="5" s="1"/>
  <c r="D28" i="5" a="1"/>
  <c r="D28" i="5" s="1"/>
  <c r="E28" i="5" s="1"/>
  <c r="D47" i="5" a="1"/>
  <c r="D47" i="5" s="1"/>
  <c r="E47" i="5" s="1"/>
  <c r="D76" i="5" a="1"/>
  <c r="D76" i="5" s="1"/>
  <c r="E76" i="5" s="1"/>
  <c r="D95" i="5" a="1"/>
  <c r="D95" i="5" s="1"/>
  <c r="E95" i="5" s="1"/>
  <c r="D11" i="5" a="1"/>
  <c r="D11" i="5" s="1"/>
  <c r="E11" i="5" s="1"/>
  <c r="D86" i="5" a="1"/>
  <c r="D86" i="5" s="1"/>
  <c r="E86" i="5" s="1"/>
  <c r="D60" i="5" a="1"/>
  <c r="D60" i="5" s="1"/>
  <c r="E60" i="5" s="1"/>
  <c r="D20" i="5" a="1"/>
  <c r="D20" i="5" s="1"/>
  <c r="E20" i="5" s="1"/>
  <c r="D51" i="5" a="1"/>
  <c r="D51" i="5" s="1"/>
  <c r="E51" i="5" s="1"/>
  <c r="D24" i="5" a="1"/>
  <c r="D24" i="5" s="1"/>
  <c r="E24" i="5" s="1"/>
  <c r="D50" i="5" a="1"/>
  <c r="D50" i="5" s="1"/>
  <c r="E50" i="5" s="1"/>
  <c r="D33" i="5" a="1"/>
  <c r="D33" i="5" s="1"/>
  <c r="E33" i="5" s="1"/>
  <c r="D17" i="5" a="1"/>
  <c r="D17" i="5" s="1"/>
  <c r="E17" i="5" s="1"/>
  <c r="D88" i="5" a="1"/>
  <c r="D88" i="5" s="1"/>
  <c r="E88" i="5" s="1"/>
  <c r="D96" i="5" a="1"/>
  <c r="D96" i="5" s="1"/>
  <c r="E96" i="5" s="1"/>
  <c r="D13" i="5" a="1"/>
  <c r="D13" i="5" s="1"/>
  <c r="E13" i="5" s="1"/>
  <c r="D46" i="5" a="1"/>
  <c r="D46" i="5" s="1"/>
  <c r="E46" i="5" s="1"/>
  <c r="D63" i="5" a="1"/>
  <c r="D63" i="5" s="1"/>
  <c r="E63" i="5" s="1"/>
  <c r="D74" i="5" a="1"/>
  <c r="D74" i="5" s="1"/>
  <c r="E74" i="5" s="1"/>
  <c r="D94" i="5" a="1"/>
  <c r="D94" i="5" s="1"/>
  <c r="E94" i="5" s="1"/>
  <c r="D75" i="5" a="1"/>
  <c r="D75" i="5" s="1"/>
  <c r="E75" i="5" s="1"/>
  <c r="D91" i="5" a="1"/>
  <c r="D91" i="5" s="1"/>
  <c r="E91" i="5" s="1"/>
  <c r="D41" i="5" a="1"/>
  <c r="D41" i="5" s="1"/>
  <c r="E41" i="5" s="1"/>
  <c r="D49" i="5" a="1"/>
  <c r="D49" i="5" s="1"/>
  <c r="E49" i="5" s="1"/>
  <c r="D97" i="5" a="1"/>
  <c r="D97" i="5" s="1"/>
  <c r="E97" i="5" s="1"/>
  <c r="D77" i="5" a="1"/>
  <c r="D77" i="5" s="1"/>
  <c r="E77" i="5" s="1"/>
  <c r="D16" i="5" a="1"/>
  <c r="D16" i="5" s="1"/>
  <c r="E16" i="5" s="1"/>
  <c r="D35" i="5" a="1"/>
  <c r="D35" i="5" s="1"/>
  <c r="E35" i="5" s="1"/>
  <c r="D44" i="5" a="1"/>
  <c r="D44" i="5" s="1"/>
  <c r="E44" i="5" s="1"/>
  <c r="D79" i="5" a="1"/>
  <c r="D79" i="5" s="1"/>
  <c r="E79" i="5" s="1"/>
  <c r="D78" i="5" a="1"/>
  <c r="D78" i="5" s="1"/>
  <c r="E78" i="5" s="1"/>
  <c r="D48" i="5" a="1"/>
  <c r="D48" i="5" s="1"/>
  <c r="E48" i="5" s="1"/>
  <c r="D67" i="5" a="1"/>
  <c r="D67" i="5" s="1"/>
  <c r="E67" i="5" s="1"/>
  <c r="D83" i="5" a="1"/>
  <c r="D83" i="5" s="1"/>
  <c r="E83" i="5" s="1"/>
  <c r="D99" i="5" a="1"/>
  <c r="D99" i="5" s="1"/>
  <c r="E99" i="5" s="1"/>
  <c r="D100" i="5" a="1"/>
  <c r="D100" i="5" s="1"/>
  <c r="E100" i="5" s="1"/>
  <c r="D81" i="5" a="1"/>
  <c r="D81" i="5" s="1"/>
  <c r="E81" i="5" s="1"/>
  <c r="D45" i="5" a="1"/>
  <c r="D45" i="5" s="1"/>
  <c r="E45" i="5" s="1"/>
  <c r="D53" i="5" a="1"/>
  <c r="D53" i="5" s="1"/>
  <c r="E53" i="5" s="1"/>
  <c r="D84" i="5" a="1"/>
  <c r="D84" i="5" s="1"/>
  <c r="E84" i="5" s="1"/>
  <c r="E282" i="5"/>
  <c r="E283" i="5"/>
  <c r="E281" i="5"/>
  <c r="E280" i="5"/>
  <c r="E279" i="5"/>
  <c r="E272" i="5"/>
  <c r="E264" i="5"/>
  <c r="E256" i="5"/>
  <c r="E248" i="5"/>
  <c r="E271" i="5"/>
  <c r="E263" i="5"/>
  <c r="E257" i="5"/>
  <c r="E278" i="5"/>
  <c r="E270" i="5"/>
  <c r="E262" i="5"/>
  <c r="E158" i="5"/>
  <c r="E134" i="5"/>
  <c r="E277" i="5"/>
  <c r="E269" i="5"/>
  <c r="E261" i="5"/>
  <c r="E205" i="5"/>
  <c r="E260" i="5"/>
  <c r="E276" i="5"/>
  <c r="E268" i="5"/>
  <c r="E275" i="5"/>
  <c r="E267" i="5"/>
  <c r="E259" i="5"/>
  <c r="E235" i="5"/>
  <c r="E195" i="5"/>
  <c r="E187" i="5"/>
  <c r="E155" i="5"/>
  <c r="E273" i="5"/>
  <c r="E274" i="5"/>
  <c r="E266" i="5"/>
  <c r="E258" i="5"/>
  <c r="E265" i="5"/>
  <c r="E177" i="5"/>
  <c r="E111" i="5"/>
  <c r="E356" i="5"/>
  <c r="E357" i="5"/>
  <c r="E355" i="5"/>
  <c r="E351" i="5"/>
  <c r="E352" i="5"/>
  <c r="E353" i="5"/>
  <c r="E354" i="5"/>
  <c r="E350" i="5"/>
  <c r="E288" i="5"/>
  <c r="E304" i="5"/>
  <c r="E321" i="5"/>
  <c r="E314" i="5"/>
  <c r="E325" i="5"/>
  <c r="E327" i="5"/>
  <c r="E308" i="5"/>
  <c r="E329" i="5"/>
  <c r="E334" i="5"/>
  <c r="E299" i="5"/>
  <c r="E338" i="5"/>
  <c r="E284" i="5"/>
  <c r="E310" i="5"/>
  <c r="E339" i="5"/>
  <c r="E328" i="5"/>
  <c r="E333" i="5"/>
  <c r="E322" i="5"/>
  <c r="E287" i="5"/>
  <c r="E313" i="5"/>
  <c r="E323" i="5"/>
  <c r="E346" i="5"/>
  <c r="E317" i="5"/>
  <c r="E309" i="5"/>
  <c r="E300" i="5"/>
  <c r="E298" i="5"/>
  <c r="E293" i="5"/>
  <c r="E311" i="5"/>
  <c r="E326" i="5"/>
  <c r="E292" i="5"/>
  <c r="E297" i="5"/>
  <c r="E320" i="5"/>
  <c r="E349" i="5"/>
  <c r="E330" i="5"/>
  <c r="E343" i="5"/>
  <c r="E307" i="5"/>
  <c r="E324" i="5"/>
  <c r="E286" i="5"/>
  <c r="E301" i="5"/>
  <c r="E315" i="5"/>
  <c r="E345" i="5"/>
  <c r="E316" i="5"/>
  <c r="E285" i="5"/>
  <c r="E344" i="5"/>
  <c r="E335" i="5"/>
  <c r="E341" i="5"/>
  <c r="E336" i="5"/>
  <c r="E295" i="5"/>
  <c r="E340" i="5"/>
  <c r="E302" i="5"/>
  <c r="E337" i="5"/>
  <c r="E331" i="5"/>
  <c r="E303" i="5"/>
  <c r="E332" i="5"/>
  <c r="E296" i="5"/>
  <c r="E290" i="5"/>
  <c r="E294" i="5"/>
  <c r="E289" i="5"/>
  <c r="E318" i="5"/>
  <c r="E347" i="5"/>
  <c r="E319" i="5"/>
  <c r="E291" i="5"/>
  <c r="E312" i="5"/>
  <c r="E305" i="5"/>
  <c r="E306" i="5"/>
  <c r="E348" i="5"/>
  <c r="E342" i="5"/>
  <c r="P4" i="6"/>
  <c r="L4" i="6"/>
  <c r="Q109" i="6"/>
  <c r="Q74" i="6"/>
  <c r="Q106" i="6"/>
  <c r="E9" i="5" l="1"/>
  <c r="Q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<sst xmlns="http://schemas.openxmlformats.org/spreadsheetml/2006/main" count="10173" uniqueCount="603">
  <si>
    <t>ABACATE</t>
  </si>
  <si>
    <t>ABACAXI</t>
  </si>
  <si>
    <t>ABOBORA BAIANA</t>
  </si>
  <si>
    <t>ABOBORA BATÃ</t>
  </si>
  <si>
    <t>ABOBORA BRANCA</t>
  </si>
  <si>
    <t>ABOBORA JAPONESA</t>
  </si>
  <si>
    <t>ABOBORA MADURA</t>
  </si>
  <si>
    <t>ABOBORA MORANGA</t>
  </si>
  <si>
    <t>ABOBORA MORANGA BABY</t>
  </si>
  <si>
    <t>ABOBORA PESCOCO</t>
  </si>
  <si>
    <t>ABOBORA SERGIPANA</t>
  </si>
  <si>
    <t>ABOBRINHA ITALIANA</t>
  </si>
  <si>
    <t>ABOBRINHA VERDE REDONDA</t>
  </si>
  <si>
    <t>AIPIM CASCA BRANCA</t>
  </si>
  <si>
    <t>AIPIM PARAFINADO</t>
  </si>
  <si>
    <t>AIPIM CASCA ROSA</t>
  </si>
  <si>
    <t>ALHO DESCASCADO</t>
  </si>
  <si>
    <t>AMEIXA IMPORTADA</t>
  </si>
  <si>
    <t>AMEIXA NACIONAL</t>
  </si>
  <si>
    <t>ATEMOIA / FRUTA DO CONDE</t>
  </si>
  <si>
    <t>ASPARGO</t>
  </si>
  <si>
    <t>ASPARGO VERDE IMPORT.</t>
  </si>
  <si>
    <t>AVOCADO HASS</t>
  </si>
  <si>
    <t>BANANA DA TERRA</t>
  </si>
  <si>
    <t>BANANA MAÇÃ</t>
  </si>
  <si>
    <t>BANANA OURO</t>
  </si>
  <si>
    <t>BANANA PRATA GRAÚDA</t>
  </si>
  <si>
    <t>BANANA PRATA MÉDIA</t>
  </si>
  <si>
    <t>BATATA ASTERIX</t>
  </si>
  <si>
    <t>BATATA BAROA</t>
  </si>
  <si>
    <t>BATATA CALABRESA</t>
  </si>
  <si>
    <t>BATATA DOCE</t>
  </si>
  <si>
    <t>BATATA DOCE BRANCA</t>
  </si>
  <si>
    <t>BATATA DOCE ROXA</t>
  </si>
  <si>
    <t>BATATA INGLESA SC</t>
  </si>
  <si>
    <t>BATATA INGLESA CX</t>
  </si>
  <si>
    <t xml:space="preserve">BATATA MARQUES </t>
  </si>
  <si>
    <t>BERINJELA</t>
  </si>
  <si>
    <t>BERINJELA RAJADA</t>
  </si>
  <si>
    <t>BETERRABA</t>
  </si>
  <si>
    <t>BROTO DE FEIJÃO 550G</t>
  </si>
  <si>
    <t>CAQUI RAMA FORTE</t>
  </si>
  <si>
    <t>CAQUI</t>
  </si>
  <si>
    <t>CARA</t>
  </si>
  <si>
    <t xml:space="preserve">CARAMBOLA </t>
  </si>
  <si>
    <t>CEBOLA BRANCA</t>
  </si>
  <si>
    <t>CEBOLA CHALOTA</t>
  </si>
  <si>
    <t>CEBOLA NACIONAL</t>
  </si>
  <si>
    <t>CEBOLA ROXA</t>
  </si>
  <si>
    <t>CENOURA 3A</t>
  </si>
  <si>
    <t xml:space="preserve">CENOURA S/ SELEÇÃO </t>
  </si>
  <si>
    <t>CENOURA G</t>
  </si>
  <si>
    <t>CEREJA</t>
  </si>
  <si>
    <t>CHUCHU</t>
  </si>
  <si>
    <t>COCO SECO</t>
  </si>
  <si>
    <t>COCO SECO UNIDADE</t>
  </si>
  <si>
    <t>COCO VERDE</t>
  </si>
  <si>
    <t>COGUMELO FRESCO SHIMEJI</t>
  </si>
  <si>
    <t>ERVILHA</t>
  </si>
  <si>
    <t xml:space="preserve">ENDIVIA BRANCA IMP. </t>
  </si>
  <si>
    <t>GENGIBRE</t>
  </si>
  <si>
    <t>GOIABA 2,5KG</t>
  </si>
  <si>
    <t>GRAPEFRUIT</t>
  </si>
  <si>
    <t>GRAVIOLA</t>
  </si>
  <si>
    <t>INHAME</t>
  </si>
  <si>
    <t>JILO</t>
  </si>
  <si>
    <t>KIWI IMPORTADO</t>
  </si>
  <si>
    <t>LARANJA BAHIA IMPORTADA</t>
  </si>
  <si>
    <t>LARANJA BAHIA NACIONAL</t>
  </si>
  <si>
    <t>LARANJA LIMA</t>
  </si>
  <si>
    <t>LARANJA PERA</t>
  </si>
  <si>
    <t>LARANJA PERA SAQUINHO</t>
  </si>
  <si>
    <t>LARANJA SELETA</t>
  </si>
  <si>
    <t>LIMA DA PERSIA</t>
  </si>
  <si>
    <t>LIMAO NP</t>
  </si>
  <si>
    <t>LIMAO SUPER</t>
  </si>
  <si>
    <t>LIMAO SICILIANO</t>
  </si>
  <si>
    <t>MAÇA ARGENTINA</t>
  </si>
  <si>
    <t>MAÇA FUJI</t>
  </si>
  <si>
    <t>MAÇA GALA CAT 3</t>
  </si>
  <si>
    <t>MAÇA GALA SACOLINHA</t>
  </si>
  <si>
    <t>MAÇA GRANNY SMITH</t>
  </si>
  <si>
    <t>MAMAO FORMOSA</t>
  </si>
  <si>
    <t>MAMAO FORMOSA GAIA</t>
  </si>
  <si>
    <t>MAMAO GAIA - HAVAI</t>
  </si>
  <si>
    <t>MAMAO HAVAI</t>
  </si>
  <si>
    <t>MAMAO VERDE</t>
  </si>
  <si>
    <t>MANGA ESPADA</t>
  </si>
  <si>
    <t>MANGA PALMER</t>
  </si>
  <si>
    <t>MANGA TOMMY</t>
  </si>
  <si>
    <t>MARACUJA</t>
  </si>
  <si>
    <t>MAXIXE</t>
  </si>
  <si>
    <t>MELANCIA</t>
  </si>
  <si>
    <t>MELANCIA AMARELA</t>
  </si>
  <si>
    <t>MELANCIA BABY</t>
  </si>
  <si>
    <t>MELANCIA SEM SEMENTE</t>
  </si>
  <si>
    <t>MELAO AMARELO</t>
  </si>
  <si>
    <t>MELAO CANTALOUPE</t>
  </si>
  <si>
    <t>MELAO GAIA</t>
  </si>
  <si>
    <t>MELAO ORANGE</t>
  </si>
  <si>
    <t>MELAO PELE DE SAPO</t>
  </si>
  <si>
    <t>MELAO REDINHA</t>
  </si>
  <si>
    <t>MELAO SAO CAETANO</t>
  </si>
  <si>
    <t>MELÃO SÃO CAETANO/ NIGAGURI</t>
  </si>
  <si>
    <t>MILHO VERDE BDJ</t>
  </si>
  <si>
    <t>MILHO VERDE SACO</t>
  </si>
  <si>
    <t>MIRTILO</t>
  </si>
  <si>
    <t>MORANGO BANDEJA</t>
  </si>
  <si>
    <t>MORCOTE</t>
  </si>
  <si>
    <t>NABO</t>
  </si>
  <si>
    <t>NABO BRANCO UND</t>
  </si>
  <si>
    <t>NABO REDONDO</t>
  </si>
  <si>
    <t>NECTARINA</t>
  </si>
  <si>
    <t>NESPERA</t>
  </si>
  <si>
    <t>OVO BRANCO FILMADO 10 CART. C/20</t>
  </si>
  <si>
    <t>OVO BRANCO FILMADO 12 CART. C/20</t>
  </si>
  <si>
    <t>OVO CODORNA</t>
  </si>
  <si>
    <t>OVO CAIPIRA</t>
  </si>
  <si>
    <t>OVO CODORNA EM CONSERVA 700G</t>
  </si>
  <si>
    <t>OVOS BR EMB. CX C/15DZ-BJ C/12</t>
  </si>
  <si>
    <t xml:space="preserve">OVOS BR EMB. CX C/20DZ-BJ C/12 </t>
  </si>
  <si>
    <t>OVOS BR EXT KEROVOS -CX 30DZ</t>
  </si>
  <si>
    <t>OVOS BR FILMADO CARTELA C/30 KEROVOS</t>
  </si>
  <si>
    <t>OVOS BRANCO GRANDE EMBALADOS RESFRIADOS DZ</t>
  </si>
  <si>
    <t>OVOS BRANCOS EMBALADOS DZ</t>
  </si>
  <si>
    <t>OVOS BRANCOS EMBALADOS RESFRIADOS DZ</t>
  </si>
  <si>
    <t>OVOS BRANCOS RESFRIADOS DZ</t>
  </si>
  <si>
    <t>OVOS DE CODORNA EM CONSERVA 700G</t>
  </si>
  <si>
    <t>OVOS VERM. ESP. EMB - CX/30 DZ</t>
  </si>
  <si>
    <t>PALMITO IN NATURA</t>
  </si>
  <si>
    <t>PEPINO</t>
  </si>
  <si>
    <t>PEPINO JAPONES</t>
  </si>
  <si>
    <t>PERA D'ANJOU</t>
  </si>
  <si>
    <t>PERA PORTUGUESA</t>
  </si>
  <si>
    <t>PERA PT</t>
  </si>
  <si>
    <t>PERA WILLIAMS T90</t>
  </si>
  <si>
    <t>PESSEGO IMPORTADO</t>
  </si>
  <si>
    <t>PESSEGO NACIONAL</t>
  </si>
  <si>
    <t>PIMENTA BIQUINHO</t>
  </si>
  <si>
    <t>PIMENTA CHIFRE DE BODE VERDE</t>
  </si>
  <si>
    <t>PIMENTA CHIFRE DE BODE VERMELHA</t>
  </si>
  <si>
    <t>PIMENTA DE CHEIRO</t>
  </si>
  <si>
    <t>PIMENTA DEDO DE MOCA</t>
  </si>
  <si>
    <t>PIMENTA DEDO DE MOCA VERDE</t>
  </si>
  <si>
    <t>PIMENTA JALAPENO</t>
  </si>
  <si>
    <t>PIMENTA MALAGUETA</t>
  </si>
  <si>
    <t>PIMENTAO AMARELO</t>
  </si>
  <si>
    <t>PIMENTAO VERDE</t>
  </si>
  <si>
    <t>PIMENTAO VERMELHO</t>
  </si>
  <si>
    <t>PINHA</t>
  </si>
  <si>
    <t>PINHAO</t>
  </si>
  <si>
    <t>PITAIA</t>
  </si>
  <si>
    <t>PONKAN</t>
  </si>
  <si>
    <t>QUIABO BJ 400 GR</t>
  </si>
  <si>
    <t>QUIABO EMBALADO 500g</t>
  </si>
  <si>
    <t>QUIABO SOLTO</t>
  </si>
  <si>
    <t>REPOLHO ROXO</t>
  </si>
  <si>
    <t>REPOLHO VERDE</t>
  </si>
  <si>
    <t>ROMA</t>
  </si>
  <si>
    <t>TAMARINDO FRESCO</t>
  </si>
  <si>
    <t>TANGERINA / MEXERICA IMPORTADA</t>
  </si>
  <si>
    <t>TANGERINA CRAVO</t>
  </si>
  <si>
    <t>TOMATE</t>
  </si>
  <si>
    <t>TOMATE AA</t>
  </si>
  <si>
    <t>TOMATE CEREJA</t>
  </si>
  <si>
    <t>TOMATE CEREJA BDJ 300G</t>
  </si>
  <si>
    <t>TOMATE CEREJA BDJ 350G</t>
  </si>
  <si>
    <t>TOMATE GRAPE</t>
  </si>
  <si>
    <t>TOMATE GRAPE 180G</t>
  </si>
  <si>
    <t>TOMATE ITALIANO</t>
  </si>
  <si>
    <t>UVA CRIMSON</t>
  </si>
  <si>
    <t>UVA ISABEL / VERMELHA</t>
  </si>
  <si>
    <t>UVA ITALIA</t>
  </si>
  <si>
    <t>UVA JUBILE</t>
  </si>
  <si>
    <t>UVA PRETA SEM CAROCO / VITORIA</t>
  </si>
  <si>
    <t>UVA RED GLOBE</t>
  </si>
  <si>
    <t>UVA ROSADA</t>
  </si>
  <si>
    <t>UVA THOMPSON</t>
  </si>
  <si>
    <t>UVA VITORIA( MELODIA) - crimson</t>
  </si>
  <si>
    <t>UVA VERDE COM SEMENTE</t>
  </si>
  <si>
    <t>UVA VERDE SEM SEMENTE</t>
  </si>
  <si>
    <t>UVA VERMELHA COM SEMENTE</t>
  </si>
  <si>
    <t>UVA VERMELHA SEM SEMENTE</t>
  </si>
  <si>
    <t>VAGEM FRANCESA EMBALADA</t>
  </si>
  <si>
    <t>VAGEM MACARRAO</t>
  </si>
  <si>
    <t>VAGEM MANTEIGA</t>
  </si>
  <si>
    <t>ACELGA</t>
  </si>
  <si>
    <t>ALECRIM</t>
  </si>
  <si>
    <t>AGRIAO</t>
  </si>
  <si>
    <t>AIPO</t>
  </si>
  <si>
    <t>ALFAVACA</t>
  </si>
  <si>
    <t>ALHO PORO</t>
  </si>
  <si>
    <t>ALMEIRAO</t>
  </si>
  <si>
    <t>ANETO</t>
  </si>
  <si>
    <t>BERTALHA</t>
  </si>
  <si>
    <t>BROCOLIS AMERICANO</t>
  </si>
  <si>
    <t>BROCOLIS COMUM</t>
  </si>
  <si>
    <t>CEBOLA G</t>
  </si>
  <si>
    <t>CEBOLINHA</t>
  </si>
  <si>
    <t>CHEIRO VERDE</t>
  </si>
  <si>
    <t>COENTRO</t>
  </si>
  <si>
    <t>COUVE</t>
  </si>
  <si>
    <t>COUVE FLOR</t>
  </si>
  <si>
    <t>ESPINAFRE</t>
  </si>
  <si>
    <t>HORTELA</t>
  </si>
  <si>
    <t>LOURO</t>
  </si>
  <si>
    <t>MANJERICAO</t>
  </si>
  <si>
    <t>MOSTARDA</t>
  </si>
  <si>
    <t>RABANETE</t>
  </si>
  <si>
    <t>RUCULA</t>
  </si>
  <si>
    <t>SALSA G</t>
  </si>
  <si>
    <t>SALSA CRESPA</t>
  </si>
  <si>
    <t>SALSINHA</t>
  </si>
  <si>
    <t>CEBOLETE</t>
  </si>
  <si>
    <t>ARRUDA</t>
  </si>
  <si>
    <t>ELEVANTE</t>
  </si>
  <si>
    <t>MANJERONA</t>
  </si>
  <si>
    <t>POEJO</t>
  </si>
  <si>
    <t>OREGANO</t>
  </si>
  <si>
    <t>SALVIA</t>
  </si>
  <si>
    <t>TOMILHO</t>
  </si>
  <si>
    <t>NIRA</t>
  </si>
  <si>
    <t>RUCULA HIDROPONICA</t>
  </si>
  <si>
    <t>AGRIAO HIDROPONICO</t>
  </si>
  <si>
    <t>ALFACE ROXA HIDROPONICA</t>
  </si>
  <si>
    <t>MANJERICAO HIDROPONICO</t>
  </si>
  <si>
    <t>CHICORIA UNIDADE</t>
  </si>
  <si>
    <t>ALFACE CRESPA UNIDADE</t>
  </si>
  <si>
    <t>ALFACE COMUM UNIDADE</t>
  </si>
  <si>
    <t>ALFACE AMERICANA UNI</t>
  </si>
  <si>
    <t>MIMOSA VERDE</t>
  </si>
  <si>
    <t xml:space="preserve">CAPIM LIMÃO </t>
  </si>
  <si>
    <t>RADICHIO</t>
  </si>
  <si>
    <t>MIMOSA ROXA</t>
  </si>
  <si>
    <t>Produto</t>
  </si>
  <si>
    <t>falta</t>
  </si>
  <si>
    <t>Custo</t>
  </si>
  <si>
    <t>Peso</t>
  </si>
  <si>
    <t>Seção</t>
  </si>
  <si>
    <t>Vinicio</t>
  </si>
  <si>
    <t>Tarcísio</t>
  </si>
  <si>
    <t>Abe</t>
  </si>
  <si>
    <t>Magrão</t>
  </si>
  <si>
    <t>Barão</t>
  </si>
  <si>
    <t>Cassiano</t>
  </si>
  <si>
    <t>Boa Praça Off Shore</t>
  </si>
  <si>
    <t>Boa Praça Longo curso</t>
  </si>
  <si>
    <t>Que doce</t>
  </si>
  <si>
    <t>Bom mercado</t>
  </si>
  <si>
    <t>Cliente</t>
  </si>
  <si>
    <t>Margem</t>
  </si>
  <si>
    <t>G&amp;L</t>
  </si>
  <si>
    <t>Agroup</t>
  </si>
  <si>
    <t>Rappi Seg a Qui</t>
  </si>
  <si>
    <t>Rappi Sex Sab Dom</t>
  </si>
  <si>
    <t>Bonalat</t>
  </si>
  <si>
    <t>Wega Marine</t>
  </si>
  <si>
    <t>Nav Supply</t>
  </si>
  <si>
    <t>Casa das carnes</t>
  </si>
  <si>
    <t>Esplanada</t>
  </si>
  <si>
    <t>Costa Marine</t>
  </si>
  <si>
    <t>Argui</t>
  </si>
  <si>
    <t>Und</t>
  </si>
  <si>
    <t>kg</t>
  </si>
  <si>
    <t>un</t>
  </si>
  <si>
    <t>bd</t>
  </si>
  <si>
    <t>sc</t>
  </si>
  <si>
    <t>pc</t>
  </si>
  <si>
    <t>rd</t>
  </si>
  <si>
    <t>mc</t>
  </si>
  <si>
    <t>Frete</t>
  </si>
  <si>
    <t>Preço Und</t>
  </si>
  <si>
    <t>Preço caixa</t>
  </si>
  <si>
    <t>Sim</t>
  </si>
  <si>
    <t>Não</t>
  </si>
  <si>
    <t>Avaria</t>
  </si>
  <si>
    <t>Código</t>
  </si>
  <si>
    <t>OFFSHORE</t>
  </si>
  <si>
    <t>LONGO CURSO</t>
  </si>
  <si>
    <t>CODPROD</t>
  </si>
  <si>
    <t>DESCRICAO_PRODUTO</t>
  </si>
  <si>
    <t>Marca</t>
  </si>
  <si>
    <t>PREÇO POMAR</t>
  </si>
  <si>
    <t>CUSTO IDEAL</t>
  </si>
  <si>
    <t>OBS</t>
  </si>
  <si>
    <t>ULTIMO CUSTO</t>
  </si>
  <si>
    <t>NOVO CUSTO</t>
  </si>
  <si>
    <t>Variação</t>
  </si>
  <si>
    <t>Exemplo Formula</t>
  </si>
  <si>
    <t>Copiar Valores</t>
  </si>
  <si>
    <t>ABACAXI KG</t>
  </si>
  <si>
    <t>ABOBORA JACARE / BAIANA</t>
  </si>
  <si>
    <t>ABOBRINHA</t>
  </si>
  <si>
    <t>AIPIM / MANDIOCA</t>
  </si>
  <si>
    <t>ALHO</t>
  </si>
  <si>
    <t>ALHO PORO FRESCO</t>
  </si>
  <si>
    <t>AMEIXA</t>
  </si>
  <si>
    <t>ASPARGO FRESCO</t>
  </si>
  <si>
    <t>BANANA DAGUA / NANICA</t>
  </si>
  <si>
    <t>BANANA PRATA</t>
  </si>
  <si>
    <t>BATATA INGLESA</t>
  </si>
  <si>
    <t>BROTO DE FEIJAO</t>
  </si>
  <si>
    <t>CEBOLA</t>
  </si>
  <si>
    <t>CENOURA</t>
  </si>
  <si>
    <t>COCO VERDE FRESCO UN</t>
  </si>
  <si>
    <t>COCO SECO KG</t>
  </si>
  <si>
    <t>COGUMELO SHIITAKE FRESCO</t>
  </si>
  <si>
    <t>ERVILHA VERDE FRESCA</t>
  </si>
  <si>
    <t>GOIABA VERMELHA</t>
  </si>
  <si>
    <t>KIWI</t>
  </si>
  <si>
    <t>LIMAO AMARELO</t>
  </si>
  <si>
    <t>LIMAO VERDE</t>
  </si>
  <si>
    <t>MACA VERDE</t>
  </si>
  <si>
    <t>MACA VERMELHA GALA</t>
  </si>
  <si>
    <t>MAMAO PAPAYA/HAVAI</t>
  </si>
  <si>
    <t>MELAO ORANGE CANTALOUPE</t>
  </si>
  <si>
    <t>MILHO EM ESPIGA</t>
  </si>
  <si>
    <t>BD</t>
  </si>
  <si>
    <t>MORANGO FRESCO</t>
  </si>
  <si>
    <t>NABO BRANCO</t>
  </si>
  <si>
    <t xml:space="preserve">PERA WILLIANS </t>
  </si>
  <si>
    <t>PESSEGO</t>
  </si>
  <si>
    <t>QUIABO</t>
  </si>
  <si>
    <t>REPOLHO BRANCO / VERDE</t>
  </si>
  <si>
    <t>TANGERINA / MEXERICA</t>
  </si>
  <si>
    <t>TOMATE SALADA</t>
  </si>
  <si>
    <t>UVA ITALIA / VERDE</t>
  </si>
  <si>
    <t>UVA VERDE SEM CAROCO / THOMPSON</t>
  </si>
  <si>
    <t>UVA VERMELHA SEM CAROCO / CRIMSON</t>
  </si>
  <si>
    <t>VAGEM COMUM / MANTEIGA</t>
  </si>
  <si>
    <t>VAGEM FRANCESA</t>
  </si>
  <si>
    <t>MORANGO FRESCO BDJ</t>
  </si>
  <si>
    <t>MACA VERMELHA ARGENTINA</t>
  </si>
  <si>
    <t>ABACAXI UN</t>
  </si>
  <si>
    <t>CARAMBOLA KG</t>
  </si>
  <si>
    <t>LARANJA BAHIA</t>
  </si>
  <si>
    <t xml:space="preserve">ALHO DESCASCADO </t>
  </si>
  <si>
    <t>ALHO DESCASCADO KG</t>
  </si>
  <si>
    <t>OVOS BRANCOS EMBALADOS DZ (ISOPOR/ACRILICO)</t>
  </si>
  <si>
    <t>ABOBRINHA BRASILEIRA</t>
  </si>
  <si>
    <t>BANANA MACA</t>
  </si>
  <si>
    <t>MANGA ROSA</t>
  </si>
  <si>
    <t xml:space="preserve">UVA VITORIA/ PRETA S/SEMENTE </t>
  </si>
  <si>
    <t>UVA VITORIA/ PRETA S/SEMENTE BDJ 500G</t>
  </si>
  <si>
    <t>BANANA PACOVAM</t>
  </si>
  <si>
    <t>PALMITO IN NATURA BDJ 500G</t>
  </si>
  <si>
    <t>MELÃO ESPANHOL KG</t>
  </si>
  <si>
    <t>BP</t>
  </si>
  <si>
    <t>Coluna1</t>
  </si>
  <si>
    <t>Coluna2</t>
  </si>
  <si>
    <t>Coluna3</t>
  </si>
  <si>
    <t>Coluna4</t>
  </si>
  <si>
    <t>Coluna5</t>
  </si>
  <si>
    <t>Coluna6</t>
  </si>
  <si>
    <t>Coluna7</t>
  </si>
  <si>
    <t>Coluna8</t>
  </si>
  <si>
    <t>Coluna9</t>
  </si>
  <si>
    <t>Coluna10</t>
  </si>
  <si>
    <t>Coluna11</t>
  </si>
  <si>
    <t>Coluna12</t>
  </si>
  <si>
    <t>Coluna13</t>
  </si>
  <si>
    <t>Coluna14</t>
  </si>
  <si>
    <t>Embalado</t>
  </si>
  <si>
    <t>und</t>
  </si>
  <si>
    <t>ABOBRINHA ITALIANA UND</t>
  </si>
  <si>
    <t>BANANA PRATA GRAÚDA UND</t>
  </si>
  <si>
    <t>BANANA PRATA MÉDIA UND</t>
  </si>
  <si>
    <t>BATATA ASTERIX UND</t>
  </si>
  <si>
    <t>BATATA DOCE UND</t>
  </si>
  <si>
    <t>BERINJELA UND</t>
  </si>
  <si>
    <t>BETERRABA UND</t>
  </si>
  <si>
    <t>CEBOLA NACIONAL UND</t>
  </si>
  <si>
    <t>CEBOLA ROXA UND</t>
  </si>
  <si>
    <t>CENOURA 3A UND</t>
  </si>
  <si>
    <t>CHUCHU UND</t>
  </si>
  <si>
    <t>GENGIBRE UND</t>
  </si>
  <si>
    <t>GOIABA VERMELHA UND</t>
  </si>
  <si>
    <t>INHAME UND</t>
  </si>
  <si>
    <t>KIWI IMPORTADO UND</t>
  </si>
  <si>
    <t>LARANJA LIMA UND</t>
  </si>
  <si>
    <t>LARANJA PERA UND</t>
  </si>
  <si>
    <t>LIMAO SICILIANO UND</t>
  </si>
  <si>
    <t>MAÇA FUJI UND</t>
  </si>
  <si>
    <t>MAMAO GAIA - HAVAI UND</t>
  </si>
  <si>
    <t>MANGA PALMER UND</t>
  </si>
  <si>
    <t>MARACUJA UND</t>
  </si>
  <si>
    <t>MELAO AMARELO UND</t>
  </si>
  <si>
    <t>PEPINO JAPONES UND</t>
  </si>
  <si>
    <t>PERA PORTUGUESA UND</t>
  </si>
  <si>
    <t>PIMENTAO AMARELO UND</t>
  </si>
  <si>
    <t>PIMENTAO VERDE UND</t>
  </si>
  <si>
    <t>PIMENTAO VERMELHO UND</t>
  </si>
  <si>
    <t>PONKAN UND</t>
  </si>
  <si>
    <t>TOMATE UND</t>
  </si>
  <si>
    <t>TOMATE ITALIANO UND</t>
  </si>
  <si>
    <t>AVOCADO HASS UND</t>
  </si>
  <si>
    <t>LIMAO NP UND</t>
  </si>
  <si>
    <t>Agrião 80g (processado)</t>
  </si>
  <si>
    <t>Alface crespa 150g (processado)</t>
  </si>
  <si>
    <t>Alho descascado 200g (processado)</t>
  </si>
  <si>
    <t>Alho roxo redinha 250g (processado)</t>
  </si>
  <si>
    <t>Aspargo 450g (processado)</t>
  </si>
  <si>
    <t>Batata asterix redinha 1kg (processado)</t>
  </si>
  <si>
    <t>Batata baroa 500g (processado)</t>
  </si>
  <si>
    <t>Batata doce redinha 1kg (processado)</t>
  </si>
  <si>
    <t>Batata lavada redinha 1kg (processado)</t>
  </si>
  <si>
    <t>Beterraba 500g (processado)</t>
  </si>
  <si>
    <t>Broto de feijão moyashi 500g (processado)</t>
  </si>
  <si>
    <t>Cebola redinha 500g (processado)</t>
  </si>
  <si>
    <t>Cebola roxa redinha 500g (processado)</t>
  </si>
  <si>
    <t>Cheiro verde 80g (processado)</t>
  </si>
  <si>
    <t>Cogumelo Eryngui 200g (processado)</t>
  </si>
  <si>
    <t>Cogumelo Paris 500g (processado)</t>
  </si>
  <si>
    <t>Cogumelo portobello 500g (processado)</t>
  </si>
  <si>
    <t>Cogumelo Shimeji 200g (processado)</t>
  </si>
  <si>
    <t>Cogumelo Shitake 200g (processado)</t>
  </si>
  <si>
    <t>Couve manteiga 150g (processado)</t>
  </si>
  <si>
    <t>Ervilha 200g (processado)</t>
  </si>
  <si>
    <t>Espinafre 150g (processado)</t>
  </si>
  <si>
    <t>Gengibre 250g (processado)</t>
  </si>
  <si>
    <t>Inhame redinha 500g (processado)</t>
  </si>
  <si>
    <t>Laranja lima redinha 500g (processado)</t>
  </si>
  <si>
    <t>Laranja pera redinha 1kg (processado)</t>
  </si>
  <si>
    <t>Limão redinha 500g (processado)</t>
  </si>
  <si>
    <t>Maçã fuji 500g (processado)</t>
  </si>
  <si>
    <t>Maçã gala 1kg (processado)</t>
  </si>
  <si>
    <t>Milho verde embalado 500g (processado)</t>
  </si>
  <si>
    <t>Mix de folhas 150g (processado)</t>
  </si>
  <si>
    <t>Mix de legumes 150g (processado)</t>
  </si>
  <si>
    <t>Pimenta de cheiro 100g (processado)</t>
  </si>
  <si>
    <t>Pimenta dedo de moça 100g (processado)</t>
  </si>
  <si>
    <t>Pimenta malagueta 100g (processado)</t>
  </si>
  <si>
    <t>Rúcula 80g (processado)</t>
  </si>
  <si>
    <t>Tomate carmem 500g (processado)</t>
  </si>
  <si>
    <t>Tomate grape 180g (processado)</t>
  </si>
  <si>
    <t>Tomate grape amarelo 180g (processado)</t>
  </si>
  <si>
    <t>Tomate italiano 500g (processado)</t>
  </si>
  <si>
    <t>Vagem francesa 200g (processado)</t>
  </si>
  <si>
    <t>Vagem manteiga 250g (processado)</t>
  </si>
  <si>
    <t>BANANA NANICA MÉDIA</t>
  </si>
  <si>
    <t>BANANA NANICA GRAUDA</t>
  </si>
  <si>
    <t>BANANA NANICA GRAUDA UND</t>
  </si>
  <si>
    <t>Padaria Santa Marta</t>
  </si>
  <si>
    <t>Manoel e Joaquim</t>
  </si>
  <si>
    <t>Gran Parrilla</t>
  </si>
  <si>
    <t>Gaúcho</t>
  </si>
  <si>
    <t>Samir</t>
  </si>
  <si>
    <t>Coluna15</t>
  </si>
  <si>
    <t>Coluna16</t>
  </si>
  <si>
    <t>Coluna17</t>
  </si>
  <si>
    <t>Coluna18</t>
  </si>
  <si>
    <t>Coluna19</t>
  </si>
  <si>
    <t>Armazém do Grão</t>
  </si>
  <si>
    <t>Coluna20</t>
  </si>
  <si>
    <t>Frete Grão</t>
  </si>
  <si>
    <t>dz</t>
  </si>
  <si>
    <t>BATATA INGLESA UND</t>
  </si>
  <si>
    <t>CAQUI 6</t>
  </si>
  <si>
    <t>CEREJA BD</t>
  </si>
  <si>
    <t>ERVILHA BD</t>
  </si>
  <si>
    <t>MAMAO HAVAI 8</t>
  </si>
  <si>
    <t>PONKAN 16</t>
  </si>
  <si>
    <t>BANANA PRATA GRAUDA</t>
  </si>
  <si>
    <t>Picanha</t>
  </si>
  <si>
    <t>Coluna21</t>
  </si>
  <si>
    <t>Larsson</t>
  </si>
  <si>
    <t>Coluna22</t>
  </si>
  <si>
    <t>PERA PACKHAM´S</t>
  </si>
  <si>
    <t>PERA FORELLI</t>
  </si>
  <si>
    <t>BATATA DOCE G</t>
  </si>
  <si>
    <t>BETERRABA G</t>
  </si>
  <si>
    <t>INHAME CAB</t>
  </si>
  <si>
    <t>GENGIBRE SC</t>
  </si>
  <si>
    <t>Coluna23</t>
  </si>
  <si>
    <t>BATATA INGLESA 2°L</t>
  </si>
  <si>
    <t>CERIGUELA</t>
  </si>
  <si>
    <t>CAJU</t>
  </si>
  <si>
    <t>TANGERINA BERGAMOTA</t>
  </si>
  <si>
    <t>CEBOLA PIRULITO SAQUINHO</t>
  </si>
  <si>
    <t>BATATINHA SAQUINHO</t>
  </si>
  <si>
    <t>CEBOLA ROXA SAQUINHO</t>
  </si>
  <si>
    <t>BANANA PRATA GRAUDA UND</t>
  </si>
  <si>
    <t>MELAO GALIA</t>
  </si>
  <si>
    <t xml:space="preserve">MILHO EM ESPIGA BDJ </t>
  </si>
  <si>
    <t>OVO DE CODORNA EM CONSERVA 440G</t>
  </si>
  <si>
    <t xml:space="preserve">PIMENTA DEDO DE MOCA VERMELHA </t>
  </si>
  <si>
    <t>Coluna24</t>
  </si>
  <si>
    <t>Nova off</t>
  </si>
  <si>
    <t>Nova lc</t>
  </si>
  <si>
    <t>nova lc</t>
  </si>
  <si>
    <t>nova off</t>
  </si>
  <si>
    <t>Tabela 15%</t>
  </si>
  <si>
    <t>tabela 15%</t>
  </si>
  <si>
    <t>ALHO ROXO</t>
  </si>
  <si>
    <t>ALHO BRANCO</t>
  </si>
  <si>
    <t>ALHO BRANCO UND</t>
  </si>
  <si>
    <t>ALHO ROXO UND</t>
  </si>
  <si>
    <t>PITAYA</t>
  </si>
  <si>
    <t>MELAO REI</t>
  </si>
  <si>
    <t xml:space="preserve"> </t>
  </si>
  <si>
    <t>AMEIXA IMPORTADA BD</t>
  </si>
  <si>
    <t>PESSEGO NACIONAL BD</t>
  </si>
  <si>
    <t>Coluna25</t>
  </si>
  <si>
    <t>Forte Fenix</t>
  </si>
  <si>
    <t>ALHO EXTRA B</t>
  </si>
  <si>
    <t>BLUEBERRY</t>
  </si>
  <si>
    <t>UVA RUBI</t>
  </si>
  <si>
    <t>Singula</t>
  </si>
  <si>
    <t>Coluna26</t>
  </si>
  <si>
    <t>RDB</t>
  </si>
  <si>
    <t>Coluna27</t>
  </si>
  <si>
    <t>POLPA DE MORANGO</t>
  </si>
  <si>
    <t>ALFACE CRESPA HIDROPONICA</t>
  </si>
  <si>
    <t>ALFACE CRESPA ROXA UNIDADE</t>
  </si>
  <si>
    <t>BATATA ESCOVADA</t>
  </si>
  <si>
    <t>Rios Gourmet Meier</t>
  </si>
  <si>
    <t>Gato Preto</t>
  </si>
  <si>
    <t>Choperia 461</t>
  </si>
  <si>
    <t>Boteco Rios Barra</t>
  </si>
  <si>
    <t>Boteco Rios Tijuca</t>
  </si>
  <si>
    <t>Boteco Rios Copa</t>
  </si>
  <si>
    <t>Boteco Rios Leme</t>
  </si>
  <si>
    <t>Coluna28</t>
  </si>
  <si>
    <t>Coluna29</t>
  </si>
  <si>
    <t>Coluna30</t>
  </si>
  <si>
    <t>Coluna31</t>
  </si>
  <si>
    <t>Coluna32</t>
  </si>
  <si>
    <t>Coluna33</t>
  </si>
  <si>
    <t>Coluna34</t>
  </si>
  <si>
    <t>EDB</t>
  </si>
  <si>
    <t>ROMA IMPORTADO</t>
  </si>
  <si>
    <t>CEREJA JUMBO</t>
  </si>
  <si>
    <t>LIMAO GRAUDO</t>
  </si>
  <si>
    <t>AMEIXA GRAUDA</t>
  </si>
  <si>
    <t>CEREJA 10</t>
  </si>
  <si>
    <t>CEBOLA NACIONAL CX4</t>
  </si>
  <si>
    <t>CEBOLA NACIONAL CX4 UND</t>
  </si>
  <si>
    <t>GMAP</t>
  </si>
  <si>
    <t>GMAP Nova Friburgo</t>
  </si>
  <si>
    <t>Coluna35</t>
  </si>
  <si>
    <t>Coluna36</t>
  </si>
  <si>
    <t>Frete GMAP</t>
  </si>
  <si>
    <t>Frete GMAP Nova Friburgo</t>
  </si>
  <si>
    <t>MAÇA GALA CAT 1 135</t>
  </si>
  <si>
    <t>AMORA 10X1</t>
  </si>
  <si>
    <t>FRAMBOESA 10X1</t>
  </si>
  <si>
    <t>LICHIA (4X1)</t>
  </si>
  <si>
    <t>PHYSALIS</t>
  </si>
  <si>
    <t>MAÇA GALA CAT 1 100</t>
  </si>
  <si>
    <t>UVA BENITAKA</t>
  </si>
  <si>
    <t>Tabela 20%</t>
  </si>
  <si>
    <t>Coluna37</t>
  </si>
  <si>
    <t>tabela 20%</t>
  </si>
  <si>
    <t>BATATA CAROÇO</t>
  </si>
  <si>
    <t>OVOS BR FILMADO CARTELA C/30 CLASSE A</t>
  </si>
  <si>
    <t>PUPUNHA</t>
  </si>
  <si>
    <t>PRODUTO</t>
  </si>
  <si>
    <t>PREÇO KG</t>
  </si>
  <si>
    <t>Frete Guanabara</t>
  </si>
  <si>
    <t>Guanabara</t>
  </si>
  <si>
    <t>Coluna38</t>
  </si>
  <si>
    <t>ALECRIM KG</t>
  </si>
  <si>
    <t>ACELGA KG</t>
  </si>
  <si>
    <t>AGRIAO KG</t>
  </si>
  <si>
    <t>AIPO / SALSAO KG</t>
  </si>
  <si>
    <t>ALFACE AMERICANA KG</t>
  </si>
  <si>
    <t>ALFACE CRESPA KG</t>
  </si>
  <si>
    <t>ALFACE LISA KG</t>
  </si>
  <si>
    <t>ALFACE ROXA KG</t>
  </si>
  <si>
    <t>ALHO PORO KG</t>
  </si>
  <si>
    <t>BERTALHA KG</t>
  </si>
  <si>
    <t>BROCOLIS AMERICANA KG</t>
  </si>
  <si>
    <t>BROCOLIS COMUM KG</t>
  </si>
  <si>
    <t>CEBOLINHA KG</t>
  </si>
  <si>
    <t>CHEIRO VERDE KG</t>
  </si>
  <si>
    <t>CHICORIA KG</t>
  </si>
  <si>
    <t>COENTRO KG</t>
  </si>
  <si>
    <t>COUVE FLOR KG</t>
  </si>
  <si>
    <t>COUVE MINEIRA KG</t>
  </si>
  <si>
    <t>ESPINAFRE KG</t>
  </si>
  <si>
    <t>HORTELA KG</t>
  </si>
  <si>
    <t>LOURO KG</t>
  </si>
  <si>
    <t>MANJERICAO KG</t>
  </si>
  <si>
    <t>NABO COMPRIDO KG</t>
  </si>
  <si>
    <t>RABANETE KG</t>
  </si>
  <si>
    <t>REPOLHO ROXO KG</t>
  </si>
  <si>
    <t>REPOLHO VERDE KG</t>
  </si>
  <si>
    <t>RUCULA KG</t>
  </si>
  <si>
    <t>SALSA KG</t>
  </si>
  <si>
    <t>SALVIA KG</t>
  </si>
  <si>
    <t>TOMILHO KG</t>
  </si>
  <si>
    <t>Bersani</t>
  </si>
  <si>
    <t>Assumpnutry kg</t>
  </si>
  <si>
    <t>Coluna39</t>
  </si>
  <si>
    <t>Vendedor</t>
  </si>
  <si>
    <t>Assumpnutry</t>
  </si>
  <si>
    <t>Daniel</t>
  </si>
  <si>
    <t>Tabela 25%</t>
  </si>
  <si>
    <t>Coluna40</t>
  </si>
  <si>
    <t>CEBOLA NACIONAL CX2</t>
  </si>
  <si>
    <t>CEBOLA NACIONAL CX1</t>
  </si>
  <si>
    <t>CEBOLA NACIONAL CX3</t>
  </si>
  <si>
    <t>CEBOLA NACIONAL CX3 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</si>
</sst>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&quot;R$&quot;\ #,##0.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gradientFill degree="180">
        <stop position="0">
          <color theme="0"/>
        </stop>
        <stop position="1">
          <color rgb="FF00F26D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12" borderId="0">
      <alignment horizontal="center" vertical="center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2">
    <xf numFmtId="0" fontId="0" fillId="0" borderId="0" xfId="0"/>
    <xf numFmtId="0" fontId="3" fillId="0" borderId="0" xfId="0" applyFont="1"/>
    <xf numFmtId="9" fontId="0" fillId="0" borderId="0" xfId="2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center"/>
    </xf>
    <xf numFmtId="44" fontId="0" fillId="0" borderId="0" xfId="4" applyFont="1" applyAlignment="1">
      <alignment horizontal="center"/>
    </xf>
    <xf numFmtId="0" fontId="0" fillId="0" borderId="0" xfId="0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165" fontId="6" fillId="5" borderId="1" xfId="0" applyNumberFormat="1" applyFont="1" applyFill="1" applyBorder="1" applyAlignment="1">
      <alignment horizontal="center"/>
    </xf>
    <xf numFmtId="44" fontId="7" fillId="6" borderId="1" xfId="4" applyFont="1" applyFill="1" applyBorder="1" applyAlignment="1">
      <alignment horizontal="center"/>
    </xf>
    <xf numFmtId="44" fontId="6" fillId="7" borderId="1" xfId="4" applyFont="1" applyFill="1" applyBorder="1" applyAlignment="1">
      <alignment horizontal="center"/>
    </xf>
    <xf numFmtId="9" fontId="6" fillId="4" borderId="1" xfId="4" applyNumberFormat="1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9" borderId="0" xfId="0" applyFont="1" applyFill="1"/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center"/>
    </xf>
    <xf numFmtId="0" fontId="0" fillId="0" borderId="1" xfId="0" applyBorder="1"/>
    <xf numFmtId="44" fontId="8" fillId="0" borderId="1" xfId="4" applyFont="1" applyBorder="1" applyAlignment="1" applyProtection="1">
      <alignment horizontal="center" vertical="center"/>
      <protection locked="0"/>
    </xf>
    <xf numFmtId="44" fontId="0" fillId="0" borderId="1" xfId="4" applyFont="1" applyBorder="1" applyAlignment="1" applyProtection="1">
      <alignment horizontal="center"/>
      <protection locked="0"/>
    </xf>
    <xf numFmtId="0" fontId="0" fillId="10" borderId="1" xfId="0" applyFill="1" applyBorder="1" applyAlignment="1" applyProtection="1">
      <alignment horizontal="center"/>
      <protection locked="0"/>
    </xf>
    <xf numFmtId="9" fontId="0" fillId="0" borderId="1" xfId="2" applyFont="1" applyBorder="1" applyProtection="1"/>
    <xf numFmtId="0" fontId="6" fillId="0" borderId="1" xfId="2" applyNumberFormat="1" applyFont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44" fontId="0" fillId="10" borderId="1" xfId="4" applyFont="1" applyFill="1" applyBorder="1" applyAlignment="1">
      <alignment horizontal="center"/>
    </xf>
    <xf numFmtId="165" fontId="0" fillId="10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0" borderId="1" xfId="0" applyFill="1" applyBorder="1" applyAlignment="1">
      <alignment horizontal="left"/>
    </xf>
    <xf numFmtId="44" fontId="0" fillId="10" borderId="1" xfId="4" applyFont="1" applyFill="1" applyBorder="1" applyAlignment="1">
      <alignment horizontal="left"/>
    </xf>
    <xf numFmtId="165" fontId="1" fillId="10" borderId="1" xfId="4" applyNumberFormat="1" applyFont="1" applyFill="1" applyBorder="1" applyAlignment="1">
      <alignment horizontal="center"/>
    </xf>
    <xf numFmtId="0" fontId="0" fillId="11" borderId="1" xfId="0" applyFill="1" applyBorder="1"/>
    <xf numFmtId="0" fontId="0" fillId="9" borderId="1" xfId="0" applyFill="1" applyBorder="1"/>
    <xf numFmtId="165" fontId="9" fillId="10" borderId="1" xfId="0" applyNumberFormat="1" applyFont="1" applyFill="1" applyBorder="1" applyAlignment="1">
      <alignment horizontal="center"/>
    </xf>
    <xf numFmtId="44" fontId="0" fillId="10" borderId="1" xfId="4" applyFont="1" applyFill="1" applyBorder="1" applyProtection="1">
      <protection locked="0"/>
    </xf>
    <xf numFmtId="0" fontId="0" fillId="10" borderId="0" xfId="0" applyFill="1" applyAlignment="1">
      <alignment horizontal="left"/>
    </xf>
    <xf numFmtId="44" fontId="0" fillId="10" borderId="0" xfId="4" applyFont="1" applyFill="1" applyBorder="1" applyAlignment="1">
      <alignment horizontal="left"/>
    </xf>
    <xf numFmtId="165" fontId="9" fillId="10" borderId="0" xfId="0" applyNumberFormat="1" applyFont="1" applyFill="1" applyAlignment="1">
      <alignment horizontal="center"/>
    </xf>
    <xf numFmtId="165" fontId="0" fillId="10" borderId="0" xfId="0" applyNumberFormat="1" applyFill="1" applyAlignment="1">
      <alignment horizontal="center"/>
    </xf>
    <xf numFmtId="0" fontId="0" fillId="11" borderId="0" xfId="0" applyFill="1"/>
    <xf numFmtId="0" fontId="8" fillId="0" borderId="1" xfId="0" applyFont="1" applyBorder="1" applyAlignment="1">
      <alignment horizontal="center" vertical="center"/>
    </xf>
    <xf numFmtId="165" fontId="8" fillId="0" borderId="1" xfId="4" applyNumberFormat="1" applyFont="1" applyBorder="1" applyAlignment="1" applyProtection="1">
      <alignment horizontal="center" vertical="center"/>
      <protection locked="0"/>
    </xf>
    <xf numFmtId="0" fontId="0" fillId="10" borderId="3" xfId="0" applyFill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Alignment="1">
      <alignment horizontal="left" vertical="center"/>
    </xf>
    <xf numFmtId="0" fontId="3" fillId="0" borderId="0" xfId="3" applyNumberFormat="1" applyFont="1" applyFill="1" applyBorder="1"/>
    <xf numFmtId="44" fontId="3" fillId="0" borderId="0" xfId="3" applyFont="1" applyFill="1" applyBorder="1" applyAlignment="1">
      <alignment horizontal="left"/>
    </xf>
    <xf numFmtId="0" fontId="3" fillId="10" borderId="0" xfId="0" applyFont="1" applyFill="1"/>
    <xf numFmtId="0" fontId="0" fillId="10" borderId="0" xfId="3" applyNumberFormat="1" applyFont="1" applyFill="1" applyBorder="1"/>
    <xf numFmtId="44" fontId="0" fillId="10" borderId="0" xfId="0" applyNumberFormat="1" applyFill="1"/>
    <xf numFmtId="0" fontId="3" fillId="10" borderId="0" xfId="0" applyFont="1" applyFill="1" applyAlignment="1">
      <alignment horizontal="left"/>
    </xf>
    <xf numFmtId="0" fontId="4" fillId="10" borderId="0" xfId="0" applyFont="1" applyFill="1"/>
    <xf numFmtId="0" fontId="10" fillId="2" borderId="0" xfId="0" applyFont="1" applyFill="1" applyAlignment="1">
      <alignment horizontal="center" vertical="center"/>
    </xf>
    <xf numFmtId="9" fontId="0" fillId="0" borderId="0" xfId="2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12" borderId="4" xfId="6" applyFont="1" applyBorder="1" applyAlignment="1">
      <alignment horizontal="left" vertical="center"/>
    </xf>
    <xf numFmtId="9" fontId="7" fillId="0" borderId="4" xfId="2" applyFont="1" applyFill="1" applyBorder="1" applyAlignment="1">
      <alignment horizontal="center" vertical="center"/>
    </xf>
    <xf numFmtId="0" fontId="1" fillId="0" borderId="0" xfId="0" applyFont="1"/>
    <xf numFmtId="0" fontId="3" fillId="0" borderId="0" xfId="3" applyNumberFormat="1" applyFont="1" applyFill="1"/>
    <xf numFmtId="44" fontId="3" fillId="0" borderId="0" xfId="3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3" applyNumberFormat="1" applyFont="1" applyFill="1" applyBorder="1" applyAlignment="1" applyProtection="1">
      <alignment horizontal="right"/>
    </xf>
    <xf numFmtId="0" fontId="0" fillId="0" borderId="0" xfId="3" applyNumberFormat="1" applyFont="1" applyFill="1" applyAlignment="1" applyProtection="1">
      <alignment horizontal="right"/>
    </xf>
    <xf numFmtId="0" fontId="1" fillId="0" borderId="0" xfId="3" applyNumberFormat="1" applyFont="1" applyFill="1" applyAlignment="1" applyProtection="1">
      <alignment horizontal="right"/>
    </xf>
    <xf numFmtId="0" fontId="3" fillId="0" borderId="0" xfId="0" applyFont="1" applyAlignment="1">
      <alignment horizontal="right"/>
    </xf>
    <xf numFmtId="0" fontId="1" fillId="0" borderId="0" xfId="1" applyNumberFormat="1" applyFont="1" applyFill="1" applyBorder="1" applyAlignment="1" applyProtection="1">
      <alignment vertical="center" wrapText="1"/>
    </xf>
    <xf numFmtId="164" fontId="1" fillId="0" borderId="0" xfId="1" applyNumberFormat="1" applyFont="1" applyFill="1" applyBorder="1" applyAlignment="1" applyProtection="1"/>
    <xf numFmtId="0" fontId="0" fillId="0" borderId="0" xfId="1" applyNumberFormat="1" applyFont="1" applyFill="1" applyAlignment="1" applyProtection="1">
      <alignment vertical="center" wrapText="1"/>
    </xf>
    <xf numFmtId="0" fontId="1" fillId="0" borderId="0" xfId="1" applyNumberFormat="1" applyFont="1" applyFill="1" applyBorder="1" applyAlignment="1" applyProtection="1"/>
    <xf numFmtId="0" fontId="1" fillId="0" borderId="0" xfId="1" applyNumberFormat="1" applyFont="1" applyFill="1" applyAlignment="1" applyProtection="1">
      <alignment vertical="center" wrapText="1"/>
    </xf>
    <xf numFmtId="44" fontId="1" fillId="0" borderId="0" xfId="1" applyFont="1" applyFill="1" applyAlignment="1" applyProtection="1"/>
    <xf numFmtId="44" fontId="0" fillId="0" borderId="0" xfId="1" applyFont="1" applyFill="1" applyAlignment="1" applyProtection="1"/>
    <xf numFmtId="44" fontId="1" fillId="0" borderId="0" xfId="3" applyFont="1" applyFill="1" applyBorder="1" applyAlignment="1" applyProtection="1"/>
    <xf numFmtId="0" fontId="3" fillId="0" borderId="0" xfId="1" applyNumberFormat="1" applyFont="1" applyFill="1" applyAlignment="1" applyProtection="1">
      <alignment vertical="center"/>
    </xf>
    <xf numFmtId="44" fontId="0" fillId="0" borderId="0" xfId="3" applyFont="1" applyFill="1" applyAlignment="1" applyProtection="1"/>
    <xf numFmtId="164" fontId="0" fillId="0" borderId="0" xfId="1" applyNumberFormat="1" applyFont="1" applyFill="1" applyAlignment="1" applyProtection="1"/>
    <xf numFmtId="44" fontId="1" fillId="0" borderId="0" xfId="3" applyFont="1" applyFill="1" applyAlignment="1" applyProtection="1"/>
    <xf numFmtId="164" fontId="1" fillId="0" borderId="0" xfId="1" applyNumberFormat="1" applyFont="1" applyFill="1" applyAlignment="1" applyProtection="1"/>
    <xf numFmtId="0" fontId="1" fillId="0" borderId="0" xfId="1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0" fontId="7" fillId="0" borderId="4" xfId="6" applyFont="1" applyFill="1" applyBorder="1" applyProtection="1">
      <alignment horizontal="center" vertical="center"/>
      <protection locked="0"/>
    </xf>
    <xf numFmtId="0" fontId="0" fillId="0" borderId="0" xfId="3" applyNumberFormat="1" applyFont="1" applyFill="1" applyBorder="1" applyAlignment="1" applyProtection="1">
      <alignment horizontal="right"/>
    </xf>
    <xf numFmtId="44" fontId="0" fillId="0" borderId="0" xfId="3" applyFont="1" applyFill="1" applyBorder="1" applyAlignment="1" applyProtection="1"/>
    <xf numFmtId="164" fontId="0" fillId="0" borderId="0" xfId="1" applyNumberFormat="1" applyFont="1" applyFill="1" applyBorder="1" applyAlignment="1" applyProtection="1"/>
    <xf numFmtId="0" fontId="0" fillId="0" borderId="0" xfId="1" applyNumberFormat="1" applyFont="1" applyFill="1" applyBorder="1" applyAlignment="1" applyProtection="1">
      <alignment vertical="center" wrapText="1"/>
    </xf>
    <xf numFmtId="0" fontId="11" fillId="0" borderId="0" xfId="1" applyNumberFormat="1" applyFont="1" applyFill="1" applyAlignment="1" applyProtection="1">
      <alignment vertical="center"/>
    </xf>
    <xf numFmtId="0" fontId="12" fillId="0" borderId="0" xfId="3" applyNumberFormat="1" applyFont="1" applyFill="1" applyAlignment="1" applyProtection="1">
      <alignment horizontal="right"/>
    </xf>
    <xf numFmtId="0" fontId="11" fillId="0" borderId="0" xfId="3" applyNumberFormat="1" applyFont="1" applyFill="1" applyBorder="1"/>
    <xf numFmtId="44" fontId="11" fillId="0" borderId="0" xfId="3" applyFont="1" applyFill="1" applyBorder="1" applyAlignment="1">
      <alignment horizontal="left"/>
    </xf>
    <xf numFmtId="44" fontId="8" fillId="10" borderId="1" xfId="1" applyFont="1" applyFill="1" applyBorder="1" applyAlignment="1" applyProtection="1">
      <alignment horizontal="center" vertical="center"/>
    </xf>
    <xf numFmtId="44" fontId="1" fillId="10" borderId="1" xfId="1" applyFont="1" applyFill="1" applyBorder="1" applyAlignment="1" applyProtection="1">
      <alignment horizontal="center"/>
    </xf>
    <xf numFmtId="44" fontId="1" fillId="10" borderId="2" xfId="1" applyFont="1" applyFill="1" applyBorder="1" applyAlignment="1" applyProtection="1">
      <alignment horizontal="center"/>
    </xf>
    <xf numFmtId="44" fontId="0" fillId="0" borderId="1" xfId="1" applyFont="1" applyBorder="1" applyProtection="1"/>
    <xf numFmtId="44" fontId="1" fillId="10" borderId="1" xfId="1" applyFont="1" applyFill="1" applyBorder="1" applyProtection="1"/>
    <xf numFmtId="44" fontId="1" fillId="10" borderId="1" xfId="1" applyFont="1" applyFill="1" applyBorder="1" applyAlignment="1" applyProtection="1">
      <protection locked="0"/>
    </xf>
    <xf numFmtId="44" fontId="1" fillId="10" borderId="0" xfId="1" applyFont="1" applyFill="1" applyBorder="1" applyProtection="1"/>
    <xf numFmtId="44" fontId="0" fillId="0" borderId="1" xfId="1" applyFont="1" applyBorder="1" applyAlignment="1" applyProtection="1">
      <alignment horizontal="center"/>
    </xf>
    <xf numFmtId="44" fontId="0" fillId="0" borderId="1" xfId="1" applyFont="1" applyBorder="1" applyProtection="1">
      <protection locked="0"/>
    </xf>
    <xf numFmtId="44" fontId="1" fillId="10" borderId="1" xfId="1" applyFont="1" applyFill="1" applyBorder="1" applyProtection="1">
      <protection locked="0"/>
    </xf>
    <xf numFmtId="44" fontId="8" fillId="10" borderId="1" xfId="1" applyFont="1" applyFill="1" applyBorder="1" applyAlignment="1" applyProtection="1">
      <alignment vertical="center"/>
      <protection locked="0"/>
    </xf>
    <xf numFmtId="43" fontId="0" fillId="0" borderId="1" xfId="7" applyFont="1" applyBorder="1"/>
    <xf numFmtId="44" fontId="0" fillId="0" borderId="0" xfId="1" applyFont="1" applyBorder="1" applyProtection="1"/>
    <xf numFmtId="44" fontId="1" fillId="0" borderId="1" xfId="1" applyFont="1" applyBorder="1" applyProtection="1"/>
    <xf numFmtId="0" fontId="13" fillId="0" borderId="0" xfId="1" applyNumberFormat="1" applyFont="1" applyFill="1" applyAlignment="1" applyProtection="1">
      <alignment vertical="center"/>
    </xf>
    <xf numFmtId="0" fontId="13" fillId="0" borderId="0" xfId="3" applyNumberFormat="1" applyFont="1" applyFill="1" applyBorder="1"/>
    <xf numFmtId="44" fontId="13" fillId="0" borderId="0" xfId="3" applyFont="1" applyFill="1" applyBorder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1" applyNumberFormat="1" applyFont="1" applyFill="1" applyAlignment="1" applyProtection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1" applyNumberFormat="1" applyFont="1" applyFill="1" applyAlignment="1" applyProtection="1">
      <alignment vertical="center"/>
    </xf>
    <xf numFmtId="0" fontId="1" fillId="0" borderId="0" xfId="0" applyFont="1" applyAlignment="1">
      <alignment horizontal="right"/>
    </xf>
    <xf numFmtId="0" fontId="14" fillId="0" borderId="0" xfId="1" applyNumberFormat="1" applyFont="1" applyFill="1" applyAlignment="1" applyProtection="1">
      <alignment vertical="center"/>
    </xf>
    <xf numFmtId="0" fontId="14" fillId="0" borderId="0" xfId="3" applyNumberFormat="1" applyFont="1" applyFill="1" applyBorder="1"/>
    <xf numFmtId="44" fontId="14" fillId="0" borderId="0" xfId="3" applyFont="1" applyFill="1" applyBorder="1" applyAlignment="1">
      <alignment horizontal="left"/>
    </xf>
    <xf numFmtId="0" fontId="15" fillId="0" borderId="0" xfId="1" applyNumberFormat="1" applyFont="1" applyFill="1" applyAlignment="1" applyProtection="1">
      <alignment vertical="center"/>
    </xf>
    <xf numFmtId="0" fontId="16" fillId="0" borderId="0" xfId="3" applyNumberFormat="1" applyFont="1" applyFill="1" applyBorder="1" applyAlignment="1" applyProtection="1">
      <alignment horizontal="right"/>
    </xf>
    <xf numFmtId="0" fontId="16" fillId="0" borderId="0" xfId="1" applyNumberFormat="1" applyFont="1" applyFill="1" applyBorder="1" applyAlignment="1" applyProtection="1">
      <alignment vertical="center" wrapText="1"/>
    </xf>
    <xf numFmtId="164" fontId="16" fillId="0" borderId="0" xfId="1" applyNumberFormat="1" applyFont="1" applyFill="1" applyBorder="1" applyAlignment="1" applyProtection="1"/>
    <xf numFmtId="0" fontId="15" fillId="0" borderId="0" xfId="3" applyNumberFormat="1" applyFont="1" applyFill="1" applyBorder="1"/>
    <xf numFmtId="44" fontId="15" fillId="0" borderId="0" xfId="3" applyFont="1" applyFill="1" applyBorder="1" applyAlignment="1">
      <alignment horizontal="left"/>
    </xf>
    <xf numFmtId="0" fontId="17" fillId="0" borderId="0" xfId="1" applyNumberFormat="1" applyFont="1" applyFill="1" applyAlignment="1" applyProtection="1">
      <alignment vertical="center"/>
    </xf>
    <xf numFmtId="0" fontId="18" fillId="0" borderId="0" xfId="3" applyNumberFormat="1" applyFont="1" applyFill="1" applyBorder="1" applyAlignment="1" applyProtection="1">
      <alignment horizontal="right"/>
    </xf>
    <xf numFmtId="0" fontId="17" fillId="0" borderId="0" xfId="3" applyNumberFormat="1" applyFont="1" applyFill="1" applyBorder="1"/>
    <xf numFmtId="44" fontId="17" fillId="0" borderId="0" xfId="3" applyFont="1" applyFill="1" applyBorder="1" applyAlignment="1">
      <alignment horizontal="left"/>
    </xf>
    <xf numFmtId="0" fontId="19" fillId="0" borderId="0" xfId="1" applyNumberFormat="1" applyFont="1" applyFill="1" applyAlignment="1" applyProtection="1">
      <alignment vertical="center"/>
    </xf>
    <xf numFmtId="0" fontId="20" fillId="0" borderId="0" xfId="3" applyNumberFormat="1" applyFont="1" applyFill="1" applyBorder="1" applyAlignment="1" applyProtection="1">
      <alignment horizontal="right"/>
    </xf>
    <xf numFmtId="0" fontId="19" fillId="0" borderId="0" xfId="3" applyNumberFormat="1" applyFont="1" applyFill="1" applyBorder="1"/>
    <xf numFmtId="44" fontId="19" fillId="0" borderId="0" xfId="3" applyFont="1" applyFill="1" applyBorder="1" applyAlignment="1">
      <alignment horizontal="left"/>
    </xf>
    <xf numFmtId="0" fontId="3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" fillId="11" borderId="0" xfId="0" applyFont="1" applyFill="1" applyAlignment="1">
      <alignment horizontal="left" vertical="center"/>
    </xf>
    <xf numFmtId="44" fontId="2" fillId="11" borderId="0" xfId="1" applyFont="1" applyFill="1" applyAlignment="1">
      <alignment horizontal="left" vertical="center"/>
    </xf>
    <xf numFmtId="44" fontId="0" fillId="0" borderId="0" xfId="1" applyFont="1"/>
    <xf numFmtId="0" fontId="22" fillId="0" borderId="0" xfId="1" applyNumberFormat="1" applyFont="1" applyFill="1" applyAlignment="1" applyProtection="1">
      <alignment vertical="center"/>
    </xf>
    <xf numFmtId="0" fontId="23" fillId="0" borderId="0" xfId="3" applyNumberFormat="1" applyFont="1" applyFill="1" applyAlignment="1" applyProtection="1">
      <alignment horizontal="right"/>
    </xf>
    <xf numFmtId="164" fontId="23" fillId="0" borderId="0" xfId="1" applyNumberFormat="1" applyFont="1" applyFill="1" applyAlignment="1" applyProtection="1"/>
    <xf numFmtId="44" fontId="23" fillId="0" borderId="0" xfId="1" applyFont="1" applyFill="1" applyAlignment="1" applyProtection="1"/>
    <xf numFmtId="0" fontId="23" fillId="0" borderId="0" xfId="3" applyNumberFormat="1" applyFont="1" applyFill="1" applyBorder="1" applyAlignment="1" applyProtection="1">
      <alignment horizontal="right"/>
    </xf>
    <xf numFmtId="164" fontId="23" fillId="0" borderId="0" xfId="1" applyNumberFormat="1" applyFont="1" applyFill="1" applyBorder="1" applyAlignment="1" applyProtection="1"/>
    <xf numFmtId="0" fontId="22" fillId="0" borderId="0" xfId="3" applyNumberFormat="1" applyFont="1" applyFill="1" applyBorder="1"/>
    <xf numFmtId="44" fontId="22" fillId="0" borderId="0" xfId="3" applyFont="1" applyFill="1" applyBorder="1" applyAlignment="1">
      <alignment horizontal="left"/>
    </xf>
    <xf numFmtId="44" fontId="3" fillId="0" borderId="0" xfId="1" applyFont="1" applyFill="1" applyAlignment="1" applyProtection="1"/>
    <xf numFmtId="0" fontId="24" fillId="0" borderId="0" xfId="1" applyNumberFormat="1" applyFont="1" applyFill="1" applyAlignment="1" applyProtection="1">
      <alignment vertical="center"/>
    </xf>
    <xf numFmtId="0" fontId="24" fillId="0" borderId="0" xfId="3" applyNumberFormat="1" applyFont="1" applyFill="1" applyBorder="1"/>
    <xf numFmtId="44" fontId="24" fillId="0" borderId="0" xfId="3" applyFont="1" applyFill="1" applyBorder="1" applyAlignment="1">
      <alignment horizontal="left"/>
    </xf>
    <xf numFmtId="0" fontId="25" fillId="0" borderId="0" xfId="3" applyNumberFormat="1" applyFont="1" applyFill="1" applyBorder="1" applyAlignment="1" applyProtection="1">
      <alignment horizontal="right"/>
    </xf>
    <xf numFmtId="164" fontId="25" fillId="0" borderId="0" xfId="1" applyNumberFormat="1" applyFont="1" applyFill="1" applyBorder="1" applyAlignment="1" applyProtection="1"/>
    <xf numFmtId="44" fontId="25" fillId="0" borderId="0" xfId="1" applyFont="1" applyFill="1" applyAlignment="1" applyProtection="1"/>
    <xf numFmtId="0" fontId="26" fillId="11" borderId="0" xfId="0" applyFont="1" applyFill="1" applyAlignment="1">
      <alignment horizontal="left" vertical="center"/>
    </xf>
    <xf numFmtId="0" fontId="27" fillId="0" borderId="0" xfId="0" applyFont="1" applyAlignment="1">
      <alignment horizontal="center" vertical="center"/>
    </xf>
    <xf numFmtId="0" fontId="25" fillId="0" borderId="0" xfId="3" applyNumberFormat="1" applyFont="1" applyFill="1" applyAlignment="1" applyProtection="1">
      <alignment horizontal="right"/>
    </xf>
    <xf numFmtId="164" fontId="25" fillId="0" borderId="0" xfId="1" applyNumberFormat="1" applyFont="1" applyFill="1" applyAlignment="1" applyProtection="1"/>
    <xf numFmtId="44" fontId="0" fillId="0" borderId="0" xfId="1" applyFont="1" applyFill="1"/>
    <xf numFmtId="44" fontId="3" fillId="0" borderId="0" xfId="3" applyFont="1" applyFill="1" applyAlignment="1">
      <alignment vertical="center"/>
    </xf>
    <xf numFmtId="44" fontId="3" fillId="0" borderId="0" xfId="3" applyFont="1" applyFill="1" applyBorder="1" applyAlignment="1">
      <alignment vertical="center"/>
    </xf>
    <xf numFmtId="0" fontId="28" fillId="0" borderId="0" xfId="0" applyFont="1" applyAlignment="1">
      <alignment vertical="center"/>
    </xf>
    <xf numFmtId="0" fontId="1" fillId="0" borderId="0" xfId="3" applyNumberFormat="1" applyFont="1" applyFill="1" applyBorder="1" applyAlignment="1" applyProtection="1">
      <alignment horizont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3" applyNumberFormat="1" applyFont="1" applyFill="1" applyAlignment="1" applyProtection="1">
      <alignment horizontal="center"/>
    </xf>
    <xf numFmtId="0" fontId="0" fillId="0" borderId="0" xfId="3" applyNumberFormat="1" applyFont="1" applyFill="1" applyAlignment="1" applyProtection="1">
      <alignment horizontal="center"/>
    </xf>
    <xf numFmtId="0" fontId="0" fillId="0" borderId="0" xfId="3" applyNumberFormat="1" applyFont="1" applyFill="1" applyBorder="1" applyAlignment="1" applyProtection="1">
      <alignment horizontal="center"/>
    </xf>
    <xf numFmtId="44" fontId="0" fillId="0" borderId="0" xfId="1" applyFont="1" applyProtection="1">
      <protection locked="0"/>
    </xf>
    <xf numFmtId="44" fontId="3" fillId="0" borderId="0" xfId="1" applyFont="1" applyFill="1" applyAlignment="1" applyProtection="1">
      <protection locked="0"/>
    </xf>
    <xf numFmtId="0" fontId="29" fillId="0" borderId="0" xfId="0" applyFont="1" applyAlignment="1">
      <alignment horizontal="center" vertical="center"/>
    </xf>
    <xf numFmtId="44" fontId="3" fillId="0" borderId="0" xfId="1" applyFont="1" applyFill="1" applyBorder="1" applyAlignment="1" applyProtection="1">
      <alignment vertical="center"/>
      <protection locked="0"/>
    </xf>
    <xf numFmtId="44" fontId="3" fillId="0" borderId="0" xfId="1" applyFont="1" applyFill="1" applyAlignment="1" applyProtection="1">
      <alignment vertical="center"/>
    </xf>
    <xf numFmtId="44" fontId="3" fillId="0" borderId="0" xfId="1" applyFont="1" applyFill="1" applyAlignment="1" applyProtection="1">
      <alignment vertical="center"/>
      <protection locked="0"/>
    </xf>
    <xf numFmtId="44" fontId="3" fillId="0" borderId="0" xfId="1" applyFont="1" applyFill="1" applyBorder="1" applyAlignment="1" applyProtection="1">
      <protection locked="0"/>
    </xf>
    <xf numFmtId="44" fontId="1" fillId="0" borderId="0" xfId="1" applyFont="1" applyFill="1" applyBorder="1" applyAlignment="1" applyProtection="1">
      <alignment vertical="center"/>
      <protection locked="0"/>
    </xf>
    <xf numFmtId="44" fontId="3" fillId="0" borderId="0" xfId="1" applyFont="1" applyFill="1" applyBorder="1" applyAlignment="1" applyProtection="1">
      <alignment vertical="center" wrapText="1"/>
      <protection locked="0"/>
    </xf>
    <xf numFmtId="0" fontId="7" fillId="0" borderId="0" xfId="0" applyFont="1" applyAlignment="1">
      <alignment horizontal="center" vertical="center" wrapText="1"/>
    </xf>
    <xf numFmtId="0" fontId="0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/>
    </xf>
    <xf numFmtId="44" fontId="3" fillId="0" borderId="0" xfId="3" applyNumberFormat="1" applyFont="1" applyFill="1" applyAlignment="1">
      <alignment horizontal="left"/>
    </xf>
    <xf numFmtId="0" fontId="28" fillId="0" borderId="0" xfId="0" applyFont="1" applyFill="1" applyAlignment="1" applyProtection="1">
      <alignment vertical="center"/>
    </xf>
  </cellXfs>
  <cellStyles count="9">
    <cellStyle name="Estilo 1" xfId="6" xr:uid="{00000000-0005-0000-0000-000000000000}"/>
    <cellStyle name="Moeda" xfId="1" builtinId="4"/>
    <cellStyle name="Moeda 2" xfId="8" xr:uid="{99723088-3D61-4F56-98F7-41DA341E2E2B}"/>
    <cellStyle name="Moeda 2 2" xfId="4" xr:uid="{00000000-0005-0000-0000-000002000000}"/>
    <cellStyle name="Moeda 2 2 2" xfId="5" xr:uid="{00000000-0005-0000-0000-000003000000}"/>
    <cellStyle name="Moeda 4" xfId="3" xr:uid="{00000000-0005-0000-0000-000004000000}"/>
    <cellStyle name="Normal" xfId="0" builtinId="0"/>
    <cellStyle name="Porcentagem" xfId="2" builtinId="5"/>
    <cellStyle name="Vírgula" xfId="7" builtinId="3"/>
  </cellStyles>
  <dxfs count="100">
    <dxf>
      <font>
        <color rgb="FF9C5700"/>
      </font>
      <fill>
        <patternFill>
          <bgColor rgb="FFFFEB9C"/>
        </patternFill>
      </fill>
    </dxf>
    <dxf>
      <fill>
        <patternFill>
          <bgColor theme="9" tint="0.79998168889431442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border outline="0">
        <bottom style="medium">
          <color theme="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R$&quot;* #,##0.00_);_(&quot;R$&quot;* \(#,##0.00\);_(&quot;R$&quot;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FF0000"/>
        </patternFill>
      </fill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indexed="65"/>
        </patternFill>
      </fill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</dxf>
    <dxf>
      <font>
        <color auto="1"/>
      </font>
      <numFmt numFmtId="0" formatCode="General"/>
      <fill>
        <patternFill patternType="none">
          <fgColor indexed="64"/>
          <bgColor indexed="65"/>
        </patternFill>
      </fill>
    </dxf>
    <dxf>
      <font>
        <color auto="1"/>
      </font>
      <fill>
        <patternFill patternType="none">
          <fgColor indexed="64"/>
          <bgColor indexed="65"/>
        </patternFill>
      </fill>
    </dxf>
    <dxf>
      <font>
        <color auto="1"/>
      </font>
      <fill>
        <patternFill patternType="none">
          <fgColor indexed="64"/>
          <bgColor indexed="65"/>
        </patternFill>
      </fill>
    </dxf>
    <dxf>
      <font>
        <color auto="1"/>
      </font>
      <fill>
        <patternFill patternType="none">
          <fgColor indexed="64"/>
          <bgColor indexed="65"/>
        </patternFill>
      </fill>
    </dxf>
    <dxf>
      <font>
        <color auto="1"/>
      </font>
      <fill>
        <patternFill patternType="none">
          <fgColor indexed="64"/>
          <bgColor indexed="65"/>
        </patternFill>
      </fill>
    </dxf>
    <dxf>
      <font>
        <color auto="1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color auto="1"/>
      </font>
      <fill>
        <patternFill patternType="none">
          <fgColor indexed="64"/>
          <bgColor indexed="65"/>
        </patternFill>
      </fill>
    </dxf>
    <dxf>
      <font>
        <color auto="1"/>
      </font>
      <fill>
        <patternFill patternType="none">
          <fgColor indexed="64"/>
          <bgColor indexed="65"/>
        </patternFill>
      </fill>
    </dxf>
    <dxf>
      <font>
        <color auto="1"/>
      </font>
      <fill>
        <patternFill patternType="none">
          <fgColor indexed="64"/>
          <bgColor indexed="65"/>
        </patternFill>
      </fill>
    </dxf>
    <dxf>
      <font>
        <color auto="1"/>
      </font>
      <fill>
        <patternFill patternType="none">
          <fgColor indexed="64"/>
          <bgColor indexed="65"/>
        </patternFill>
      </fill>
    </dxf>
    <dxf>
      <font>
        <color auto="1"/>
      </font>
      <fill>
        <patternFill patternType="none">
          <fgColor indexed="64"/>
          <bgColor indexed="65"/>
        </patternFill>
      </fill>
    </dxf>
    <dxf>
      <font>
        <color auto="1"/>
      </font>
      <fill>
        <patternFill patternType="none">
          <fgColor indexed="64"/>
          <bgColor indexed="65"/>
        </patternFill>
      </fill>
    </dxf>
    <dxf>
      <font>
        <color auto="1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4" formatCode="_-&quot;R$&quot;\ * #,##0.00_-;\-&quot;R$&quot;\ * #,##0.00_-;_-&quot;R$&quot;\ * &quot;-&quot;??_-;_-@_-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protection locked="1" hidden="0"/>
    </dxf>
    <dxf>
      <border outline="0">
        <top style="medium">
          <color theme="1"/>
        </top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R$&quot;* #,##0.00_);_(&quot;R$&quot;* \(#,##0.00\);_(&quot;R$&quot;* &quot;-&quot;??_);_(@_)"/>
      <fill>
        <patternFill patternType="none">
          <fgColor indexed="64"/>
          <bgColor auto="1"/>
        </patternFill>
      </fill>
      <alignment horizontal="general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general" textRotation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protection locked="1" hidden="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81536301767021"/>
          <bgColor rgb="FFE3DDFF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0691854609822"/>
          <bgColor rgb="FFFFE5F6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b/>
        <color theme="0"/>
      </font>
      <fill>
        <patternFill patternType="solid">
          <fgColor rgb="FFFF66CC"/>
          <bgColor rgb="FFFF66CC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</dxfs>
  <tableStyles count="2" defaultTableStyle="TableStyleMedium2" defaultPivotStyle="PivotStyleLight16">
    <tableStyle name="TableStyleMedium16 2" pivot="0" count="7" xr9:uid="{00000000-0011-0000-FFFF-FFFF00000000}">
      <tableStyleElement type="wholeTable" dxfId="99"/>
      <tableStyleElement type="headerRow" dxfId="98"/>
      <tableStyleElement type="totalRow" dxfId="97"/>
      <tableStyleElement type="firstColumn" dxfId="96"/>
      <tableStyleElement type="lastColumn" dxfId="95"/>
      <tableStyleElement type="firstRowStripe" dxfId="94"/>
      <tableStyleElement type="firstColumnStripe" dxfId="93"/>
    </tableStyle>
    <tableStyle name="TableStyleMedium16 3" pivot="0" count="7" xr9:uid="{00000000-0011-0000-FFFF-FFFF01000000}">
      <tableStyleElement type="wholeTable" dxfId="92"/>
      <tableStyleElement type="headerRow" dxfId="91"/>
      <tableStyleElement type="totalRow" dxfId="90"/>
      <tableStyleElement type="firstColumn" dxfId="89"/>
      <tableStyleElement type="lastColumn" dxfId="88"/>
      <tableStyleElement type="firstRowStripe" dxfId="87"/>
      <tableStyleElement type="firstColumnStripe" dxfId="86"/>
    </tableStyle>
  </tableStyles>
  <colors>
    <mruColors>
      <color rgb="FFFF0066"/>
      <color rgb="FFFF0909"/>
      <color rgb="FFFF66CC"/>
      <color rgb="FF00F26D"/>
      <color rgb="FFE3DDFF"/>
      <color rgb="FFD3C9FF"/>
      <color rgb="FFFFE5F6"/>
      <color rgb="FFFFD1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483836</xdr:colOff>
      <xdr:row>0</xdr:row>
      <xdr:rowOff>59927</xdr:rowOff>
    </xdr:from>
    <xdr:to>
      <xdr:col>8</xdr:col>
      <xdr:colOff>133000</xdr:colOff>
      <xdr:row>4</xdr:row>
      <xdr:rowOff>155177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CD0EF81A-05C0-4325-B2A3-332F0BD46BA0}"/>
            </a:ext>
          </a:extLst>
        </xdr:cNvPr>
        <xdr:cNvSpPr/>
      </xdr:nvSpPr>
      <xdr:spPr>
        <a:xfrm>
          <a:off x="6878660" y="59927"/>
          <a:ext cx="2159281" cy="842309"/>
        </a:xfrm>
        <a:prstGeom prst="roundRect">
          <a:avLst/>
        </a:prstGeom>
        <a:noFill/>
        <a:ln w="571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0</xdr:col>
      <xdr:colOff>510381</xdr:colOff>
      <xdr:row>0</xdr:row>
      <xdr:rowOff>0</xdr:rowOff>
    </xdr:from>
    <xdr:to>
      <xdr:col>4</xdr:col>
      <xdr:colOff>484430</xdr:colOff>
      <xdr:row>6</xdr:row>
      <xdr:rowOff>153000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22B7D74-C539-4053-9B29-B285951CD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381" y="0"/>
          <a:ext cx="5083815" cy="12840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_Custos" displayName="T_Custos" ref="A1:K397" totalsRowShown="0" headerRowDxfId="85" dataDxfId="84">
  <autoFilter ref="A1:K397" xr:uid="{00000000-0009-0000-0100-000002000000}"/>
  <sortState xmlns:xlrd2="http://schemas.microsoft.com/office/spreadsheetml/2017/richdata2" ref="A41:K156">
    <sortCondition ref="C1:C397"/>
  </sortState>
  <tableColumns count="11">
    <tableColumn id="9" xr3:uid="{00000000-0010-0000-0000-000009000000}" name="Código" dataDxfId="83" dataCellStyle="Moeda"/>
    <tableColumn id="10" xr3:uid="{00000000-0010-0000-0000-00000A000000}" name="BP" dataDxfId="82" dataCellStyle="Moeda"/>
    <tableColumn id="1" xr3:uid="{00000000-0010-0000-0000-000001000000}" name="Produto" dataDxfId="81"/>
    <tableColumn id="2" xr3:uid="{00000000-0010-0000-0000-000002000000}" name="Custo" dataDxfId="80" dataCellStyle="Moeda"/>
    <tableColumn id="3" xr3:uid="{00000000-0010-0000-0000-000003000000}" name="Peso" dataDxfId="79" dataCellStyle="Moeda 4"/>
    <tableColumn id="4" xr3:uid="{00000000-0010-0000-0000-000004000000}" name="Und" dataDxfId="78" dataCellStyle="Moeda 4"/>
    <tableColumn id="11" xr3:uid="{BE9C5C3F-2010-4FCE-A8A1-E1DEC017DF23}" name="Seção" dataDxfId="77" dataCellStyle="Moeda 4"/>
    <tableColumn id="5" xr3:uid="{00000000-0010-0000-0000-000005000000}" name="Vendedor" dataDxfId="76" dataCellStyle="Moeda"/>
    <tableColumn id="6" xr3:uid="{00000000-0010-0000-0000-000006000000}" name="Frete" dataDxfId="75" dataCellStyle="Moeda"/>
    <tableColumn id="7" xr3:uid="{00000000-0010-0000-0000-000007000000}" name="Embalado" dataDxfId="74" dataCellStyle="Moeda"/>
    <tableColumn id="8" xr3:uid="{00000000-0010-0000-0000-000008000000}" name="Avaria" dataDxfId="73" dataCellStyle="Moeda"/>
  </tableColumns>
  <tableStyleInfo name="TableStyleMedium16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_Prod_Cli" displayName="T_Prod_Cli" ref="A1:AQ397" totalsRowShown="0" headerRowDxfId="72" dataDxfId="71" tableBorderDxfId="70">
  <autoFilter ref="A1:AQ397" xr:uid="{00000000-0009-0000-0100-000003000000}"/>
  <sortState xmlns:xlrd2="http://schemas.microsoft.com/office/spreadsheetml/2017/richdata2" ref="A2:AQ397">
    <sortCondition ref="A1:A397"/>
  </sortState>
  <tableColumns count="43">
    <tableColumn id="1" xr3:uid="{00000000-0010-0000-0100-000001000000}" name="Produto" dataDxfId="69"/>
    <tableColumn id="2" xr3:uid="{00000000-0010-0000-0100-000002000000}" name="Peso" dataDxfId="68" dataCellStyle="Moeda 4">
      <calculatedColumnFormula>_xlfn.XLOOKUP(A2,T_Custos[Produto],T_Custos[Peso])</calculatedColumnFormula>
    </tableColumn>
    <tableColumn id="3" xr3:uid="{00000000-0010-0000-0100-000003000000}" name="Und" dataDxfId="67" dataCellStyle="Moeda 4">
      <calculatedColumnFormula>_xlfn.XLOOKUP(A2,T_Custos[Produto],T_Custos[Und])</calculatedColumnFormula>
    </tableColumn>
    <tableColumn id="4" xr3:uid="{00000000-0010-0000-0100-000004000000}" name="Coluna1" dataDxfId="66"/>
    <tableColumn id="5" xr3:uid="{00000000-0010-0000-0100-000005000000}" name="Coluna2" dataDxfId="65"/>
    <tableColumn id="6" xr3:uid="{00000000-0010-0000-0100-000006000000}" name="Coluna3" dataDxfId="64"/>
    <tableColumn id="7" xr3:uid="{00000000-0010-0000-0100-000007000000}" name="Coluna4" dataDxfId="63"/>
    <tableColumn id="8" xr3:uid="{00000000-0010-0000-0100-000008000000}" name="Coluna5" dataDxfId="62"/>
    <tableColumn id="9" xr3:uid="{00000000-0010-0000-0100-000009000000}" name="Coluna6" dataDxfId="61"/>
    <tableColumn id="10" xr3:uid="{00000000-0010-0000-0100-00000A000000}" name="Coluna7" dataDxfId="60"/>
    <tableColumn id="41" xr3:uid="{00000000-0010-0000-0100-000029000000}" name="Coluna8" dataDxfId="59"/>
    <tableColumn id="11" xr3:uid="{00000000-0010-0000-0100-00000B000000}" name="Coluna9" dataDxfId="58"/>
    <tableColumn id="12" xr3:uid="{00000000-0010-0000-0100-00000C000000}" name="Coluna10" dataDxfId="57"/>
    <tableColumn id="13" xr3:uid="{00000000-0010-0000-0100-00000D000000}" name="Coluna11" dataDxfId="56"/>
    <tableColumn id="14" xr3:uid="{00000000-0010-0000-0100-00000E000000}" name="Coluna12" dataDxfId="55"/>
    <tableColumn id="15" xr3:uid="{00000000-0010-0000-0100-00000F000000}" name="Coluna13" dataDxfId="54"/>
    <tableColumn id="16" xr3:uid="{00000000-0010-0000-0100-000010000000}" name="Coluna14" dataDxfId="53"/>
    <tableColumn id="17" xr3:uid="{00000000-0010-0000-0100-000011000000}" name="Coluna15" dataDxfId="52"/>
    <tableColumn id="18" xr3:uid="{00000000-0010-0000-0100-000012000000}" name="Coluna16" dataDxfId="51"/>
    <tableColumn id="19" xr3:uid="{00000000-0010-0000-0100-000013000000}" name="Coluna17" dataDxfId="50"/>
    <tableColumn id="20" xr3:uid="{00000000-0010-0000-0100-000014000000}" name="Coluna18" dataDxfId="49"/>
    <tableColumn id="21" xr3:uid="{00000000-0010-0000-0100-000015000000}" name="Coluna19" dataDxfId="48"/>
    <tableColumn id="22" xr3:uid="{00000000-0010-0000-0100-000016000000}" name="Coluna20" dataDxfId="47"/>
    <tableColumn id="23" xr3:uid="{00000000-0010-0000-0100-000017000000}" name="Coluna21" dataDxfId="46"/>
    <tableColumn id="24" xr3:uid="{00000000-0010-0000-0100-000018000000}" name="Coluna22" dataDxfId="45"/>
    <tableColumn id="25" xr3:uid="{00000000-0010-0000-0100-000019000000}" name="Coluna23" dataDxfId="44"/>
    <tableColumn id="26" xr3:uid="{00000000-0010-0000-0100-00001A000000}" name="Coluna24" dataDxfId="43"/>
    <tableColumn id="28" xr3:uid="{00000000-0010-0000-0100-00001C000000}" name="Coluna25" dataDxfId="42"/>
    <tableColumn id="27" xr3:uid="{00000000-0010-0000-0100-00001B000000}" name="Coluna26" dataDxfId="41"/>
    <tableColumn id="30" xr3:uid="{00000000-0010-0000-0100-00001E000000}" name="Coluna27" dataDxfId="40"/>
    <tableColumn id="31" xr3:uid="{00000000-0010-0000-0100-00001F000000}" name="Coluna28" dataDxfId="39"/>
    <tableColumn id="32" xr3:uid="{00000000-0010-0000-0100-000020000000}" name="Coluna29" dataDxfId="38"/>
    <tableColumn id="33" xr3:uid="{00000000-0010-0000-0100-000021000000}" name="Coluna30" dataDxfId="37"/>
    <tableColumn id="34" xr3:uid="{00000000-0010-0000-0100-000022000000}" name="Coluna31" dataDxfId="36"/>
    <tableColumn id="35" xr3:uid="{00000000-0010-0000-0100-000023000000}" name="Coluna32" dataDxfId="35"/>
    <tableColumn id="36" xr3:uid="{00000000-0010-0000-0100-000024000000}" name="Coluna33" dataDxfId="34"/>
    <tableColumn id="37" xr3:uid="{00000000-0010-0000-0100-000025000000}" name="Coluna34" dataDxfId="33"/>
    <tableColumn id="38" xr3:uid="{00000000-0010-0000-0100-000026000000}" name="Coluna35" dataDxfId="32"/>
    <tableColumn id="39" xr3:uid="{00000000-0010-0000-0100-000027000000}" name="Coluna36" dataDxfId="31"/>
    <tableColumn id="40" xr3:uid="{00000000-0010-0000-0100-000028000000}" name="Coluna37" dataDxfId="30"/>
    <tableColumn id="42" xr3:uid="{5E1BFD16-5653-4876-B11F-B60A2EB1F41C}" name="Coluna38" dataDxfId="29"/>
    <tableColumn id="29" xr3:uid="{15C3B2A5-4890-4533-9CC4-38F21684B85B}" name="Coluna39" dataDxfId="28"/>
    <tableColumn id="43" xr3:uid="{CD364782-A709-4C57-85BC-10C7DE67C1BB}" name="Coluna40" dataDxfId="27"/>
  </tableColumns>
  <tableStyleInfo name="TableStyleMedium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_Margens" displayName="T_Margens" ref="A1:C43" totalsRowShown="0" headerRowDxfId="26" dataDxfId="25">
  <autoFilter ref="A1:C43" xr:uid="{00000000-0009-0000-0100-000001000000}"/>
  <sortState xmlns:xlrd2="http://schemas.microsoft.com/office/spreadsheetml/2017/richdata2" ref="A2:C43">
    <sortCondition ref="A1:A43"/>
  </sortState>
  <tableColumns count="3">
    <tableColumn id="1" xr3:uid="{00000000-0010-0000-0200-000001000000}" name="Cliente" dataDxfId="24"/>
    <tableColumn id="2" xr3:uid="{00000000-0010-0000-0200-000002000000}" name="Margem" dataDxfId="23" dataCellStyle="Porcentagem"/>
    <tableColumn id="3" xr3:uid="{00000000-0010-0000-0200-000003000000}" name="Frete" dataDxfId="22"/>
  </tableColumns>
  <tableStyleInfo name="TableStyleMedium16 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_Fretes" displayName="T_Fretes" ref="A1:G358" totalsRowShown="0" headerRowDxfId="21">
  <autoFilter ref="A1:G358" xr:uid="{00000000-0009-0000-0100-000004000000}"/>
  <sortState xmlns:xlrd2="http://schemas.microsoft.com/office/spreadsheetml/2017/richdata2" ref="A2:G358">
    <sortCondition ref="A1:A358"/>
  </sortState>
  <tableColumns count="7">
    <tableColumn id="1" xr3:uid="{00000000-0010-0000-0300-000001000000}" name="Produto" dataDxfId="20"/>
    <tableColumn id="6" xr3:uid="{00000000-0010-0000-0300-000006000000}" name="Peso" dataDxfId="19" dataCellStyle="Moeda 4"/>
    <tableColumn id="5" xr3:uid="{00000000-0010-0000-0300-000005000000}" name="Und" dataDxfId="18" dataCellStyle="Moeda 4"/>
    <tableColumn id="2" xr3:uid="{00000000-0010-0000-0300-000002000000}" name="Frete Grão" dataDxfId="17" dataCellStyle="Moeda"/>
    <tableColumn id="3" xr3:uid="{00000000-0010-0000-0300-000003000000}" name="Frete GMAP" dataDxfId="16" dataCellStyle="Moeda"/>
    <tableColumn id="4" xr3:uid="{00000000-0010-0000-0300-000004000000}" name="Frete GMAP Nova Friburgo" dataDxfId="15" dataCellStyle="Moeda"/>
    <tableColumn id="7" xr3:uid="{AF982B73-3171-45AB-969E-820E4587293F}" name="Frete Guanabara" dataCellStyle="Moeda"/>
  </tableColumns>
  <tableStyleInfo name="TableStyleMedium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B7A18E-D6AE-4FD2-9C22-030A238E3565}" name="T_Assumpnutry" displayName="T_Assumpnutry" ref="A1:B31" totalsRowShown="0" headerRowDxfId="14" dataDxfId="13" tableBorderDxfId="12">
  <autoFilter ref="A1:B31" xr:uid="{6AB7A18E-D6AE-4FD2-9C22-030A238E3565}"/>
  <tableColumns count="2">
    <tableColumn id="1" xr3:uid="{CD94F095-8212-45DA-B38B-7BA5A9A3D490}" name="PRODUTO" dataDxfId="11"/>
    <tableColumn id="2" xr3:uid="{8F11A653-474D-4A22-BA1F-E015C24E62C8}" name="PREÇO KG" dataDxfId="10" dataCellStyle="Moeda 4"/>
  </tableColumns>
  <tableStyleInfo name="TableStyleMedium16 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tabColor rgb="FFFF66CC"/>
  </sheetPr>
  <dimension ref="A1:K397"/>
  <sheetViews>
    <sheetView showGridLines="0" tabSelected="1" workbookViewId="0">
      <selection activeCell="C7" sqref="C7"/>
    </sheetView>
  </sheetViews>
  <sheetFormatPr defaultColWidth="9.1796875" defaultRowHeight="14.5" x14ac:dyDescent="0.35"/>
  <cols>
    <col min="1" max="1" width="9.453125" style="84" bestFit="1" customWidth="1"/>
    <col min="2" max="2" width="9.453125" style="84" customWidth="1"/>
    <col min="3" max="3" width="48.81640625" style="57" bestFit="1" customWidth="1"/>
    <col min="4" max="4" width="12.81640625" style="63" customWidth="1"/>
    <col min="5" max="5" width="7.54296875" style="70" customWidth="1"/>
    <col min="6" max="6" width="7" style="63" customWidth="1"/>
    <col min="7" max="7" width="8.1796875" style="164" bestFit="1" customWidth="1"/>
    <col min="8" max="8" width="15.453125" style="63" bestFit="1" customWidth="1"/>
    <col min="9" max="9" width="8.1796875" style="63" bestFit="1" customWidth="1"/>
    <col min="10" max="10" width="12" style="63" bestFit="1" customWidth="1"/>
    <col min="11" max="11" width="15.54296875" style="63" customWidth="1"/>
    <col min="12" max="16384" width="9.1796875" style="63"/>
  </cols>
  <sheetData>
    <row r="1" spans="1:11" s="66" customFormat="1" x14ac:dyDescent="0.35">
      <c r="A1" s="113" t="s">
        <v>276</v>
      </c>
      <c r="B1" s="113" t="s">
        <v>347</v>
      </c>
      <c r="C1" s="47" t="s">
        <v>234</v>
      </c>
      <c r="D1" s="114" t="s">
        <v>236</v>
      </c>
      <c r="E1" s="114" t="s">
        <v>237</v>
      </c>
      <c r="F1" s="114" t="s">
        <v>262</v>
      </c>
      <c r="G1" s="163" t="s">
        <v>238</v>
      </c>
      <c r="H1" s="114" t="s">
        <v>594</v>
      </c>
      <c r="I1" s="114" t="s">
        <v>270</v>
      </c>
      <c r="J1" s="114" t="s">
        <v>362</v>
      </c>
      <c r="K1" s="114" t="s">
        <v>275</v>
      </c>
    </row>
    <row r="2" spans="1:11" x14ac:dyDescent="0.35">
      <c r="A2" s="79">
        <v>100</v>
      </c>
      <c r="B2" s="79">
        <v>1661</v>
      </c>
      <c r="C2" s="134" t="s">
        <v>0</v>
      </c>
      <c r="D2" s="168">
        <v>70</v>
      </c>
      <c r="E2" s="67">
        <v>15</v>
      </c>
      <c r="F2" s="78" t="s">
        <v>263</v>
      </c>
      <c r="G2" s="162">
        <v>6</v>
      </c>
      <c r="H2" s="63" t="s">
        <v>239</v>
      </c>
      <c r="I2" s="72">
        <v>3.5</v>
      </c>
      <c r="J2" s="76">
        <v>0</v>
      </c>
      <c r="K2" s="76">
        <v>5</v>
      </c>
    </row>
    <row r="3" spans="1:11" x14ac:dyDescent="0.35">
      <c r="A3" s="79">
        <v>4</v>
      </c>
      <c r="B3" s="79">
        <v>18786</v>
      </c>
      <c r="C3" s="134" t="s">
        <v>1</v>
      </c>
      <c r="D3" s="171">
        <v>66.400000000000006</v>
      </c>
      <c r="E3" s="67">
        <v>10</v>
      </c>
      <c r="F3" s="78" t="s">
        <v>264</v>
      </c>
      <c r="G3" s="162">
        <v>6</v>
      </c>
      <c r="H3" s="63" t="s">
        <v>239</v>
      </c>
      <c r="I3" s="72">
        <v>3.5</v>
      </c>
      <c r="J3" s="76">
        <v>0</v>
      </c>
      <c r="K3" s="76">
        <v>0</v>
      </c>
    </row>
    <row r="4" spans="1:11" x14ac:dyDescent="0.35">
      <c r="A4" s="79">
        <v>126</v>
      </c>
      <c r="B4" s="79">
        <v>1663</v>
      </c>
      <c r="C4" s="161" t="s">
        <v>2</v>
      </c>
      <c r="D4" s="171">
        <v>1.99</v>
      </c>
      <c r="E4" s="67">
        <v>1</v>
      </c>
      <c r="F4" s="78" t="s">
        <v>263</v>
      </c>
      <c r="G4" s="162">
        <v>7</v>
      </c>
      <c r="H4" s="63" t="s">
        <v>240</v>
      </c>
      <c r="I4" s="72">
        <v>0.35</v>
      </c>
      <c r="J4" s="76">
        <v>0</v>
      </c>
      <c r="K4" s="76">
        <v>2</v>
      </c>
    </row>
    <row r="5" spans="1:11" x14ac:dyDescent="0.35">
      <c r="A5" s="79">
        <v>2310</v>
      </c>
      <c r="B5" s="79"/>
      <c r="C5" s="134" t="s">
        <v>3</v>
      </c>
      <c r="D5" s="171" t="s">
        <v>235</v>
      </c>
      <c r="E5" s="67">
        <v>15</v>
      </c>
      <c r="F5" s="78" t="s">
        <v>263</v>
      </c>
      <c r="G5" s="162">
        <v>5</v>
      </c>
      <c r="H5" s="71" t="s">
        <v>241</v>
      </c>
      <c r="I5" s="72">
        <v>3.5</v>
      </c>
      <c r="J5" s="76">
        <v>0</v>
      </c>
      <c r="K5" s="76">
        <v>5</v>
      </c>
    </row>
    <row r="6" spans="1:11" x14ac:dyDescent="0.35">
      <c r="A6" s="79"/>
      <c r="B6" s="79"/>
      <c r="C6" s="134" t="s">
        <v>4</v>
      </c>
      <c r="D6" s="171" t="s">
        <v>235</v>
      </c>
      <c r="E6" s="67">
        <v>1</v>
      </c>
      <c r="F6" s="78" t="s">
        <v>263</v>
      </c>
      <c r="G6" s="162">
        <v>7</v>
      </c>
      <c r="H6" s="63" t="s">
        <v>240</v>
      </c>
      <c r="I6" s="72">
        <v>0.35</v>
      </c>
      <c r="J6" s="76">
        <v>0</v>
      </c>
      <c r="K6" s="76">
        <v>2</v>
      </c>
    </row>
    <row r="7" spans="1:11" x14ac:dyDescent="0.35">
      <c r="A7" s="79">
        <v>129</v>
      </c>
      <c r="B7" s="79">
        <v>24701</v>
      </c>
      <c r="C7" s="161" t="s">
        <v>5</v>
      </c>
      <c r="D7" s="171">
        <v>1.5</v>
      </c>
      <c r="E7" s="67">
        <v>1</v>
      </c>
      <c r="F7" s="78" t="s">
        <v>263</v>
      </c>
      <c r="G7" s="162">
        <v>7</v>
      </c>
      <c r="H7" s="63" t="s">
        <v>240</v>
      </c>
      <c r="I7" s="72">
        <v>0.35</v>
      </c>
      <c r="J7" s="76">
        <v>0</v>
      </c>
      <c r="K7" s="76">
        <v>2</v>
      </c>
    </row>
    <row r="8" spans="1:11" x14ac:dyDescent="0.35">
      <c r="A8" s="79"/>
      <c r="B8" s="79"/>
      <c r="C8" s="134" t="s">
        <v>6</v>
      </c>
      <c r="D8" s="171" t="s">
        <v>235</v>
      </c>
      <c r="E8" s="67">
        <v>1</v>
      </c>
      <c r="F8" s="78" t="s">
        <v>263</v>
      </c>
      <c r="G8" s="162">
        <v>7</v>
      </c>
      <c r="H8" s="63" t="s">
        <v>240</v>
      </c>
      <c r="I8" s="72">
        <v>0.35</v>
      </c>
      <c r="J8" s="76">
        <v>0</v>
      </c>
      <c r="K8" s="76">
        <v>2</v>
      </c>
    </row>
    <row r="9" spans="1:11" x14ac:dyDescent="0.35">
      <c r="A9" s="79">
        <v>124</v>
      </c>
      <c r="B9" s="79">
        <v>9910</v>
      </c>
      <c r="C9" s="161" t="s">
        <v>7</v>
      </c>
      <c r="D9" s="171">
        <v>1.29</v>
      </c>
      <c r="E9" s="67">
        <v>1</v>
      </c>
      <c r="F9" s="78" t="s">
        <v>263</v>
      </c>
      <c r="G9" s="162">
        <v>7</v>
      </c>
      <c r="H9" s="63" t="s">
        <v>240</v>
      </c>
      <c r="I9" s="72">
        <v>0.35</v>
      </c>
      <c r="J9" s="76">
        <v>0</v>
      </c>
      <c r="K9" s="76">
        <v>2</v>
      </c>
    </row>
    <row r="10" spans="1:11" x14ac:dyDescent="0.35">
      <c r="A10" s="79">
        <v>8030</v>
      </c>
      <c r="B10" s="79">
        <v>48085</v>
      </c>
      <c r="C10" s="161" t="s">
        <v>8</v>
      </c>
      <c r="D10" s="171">
        <v>18</v>
      </c>
      <c r="E10" s="67">
        <v>1</v>
      </c>
      <c r="F10" s="78" t="s">
        <v>263</v>
      </c>
      <c r="G10" s="162">
        <v>7</v>
      </c>
      <c r="H10" s="63" t="s">
        <v>240</v>
      </c>
      <c r="I10" s="72">
        <v>0.3</v>
      </c>
      <c r="J10" s="76">
        <v>0</v>
      </c>
      <c r="K10" s="76">
        <v>2</v>
      </c>
    </row>
    <row r="11" spans="1:11" x14ac:dyDescent="0.35">
      <c r="A11" s="79">
        <v>128</v>
      </c>
      <c r="B11" s="79">
        <v>34960</v>
      </c>
      <c r="C11" s="161" t="s">
        <v>9</v>
      </c>
      <c r="D11" s="171">
        <v>2.2000000000000002</v>
      </c>
      <c r="E11" s="67">
        <v>1</v>
      </c>
      <c r="F11" s="78" t="s">
        <v>263</v>
      </c>
      <c r="G11" s="162">
        <v>7</v>
      </c>
      <c r="H11" s="63" t="s">
        <v>240</v>
      </c>
      <c r="I11" s="72">
        <v>0.3</v>
      </c>
      <c r="J11" s="76">
        <v>0</v>
      </c>
      <c r="K11" s="76">
        <v>2</v>
      </c>
    </row>
    <row r="12" spans="1:11" x14ac:dyDescent="0.35">
      <c r="A12" s="79">
        <v>125</v>
      </c>
      <c r="B12" s="79">
        <v>1664</v>
      </c>
      <c r="C12" s="161" t="s">
        <v>10</v>
      </c>
      <c r="D12" s="171">
        <v>2.36</v>
      </c>
      <c r="E12" s="67">
        <v>1</v>
      </c>
      <c r="F12" s="78" t="s">
        <v>263</v>
      </c>
      <c r="G12" s="162">
        <v>7</v>
      </c>
      <c r="H12" s="63" t="s">
        <v>240</v>
      </c>
      <c r="I12" s="72">
        <v>0.35</v>
      </c>
      <c r="J12" s="76">
        <v>0</v>
      </c>
      <c r="K12" s="76">
        <v>2</v>
      </c>
    </row>
    <row r="13" spans="1:11" x14ac:dyDescent="0.35">
      <c r="A13" s="79">
        <v>15</v>
      </c>
      <c r="B13" s="79">
        <v>1665</v>
      </c>
      <c r="C13" s="161" t="s">
        <v>11</v>
      </c>
      <c r="D13" s="171">
        <v>90</v>
      </c>
      <c r="E13" s="67">
        <v>17</v>
      </c>
      <c r="F13" s="78" t="s">
        <v>263</v>
      </c>
      <c r="G13" s="162">
        <v>5</v>
      </c>
      <c r="H13" s="71" t="s">
        <v>241</v>
      </c>
      <c r="I13" s="72">
        <v>3.5</v>
      </c>
      <c r="J13" s="76">
        <v>0</v>
      </c>
      <c r="K13" s="76">
        <v>5</v>
      </c>
    </row>
    <row r="14" spans="1:11" x14ac:dyDescent="0.35">
      <c r="A14" s="79"/>
      <c r="B14" s="79"/>
      <c r="C14" s="134" t="s">
        <v>364</v>
      </c>
      <c r="D14" s="147">
        <f>IFERROR(_xlfn.XLOOKUP("ABOBRINHA ITALIANA",T_Custos[Produto],T_Custos[Custo])/_xlfn.XLOOKUP("ABOBRINHA ITALIANA",T_Custos[Produto],T_Custos[Peso])*0.5,"Em falta")</f>
        <v>2.6470588235294117</v>
      </c>
      <c r="E14" s="68">
        <v>1</v>
      </c>
      <c r="F14" s="80" t="s">
        <v>363</v>
      </c>
      <c r="G14" s="162">
        <v>5</v>
      </c>
      <c r="H14" s="71" t="s">
        <v>241</v>
      </c>
      <c r="I14" s="72">
        <v>0.3</v>
      </c>
      <c r="J14" s="77">
        <v>0</v>
      </c>
      <c r="K14" s="77">
        <v>0.1</v>
      </c>
    </row>
    <row r="15" spans="1:11" x14ac:dyDescent="0.35">
      <c r="A15" s="79"/>
      <c r="B15" s="79">
        <v>3643</v>
      </c>
      <c r="C15" s="134" t="s">
        <v>12</v>
      </c>
      <c r="D15" s="171" t="s">
        <v>235</v>
      </c>
      <c r="E15" s="67">
        <v>18</v>
      </c>
      <c r="F15" s="78" t="s">
        <v>263</v>
      </c>
      <c r="G15" s="162">
        <v>5</v>
      </c>
      <c r="H15" s="71" t="s">
        <v>241</v>
      </c>
      <c r="I15" s="72">
        <v>4.8</v>
      </c>
      <c r="J15" s="76">
        <v>0</v>
      </c>
      <c r="K15" s="76">
        <v>5</v>
      </c>
    </row>
    <row r="16" spans="1:11" x14ac:dyDescent="0.35">
      <c r="A16" s="79">
        <v>5478</v>
      </c>
      <c r="B16" s="79"/>
      <c r="C16" s="57" t="s">
        <v>186</v>
      </c>
      <c r="D16" s="171">
        <v>3.5</v>
      </c>
      <c r="E16" s="67">
        <v>1</v>
      </c>
      <c r="F16" s="78" t="s">
        <v>264</v>
      </c>
      <c r="G16" s="162"/>
      <c r="H16" s="74" t="s">
        <v>595</v>
      </c>
      <c r="I16" s="72">
        <v>0.4</v>
      </c>
      <c r="J16" s="76">
        <v>0</v>
      </c>
      <c r="K16" s="76">
        <v>0</v>
      </c>
    </row>
    <row r="17" spans="1:11" x14ac:dyDescent="0.35">
      <c r="A17" s="148"/>
      <c r="B17" s="148"/>
      <c r="C17" s="57" t="s">
        <v>562</v>
      </c>
      <c r="D17" s="172">
        <f>_xlfn.XLOOKUP(T_Custos[[#This Row],[Produto]],T_Assumpnutry[PRODUTO],T_Assumpnutry[PREÇO KG])</f>
        <v>4</v>
      </c>
      <c r="E17" s="156">
        <v>1</v>
      </c>
      <c r="F17" s="78" t="s">
        <v>263</v>
      </c>
      <c r="G17" s="162"/>
      <c r="H17" s="73" t="s">
        <v>592</v>
      </c>
      <c r="I17" s="157">
        <v>0.4</v>
      </c>
      <c r="J17" s="153">
        <v>0</v>
      </c>
      <c r="K17" s="153">
        <v>0</v>
      </c>
    </row>
    <row r="18" spans="1:11" x14ac:dyDescent="0.35">
      <c r="A18" s="79">
        <v>9021</v>
      </c>
      <c r="B18" s="79"/>
      <c r="C18" s="57" t="s">
        <v>188</v>
      </c>
      <c r="D18" s="171">
        <v>1.5</v>
      </c>
      <c r="E18" s="67">
        <v>1</v>
      </c>
      <c r="F18" s="78" t="s">
        <v>264</v>
      </c>
      <c r="G18" s="162"/>
      <c r="H18" s="74" t="s">
        <v>595</v>
      </c>
      <c r="I18" s="72">
        <v>0.4</v>
      </c>
      <c r="J18" s="76">
        <v>0</v>
      </c>
      <c r="K18" s="76">
        <v>0</v>
      </c>
    </row>
    <row r="19" spans="1:11" x14ac:dyDescent="0.35">
      <c r="A19" s="115">
        <v>519</v>
      </c>
      <c r="B19" s="115"/>
      <c r="C19" s="57" t="s">
        <v>397</v>
      </c>
      <c r="D19" s="173">
        <v>1.5</v>
      </c>
      <c r="E19" s="69">
        <v>1</v>
      </c>
      <c r="F19" s="82" t="s">
        <v>267</v>
      </c>
      <c r="G19" s="165"/>
      <c r="H19" s="74" t="s">
        <v>595</v>
      </c>
      <c r="I19" s="83">
        <v>0.3</v>
      </c>
      <c r="J19" s="76">
        <v>1.8</v>
      </c>
      <c r="K19" s="77">
        <v>0.1</v>
      </c>
    </row>
    <row r="20" spans="1:11" x14ac:dyDescent="0.35">
      <c r="A20" s="79"/>
      <c r="B20" s="79"/>
      <c r="C20" s="57" t="s">
        <v>223</v>
      </c>
      <c r="D20" s="171">
        <v>2.5</v>
      </c>
      <c r="E20" s="67">
        <v>1</v>
      </c>
      <c r="F20" s="78" t="s">
        <v>264</v>
      </c>
      <c r="G20" s="162"/>
      <c r="H20" s="74" t="s">
        <v>595</v>
      </c>
      <c r="I20" s="72">
        <v>0.4</v>
      </c>
      <c r="J20" s="76">
        <v>0</v>
      </c>
      <c r="K20" s="76">
        <v>0</v>
      </c>
    </row>
    <row r="21" spans="1:11" x14ac:dyDescent="0.35">
      <c r="A21" s="148"/>
      <c r="B21" s="148"/>
      <c r="C21" s="57" t="s">
        <v>563</v>
      </c>
      <c r="D21" s="172">
        <f>_xlfn.XLOOKUP(T_Custos[[#This Row],[Produto]],T_Assumpnutry[PRODUTO],T_Assumpnutry[PREÇO KG])</f>
        <v>5.2</v>
      </c>
      <c r="E21" s="156">
        <v>1</v>
      </c>
      <c r="F21" s="78" t="s">
        <v>263</v>
      </c>
      <c r="G21" s="162"/>
      <c r="H21" s="73" t="s">
        <v>592</v>
      </c>
      <c r="I21" s="157">
        <v>0.4</v>
      </c>
      <c r="J21" s="153">
        <v>0</v>
      </c>
      <c r="K21" s="153">
        <v>0</v>
      </c>
    </row>
    <row r="22" spans="1:11" x14ac:dyDescent="0.35">
      <c r="A22" s="79">
        <v>400</v>
      </c>
      <c r="B22" s="79">
        <v>1668</v>
      </c>
      <c r="C22" s="161" t="s">
        <v>13</v>
      </c>
      <c r="D22" s="171">
        <v>30</v>
      </c>
      <c r="E22" s="67">
        <v>20</v>
      </c>
      <c r="F22" s="78" t="s">
        <v>263</v>
      </c>
      <c r="G22" s="162">
        <v>5</v>
      </c>
      <c r="H22" s="71" t="s">
        <v>241</v>
      </c>
      <c r="I22" s="72">
        <v>3.5</v>
      </c>
      <c r="J22" s="76">
        <v>0</v>
      </c>
      <c r="K22" s="76">
        <v>5</v>
      </c>
    </row>
    <row r="23" spans="1:11" x14ac:dyDescent="0.35">
      <c r="A23" s="79">
        <v>403</v>
      </c>
      <c r="B23" s="79"/>
      <c r="C23" s="134" t="s">
        <v>15</v>
      </c>
      <c r="D23" s="171">
        <v>30</v>
      </c>
      <c r="E23" s="67">
        <v>20</v>
      </c>
      <c r="F23" s="78" t="s">
        <v>263</v>
      </c>
      <c r="G23" s="162">
        <v>5</v>
      </c>
      <c r="H23" s="71" t="s">
        <v>241</v>
      </c>
      <c r="I23" s="72">
        <v>3.5</v>
      </c>
      <c r="J23" s="76">
        <v>0</v>
      </c>
      <c r="K23" s="76">
        <v>5</v>
      </c>
    </row>
    <row r="24" spans="1:11" x14ac:dyDescent="0.35">
      <c r="A24" s="79">
        <v>13</v>
      </c>
      <c r="B24" s="79"/>
      <c r="C24" s="134" t="s">
        <v>14</v>
      </c>
      <c r="D24" s="171" t="s">
        <v>235</v>
      </c>
      <c r="E24" s="67">
        <v>20</v>
      </c>
      <c r="F24" s="78" t="s">
        <v>263</v>
      </c>
      <c r="G24" s="162">
        <v>5</v>
      </c>
      <c r="H24" s="71" t="s">
        <v>241</v>
      </c>
      <c r="I24" s="72">
        <v>3.5</v>
      </c>
      <c r="J24" s="76">
        <v>0</v>
      </c>
      <c r="K24" s="76">
        <v>5</v>
      </c>
    </row>
    <row r="25" spans="1:11" x14ac:dyDescent="0.35">
      <c r="A25" s="79">
        <v>9029</v>
      </c>
      <c r="B25" s="79"/>
      <c r="C25" s="57" t="s">
        <v>189</v>
      </c>
      <c r="D25" s="171">
        <v>4</v>
      </c>
      <c r="E25" s="67">
        <v>1</v>
      </c>
      <c r="F25" s="78" t="s">
        <v>264</v>
      </c>
      <c r="G25" s="162"/>
      <c r="H25" s="74" t="s">
        <v>595</v>
      </c>
      <c r="I25" s="72">
        <v>0.4</v>
      </c>
      <c r="J25" s="76">
        <v>0</v>
      </c>
      <c r="K25" s="76">
        <v>0</v>
      </c>
    </row>
    <row r="26" spans="1:11" x14ac:dyDescent="0.35">
      <c r="A26" s="148"/>
      <c r="B26" s="148"/>
      <c r="C26" s="57" t="s">
        <v>564</v>
      </c>
      <c r="D26" s="172">
        <f>_xlfn.XLOOKUP(T_Custos[[#This Row],[Produto]],T_Assumpnutry[PRODUTO],T_Assumpnutry[PREÇO KG])</f>
        <v>6</v>
      </c>
      <c r="E26" s="156">
        <v>1</v>
      </c>
      <c r="F26" s="78" t="s">
        <v>263</v>
      </c>
      <c r="G26" s="162"/>
      <c r="H26" s="73" t="s">
        <v>592</v>
      </c>
      <c r="I26" s="157">
        <v>0.4</v>
      </c>
      <c r="J26" s="153">
        <v>0</v>
      </c>
      <c r="K26" s="153">
        <v>0</v>
      </c>
    </row>
    <row r="27" spans="1:11" x14ac:dyDescent="0.35">
      <c r="A27" s="79">
        <v>5445</v>
      </c>
      <c r="B27" s="79"/>
      <c r="C27" s="57" t="s">
        <v>187</v>
      </c>
      <c r="D27" s="171">
        <v>3</v>
      </c>
      <c r="E27" s="67">
        <v>1</v>
      </c>
      <c r="F27" s="78" t="s">
        <v>264</v>
      </c>
      <c r="G27" s="162"/>
      <c r="H27" s="74" t="s">
        <v>595</v>
      </c>
      <c r="I27" s="72">
        <v>0.4</v>
      </c>
      <c r="J27" s="76">
        <v>0</v>
      </c>
      <c r="K27" s="76">
        <v>0</v>
      </c>
    </row>
    <row r="28" spans="1:11" x14ac:dyDescent="0.35">
      <c r="A28" s="148"/>
      <c r="B28" s="148"/>
      <c r="C28" s="57" t="s">
        <v>561</v>
      </c>
      <c r="D28" s="172">
        <f>_xlfn.XLOOKUP(T_Custos[[#This Row],[Produto]],T_Assumpnutry[PRODUTO],T_Assumpnutry[PREÇO KG])</f>
        <v>25</v>
      </c>
      <c r="E28" s="156">
        <v>1</v>
      </c>
      <c r="F28" s="78" t="s">
        <v>263</v>
      </c>
      <c r="G28" s="162"/>
      <c r="H28" s="73" t="s">
        <v>592</v>
      </c>
      <c r="I28" s="157">
        <v>0.4</v>
      </c>
      <c r="J28" s="153">
        <v>0</v>
      </c>
      <c r="K28" s="153">
        <v>0</v>
      </c>
    </row>
    <row r="29" spans="1:11" x14ac:dyDescent="0.35">
      <c r="A29" s="148"/>
      <c r="B29" s="148"/>
      <c r="C29" s="57" t="s">
        <v>565</v>
      </c>
      <c r="D29" s="172">
        <f>_xlfn.XLOOKUP(T_Custos[[#This Row],[Produto]],T_Assumpnutry[PRODUTO],T_Assumpnutry[PREÇO KG])</f>
        <v>6.1</v>
      </c>
      <c r="E29" s="156">
        <v>1</v>
      </c>
      <c r="F29" s="78" t="s">
        <v>263</v>
      </c>
      <c r="G29" s="162"/>
      <c r="H29" s="73" t="s">
        <v>592</v>
      </c>
      <c r="I29" s="157">
        <v>0.4</v>
      </c>
      <c r="J29" s="153">
        <v>0</v>
      </c>
      <c r="K29" s="153">
        <v>0</v>
      </c>
    </row>
    <row r="30" spans="1:11" x14ac:dyDescent="0.35">
      <c r="A30" s="79">
        <v>9038</v>
      </c>
      <c r="B30" s="79"/>
      <c r="C30" s="57" t="s">
        <v>229</v>
      </c>
      <c r="D30" s="171">
        <v>3.5</v>
      </c>
      <c r="E30" s="67">
        <v>1</v>
      </c>
      <c r="F30" s="78" t="s">
        <v>264</v>
      </c>
      <c r="G30" s="162"/>
      <c r="H30" s="74" t="s">
        <v>595</v>
      </c>
      <c r="I30" s="72">
        <v>0.4</v>
      </c>
      <c r="J30" s="76">
        <v>0</v>
      </c>
      <c r="K30" s="76">
        <v>0</v>
      </c>
    </row>
    <row r="31" spans="1:11" x14ac:dyDescent="0.35">
      <c r="A31" s="79"/>
      <c r="B31" s="79"/>
      <c r="C31" s="57" t="s">
        <v>228</v>
      </c>
      <c r="D31" s="171">
        <v>2.5</v>
      </c>
      <c r="E31" s="67">
        <v>1</v>
      </c>
      <c r="F31" s="78" t="s">
        <v>264</v>
      </c>
      <c r="G31" s="162"/>
      <c r="H31" s="74" t="s">
        <v>595</v>
      </c>
      <c r="I31" s="72">
        <v>0.4</v>
      </c>
      <c r="J31" s="76">
        <v>0</v>
      </c>
      <c r="K31" s="76">
        <v>0</v>
      </c>
    </row>
    <row r="32" spans="1:11" x14ac:dyDescent="0.35">
      <c r="A32" s="115">
        <v>517</v>
      </c>
      <c r="B32" s="115"/>
      <c r="C32" s="57" t="s">
        <v>398</v>
      </c>
      <c r="D32" s="173">
        <v>3.5</v>
      </c>
      <c r="E32" s="69">
        <v>1</v>
      </c>
      <c r="F32" s="82" t="s">
        <v>267</v>
      </c>
      <c r="G32" s="165"/>
      <c r="H32" s="75"/>
      <c r="I32" s="83">
        <v>0.3</v>
      </c>
      <c r="J32" s="76">
        <v>1.8</v>
      </c>
      <c r="K32" s="77">
        <v>0.1</v>
      </c>
    </row>
    <row r="33" spans="1:11" x14ac:dyDescent="0.35">
      <c r="A33" s="79"/>
      <c r="B33" s="79"/>
      <c r="C33" s="57" t="s">
        <v>512</v>
      </c>
      <c r="D33" s="171">
        <v>2.5</v>
      </c>
      <c r="E33" s="67">
        <v>1</v>
      </c>
      <c r="F33" s="78" t="s">
        <v>264</v>
      </c>
      <c r="G33" s="162"/>
      <c r="H33" s="74" t="s">
        <v>595</v>
      </c>
      <c r="I33" s="72">
        <v>0.4</v>
      </c>
      <c r="J33" s="76">
        <v>0</v>
      </c>
      <c r="K33" s="76">
        <v>0</v>
      </c>
    </row>
    <row r="34" spans="1:11" x14ac:dyDescent="0.35">
      <c r="A34" s="148"/>
      <c r="B34" s="148"/>
      <c r="C34" s="57" t="s">
        <v>566</v>
      </c>
      <c r="D34" s="172">
        <f>_xlfn.XLOOKUP(T_Custos[[#This Row],[Produto]],T_Assumpnutry[PRODUTO],T_Assumpnutry[PREÇO KG])</f>
        <v>5.5</v>
      </c>
      <c r="E34" s="156">
        <v>1</v>
      </c>
      <c r="F34" s="78" t="s">
        <v>263</v>
      </c>
      <c r="G34" s="162"/>
      <c r="H34" s="73" t="s">
        <v>592</v>
      </c>
      <c r="I34" s="157">
        <v>0.4</v>
      </c>
      <c r="J34" s="153">
        <v>0</v>
      </c>
      <c r="K34" s="153">
        <v>0</v>
      </c>
    </row>
    <row r="35" spans="1:11" x14ac:dyDescent="0.35">
      <c r="A35" s="79"/>
      <c r="B35" s="79"/>
      <c r="C35" s="57" t="s">
        <v>513</v>
      </c>
      <c r="D35" s="171">
        <v>3.5</v>
      </c>
      <c r="E35" s="67">
        <v>1</v>
      </c>
      <c r="F35" s="78" t="s">
        <v>264</v>
      </c>
      <c r="G35" s="162"/>
      <c r="H35" s="74" t="s">
        <v>595</v>
      </c>
      <c r="I35" s="72">
        <v>0.4</v>
      </c>
      <c r="J35" s="76">
        <v>0</v>
      </c>
      <c r="K35" s="76">
        <v>0</v>
      </c>
    </row>
    <row r="36" spans="1:11" x14ac:dyDescent="0.35">
      <c r="A36" s="79">
        <v>9037</v>
      </c>
      <c r="B36" s="79"/>
      <c r="C36" s="57" t="s">
        <v>227</v>
      </c>
      <c r="D36" s="171">
        <v>2</v>
      </c>
      <c r="E36" s="67">
        <v>1</v>
      </c>
      <c r="F36" s="78" t="s">
        <v>264</v>
      </c>
      <c r="G36" s="162"/>
      <c r="H36" s="74" t="s">
        <v>595</v>
      </c>
      <c r="I36" s="72">
        <v>0.4</v>
      </c>
      <c r="J36" s="76">
        <v>0</v>
      </c>
      <c r="K36" s="76">
        <v>0</v>
      </c>
    </row>
    <row r="37" spans="1:11" x14ac:dyDescent="0.35">
      <c r="A37" s="148"/>
      <c r="B37" s="148"/>
      <c r="C37" s="57" t="s">
        <v>567</v>
      </c>
      <c r="D37" s="172">
        <f>_xlfn.XLOOKUP(T_Custos[[#This Row],[Produto]],T_Assumpnutry[PRODUTO],T_Assumpnutry[PREÇO KG])</f>
        <v>6.5</v>
      </c>
      <c r="E37" s="156">
        <v>1</v>
      </c>
      <c r="F37" s="78" t="s">
        <v>263</v>
      </c>
      <c r="G37" s="162"/>
      <c r="H37" s="73" t="s">
        <v>592</v>
      </c>
      <c r="I37" s="157">
        <v>0.4</v>
      </c>
      <c r="J37" s="153">
        <v>0</v>
      </c>
      <c r="K37" s="153">
        <v>0</v>
      </c>
    </row>
    <row r="38" spans="1:11" x14ac:dyDescent="0.35">
      <c r="A38" s="79"/>
      <c r="B38" s="79"/>
      <c r="C38" s="57" t="s">
        <v>224</v>
      </c>
      <c r="D38" s="171">
        <v>3.5</v>
      </c>
      <c r="E38" s="67">
        <v>1</v>
      </c>
      <c r="F38" s="78" t="s">
        <v>264</v>
      </c>
      <c r="G38" s="162"/>
      <c r="H38" s="74" t="s">
        <v>595</v>
      </c>
      <c r="I38" s="72">
        <v>0.4</v>
      </c>
      <c r="J38" s="76">
        <v>0</v>
      </c>
      <c r="K38" s="76">
        <v>0</v>
      </c>
    </row>
    <row r="39" spans="1:11" x14ac:dyDescent="0.35">
      <c r="A39" s="148"/>
      <c r="B39" s="148"/>
      <c r="C39" s="57" t="s">
        <v>568</v>
      </c>
      <c r="D39" s="172">
        <f>_xlfn.XLOOKUP(T_Custos[[#This Row],[Produto]],T_Assumpnutry[PRODUTO],T_Assumpnutry[PREÇO KG])</f>
        <v>8</v>
      </c>
      <c r="E39" s="156">
        <v>1</v>
      </c>
      <c r="F39" s="78" t="s">
        <v>263</v>
      </c>
      <c r="G39" s="162"/>
      <c r="H39" s="73" t="s">
        <v>592</v>
      </c>
      <c r="I39" s="157">
        <v>0.4</v>
      </c>
      <c r="J39" s="153">
        <v>0</v>
      </c>
      <c r="K39" s="153">
        <v>0</v>
      </c>
    </row>
    <row r="40" spans="1:11" x14ac:dyDescent="0.35">
      <c r="A40" s="79"/>
      <c r="B40" s="79"/>
      <c r="C40" s="57" t="s">
        <v>190</v>
      </c>
      <c r="D40" s="171">
        <v>3.1</v>
      </c>
      <c r="E40" s="67">
        <v>1</v>
      </c>
      <c r="F40" s="78" t="s">
        <v>264</v>
      </c>
      <c r="G40" s="162"/>
      <c r="H40" s="74"/>
      <c r="I40" s="72">
        <v>0.4</v>
      </c>
      <c r="J40" s="76">
        <v>0</v>
      </c>
      <c r="K40" s="76">
        <v>0</v>
      </c>
    </row>
    <row r="41" spans="1:11" x14ac:dyDescent="0.35">
      <c r="A41" s="79"/>
      <c r="B41" s="109"/>
      <c r="C41" s="161" t="s">
        <v>494</v>
      </c>
      <c r="D41" s="171">
        <v>270</v>
      </c>
      <c r="E41" s="67">
        <v>10</v>
      </c>
      <c r="F41" s="78" t="s">
        <v>263</v>
      </c>
      <c r="G41" s="162">
        <v>4</v>
      </c>
      <c r="H41" s="63" t="s">
        <v>242</v>
      </c>
      <c r="I41" s="72">
        <v>3.5</v>
      </c>
      <c r="J41" s="76">
        <v>0</v>
      </c>
      <c r="K41" s="76">
        <v>3</v>
      </c>
    </row>
    <row r="42" spans="1:11" x14ac:dyDescent="0.35">
      <c r="A42" s="79"/>
      <c r="B42" s="79"/>
      <c r="C42" s="134" t="s">
        <v>495</v>
      </c>
      <c r="D42" s="147">
        <f>IFERROR(_xlfn.XLOOKUP("ALHO BRANCO",T_Custos[Produto],T_Custos[Custo])/_xlfn.XLOOKUP("ALHO BRANCO",T_Custos[Produto],T_Custos[Peso])*0.09,"Em falta")</f>
        <v>2.4299999999999997</v>
      </c>
      <c r="E42" s="68">
        <v>1</v>
      </c>
      <c r="F42" s="80" t="s">
        <v>363</v>
      </c>
      <c r="G42" s="166">
        <v>4</v>
      </c>
      <c r="H42" s="73" t="s">
        <v>242</v>
      </c>
      <c r="I42" s="72">
        <v>0.3</v>
      </c>
      <c r="J42" s="77">
        <v>0</v>
      </c>
      <c r="K42" s="77">
        <v>0.1</v>
      </c>
    </row>
    <row r="43" spans="1:11" x14ac:dyDescent="0.35">
      <c r="A43" s="79">
        <v>20015</v>
      </c>
      <c r="B43" s="79">
        <v>26655</v>
      </c>
      <c r="C43" s="161" t="s">
        <v>16</v>
      </c>
      <c r="D43" s="171">
        <v>21</v>
      </c>
      <c r="E43" s="67">
        <v>1</v>
      </c>
      <c r="F43" s="78" t="s">
        <v>263</v>
      </c>
      <c r="G43" s="162">
        <v>9</v>
      </c>
      <c r="H43" s="63" t="s">
        <v>244</v>
      </c>
      <c r="I43" s="72">
        <v>0.35</v>
      </c>
      <c r="J43" s="76">
        <v>0</v>
      </c>
      <c r="K43" s="76">
        <v>2</v>
      </c>
    </row>
    <row r="44" spans="1:11" x14ac:dyDescent="0.35">
      <c r="A44" s="79">
        <v>368</v>
      </c>
      <c r="B44" s="79"/>
      <c r="C44" s="57" t="s">
        <v>399</v>
      </c>
      <c r="D44" s="147">
        <f>IFERROR(_xlfn.XLOOKUP("ALHO DESCASCADO",T_Custos[Produto],T_Custos[Custo])/_xlfn.XLOOKUP("ALHO DESCASCADO",T_Custos[Produto],T_Custos[Peso])*0.2,"Em falta")</f>
        <v>4.2</v>
      </c>
      <c r="E44" s="67">
        <v>1</v>
      </c>
      <c r="F44" s="78" t="s">
        <v>265</v>
      </c>
      <c r="G44" s="162"/>
      <c r="H44" s="74"/>
      <c r="I44" s="83">
        <v>0.3</v>
      </c>
      <c r="J44" s="76">
        <v>1.8</v>
      </c>
      <c r="K44" s="77">
        <v>0.1</v>
      </c>
    </row>
    <row r="45" spans="1:11" x14ac:dyDescent="0.35">
      <c r="A45" s="117"/>
      <c r="B45" s="117"/>
      <c r="C45" s="134" t="s">
        <v>504</v>
      </c>
      <c r="D45" s="171" t="s">
        <v>235</v>
      </c>
      <c r="E45" s="67">
        <v>10</v>
      </c>
      <c r="F45" s="78" t="s">
        <v>263</v>
      </c>
      <c r="G45" s="162">
        <v>4</v>
      </c>
      <c r="H45" s="73" t="s">
        <v>242</v>
      </c>
      <c r="I45" s="72">
        <v>3.5</v>
      </c>
      <c r="J45" s="76">
        <v>0</v>
      </c>
      <c r="K45" s="76">
        <v>3</v>
      </c>
    </row>
    <row r="46" spans="1:11" x14ac:dyDescent="0.35">
      <c r="A46" s="79">
        <v>6904</v>
      </c>
      <c r="B46" s="79">
        <v>1678</v>
      </c>
      <c r="C46" s="57" t="s">
        <v>191</v>
      </c>
      <c r="D46" s="171">
        <v>2.5</v>
      </c>
      <c r="E46" s="67">
        <v>1</v>
      </c>
      <c r="F46" s="78" t="s">
        <v>264</v>
      </c>
      <c r="G46" s="162"/>
      <c r="H46" s="74" t="s">
        <v>595</v>
      </c>
      <c r="I46" s="72">
        <v>0.4</v>
      </c>
      <c r="J46" s="76">
        <v>0</v>
      </c>
      <c r="K46" s="76">
        <v>0</v>
      </c>
    </row>
    <row r="47" spans="1:11" x14ac:dyDescent="0.35">
      <c r="A47" s="148"/>
      <c r="B47" s="148"/>
      <c r="C47" s="57" t="s">
        <v>569</v>
      </c>
      <c r="D47" s="172">
        <f>_xlfn.XLOOKUP(T_Custos[[#This Row],[Produto]],T_Assumpnutry[PRODUTO],T_Assumpnutry[PREÇO KG])</f>
        <v>14</v>
      </c>
      <c r="E47" s="156">
        <v>1</v>
      </c>
      <c r="F47" s="78" t="s">
        <v>263</v>
      </c>
      <c r="G47" s="162"/>
      <c r="H47" s="73" t="s">
        <v>592</v>
      </c>
      <c r="I47" s="157">
        <v>0.4</v>
      </c>
      <c r="J47" s="153">
        <v>0</v>
      </c>
      <c r="K47" s="153">
        <v>0</v>
      </c>
    </row>
    <row r="48" spans="1:11" x14ac:dyDescent="0.35">
      <c r="A48" s="109"/>
      <c r="B48" s="79">
        <v>1677</v>
      </c>
      <c r="C48" s="161" t="s">
        <v>493</v>
      </c>
      <c r="D48" s="173">
        <v>250</v>
      </c>
      <c r="E48" s="67">
        <v>10</v>
      </c>
      <c r="F48" s="78" t="s">
        <v>263</v>
      </c>
      <c r="G48" s="162">
        <v>4</v>
      </c>
      <c r="H48" s="63" t="s">
        <v>242</v>
      </c>
      <c r="I48" s="72">
        <v>3.5</v>
      </c>
      <c r="J48" s="76">
        <v>0</v>
      </c>
      <c r="K48" s="76">
        <v>3</v>
      </c>
    </row>
    <row r="49" spans="1:11" x14ac:dyDescent="0.35">
      <c r="A49" s="79">
        <v>503</v>
      </c>
      <c r="B49" s="79"/>
      <c r="C49" s="57" t="s">
        <v>400</v>
      </c>
      <c r="D49" s="147">
        <f>IFERROR(_xlfn.XLOOKUP("ALHO ROXO",T_Custos[Produto],T_Custos[Custo])/_xlfn.XLOOKUP("ALHO ROXO",T_Custos[Produto],T_Custos[Peso])*0.25,"Em falta")</f>
        <v>6.25</v>
      </c>
      <c r="E49" s="67">
        <v>1</v>
      </c>
      <c r="F49" s="78" t="s">
        <v>268</v>
      </c>
      <c r="G49" s="162"/>
      <c r="H49" s="74"/>
      <c r="I49" s="83">
        <v>0.3</v>
      </c>
      <c r="J49" s="76">
        <v>1.8</v>
      </c>
      <c r="K49" s="77">
        <v>0.1</v>
      </c>
    </row>
    <row r="50" spans="1:11" x14ac:dyDescent="0.35">
      <c r="A50" s="109"/>
      <c r="B50" s="109"/>
      <c r="C50" s="134" t="s">
        <v>496</v>
      </c>
      <c r="D50" s="147">
        <f>IFERROR(_xlfn.XLOOKUP("ALHO ROXO",T_Custos[Produto],T_Custos[Custo])/_xlfn.XLOOKUP("ALHO ROXO",T_Custos[Produto],T_Custos[Peso])*0.09,"Em falta")</f>
        <v>2.25</v>
      </c>
      <c r="E50" s="68">
        <v>1</v>
      </c>
      <c r="F50" s="80" t="s">
        <v>363</v>
      </c>
      <c r="G50" s="166">
        <v>4</v>
      </c>
      <c r="H50" s="73" t="s">
        <v>242</v>
      </c>
      <c r="I50" s="72">
        <v>0.3</v>
      </c>
      <c r="J50" s="77">
        <v>0</v>
      </c>
      <c r="K50" s="77">
        <v>0.1</v>
      </c>
    </row>
    <row r="51" spans="1:11" x14ac:dyDescent="0.35">
      <c r="A51" s="79"/>
      <c r="B51" s="79"/>
      <c r="C51" s="57" t="s">
        <v>192</v>
      </c>
      <c r="D51" s="171">
        <v>1.4</v>
      </c>
      <c r="E51" s="67">
        <v>1</v>
      </c>
      <c r="F51" s="78" t="s">
        <v>264</v>
      </c>
      <c r="G51" s="162"/>
      <c r="H51" s="74" t="s">
        <v>595</v>
      </c>
      <c r="I51" s="72">
        <v>0.4</v>
      </c>
      <c r="J51" s="76">
        <v>0</v>
      </c>
      <c r="K51" s="76">
        <v>0</v>
      </c>
    </row>
    <row r="52" spans="1:11" x14ac:dyDescent="0.35">
      <c r="A52" s="130"/>
      <c r="B52" s="130"/>
      <c r="C52" s="134" t="s">
        <v>533</v>
      </c>
      <c r="D52" s="171" t="s">
        <v>235</v>
      </c>
      <c r="E52" s="131">
        <v>6</v>
      </c>
      <c r="F52" s="88" t="s">
        <v>263</v>
      </c>
      <c r="G52" s="162">
        <v>6</v>
      </c>
      <c r="H52" s="63" t="s">
        <v>239</v>
      </c>
      <c r="I52" s="72">
        <v>2.2000000000000002</v>
      </c>
      <c r="J52" s="76">
        <v>0</v>
      </c>
      <c r="K52" s="76">
        <v>3</v>
      </c>
    </row>
    <row r="53" spans="1:11" x14ac:dyDescent="0.35">
      <c r="A53" s="79"/>
      <c r="B53" s="79">
        <v>24700</v>
      </c>
      <c r="C53" s="134" t="s">
        <v>17</v>
      </c>
      <c r="D53" s="171">
        <v>80</v>
      </c>
      <c r="E53" s="67">
        <v>9</v>
      </c>
      <c r="F53" s="78" t="s">
        <v>263</v>
      </c>
      <c r="G53" s="162">
        <v>6</v>
      </c>
      <c r="H53" s="63" t="s">
        <v>239</v>
      </c>
      <c r="I53" s="72">
        <v>2.2000000000000002</v>
      </c>
      <c r="J53" s="76">
        <v>0</v>
      </c>
      <c r="K53" s="76">
        <v>3</v>
      </c>
    </row>
    <row r="54" spans="1:11" x14ac:dyDescent="0.35">
      <c r="A54" s="79"/>
      <c r="B54" s="79"/>
      <c r="C54" s="134" t="s">
        <v>500</v>
      </c>
      <c r="D54" s="147">
        <f>IFERROR(_xlfn.XLOOKUP("AMEIXA IMPORTADA",T_Custos[Produto],T_Custos[Custo])/_xlfn.XLOOKUP("AMEIXA IMPORTADA",T_Custos[Produto],T_Custos[Peso])*0.5,"Em falta")</f>
        <v>4.4444444444444446</v>
      </c>
      <c r="E54" s="87">
        <v>1</v>
      </c>
      <c r="F54" s="88" t="s">
        <v>265</v>
      </c>
      <c r="G54" s="162">
        <v>6</v>
      </c>
      <c r="H54" s="63" t="s">
        <v>239</v>
      </c>
      <c r="I54" s="89">
        <v>0.4</v>
      </c>
      <c r="J54" s="77">
        <v>1.8</v>
      </c>
      <c r="K54" s="77">
        <v>0</v>
      </c>
    </row>
    <row r="55" spans="1:11" x14ac:dyDescent="0.35">
      <c r="A55" s="79"/>
      <c r="B55" s="79"/>
      <c r="C55" s="134" t="s">
        <v>18</v>
      </c>
      <c r="D55" s="171">
        <v>57</v>
      </c>
      <c r="E55" s="67">
        <v>6</v>
      </c>
      <c r="F55" s="78" t="s">
        <v>263</v>
      </c>
      <c r="G55" s="162">
        <v>6</v>
      </c>
      <c r="H55" s="63" t="s">
        <v>239</v>
      </c>
      <c r="I55" s="72">
        <v>2.2000000000000002</v>
      </c>
      <c r="J55" s="76">
        <v>0</v>
      </c>
      <c r="K55" s="76">
        <v>3</v>
      </c>
    </row>
    <row r="56" spans="1:11" x14ac:dyDescent="0.35">
      <c r="A56" s="139">
        <v>35025</v>
      </c>
      <c r="B56" s="139"/>
      <c r="C56" s="134" t="s">
        <v>544</v>
      </c>
      <c r="D56" s="171" t="s">
        <v>235</v>
      </c>
      <c r="E56" s="143">
        <v>10</v>
      </c>
      <c r="F56" s="88" t="s">
        <v>265</v>
      </c>
      <c r="G56" s="162">
        <v>7</v>
      </c>
      <c r="H56" s="63" t="s">
        <v>240</v>
      </c>
      <c r="I56" s="144">
        <v>3.5</v>
      </c>
      <c r="J56" s="142">
        <v>0</v>
      </c>
      <c r="K56" s="142">
        <v>5</v>
      </c>
    </row>
    <row r="57" spans="1:11" x14ac:dyDescent="0.35">
      <c r="A57" s="79"/>
      <c r="B57" s="79"/>
      <c r="C57" s="57" t="s">
        <v>193</v>
      </c>
      <c r="D57" s="171">
        <v>4</v>
      </c>
      <c r="E57" s="67">
        <v>1</v>
      </c>
      <c r="F57" s="78" t="s">
        <v>264</v>
      </c>
      <c r="G57" s="162"/>
      <c r="H57" s="74" t="s">
        <v>595</v>
      </c>
      <c r="I57" s="72">
        <v>0.4</v>
      </c>
      <c r="J57" s="76">
        <v>0</v>
      </c>
      <c r="K57" s="76">
        <v>0</v>
      </c>
    </row>
    <row r="58" spans="1:11" x14ac:dyDescent="0.35">
      <c r="A58" s="79"/>
      <c r="B58" s="79"/>
      <c r="C58" s="57" t="s">
        <v>214</v>
      </c>
      <c r="D58" s="171">
        <v>20</v>
      </c>
      <c r="E58" s="67">
        <v>1</v>
      </c>
      <c r="F58" s="78" t="s">
        <v>264</v>
      </c>
      <c r="G58" s="162"/>
      <c r="H58" s="74" t="s">
        <v>595</v>
      </c>
      <c r="I58" s="72">
        <v>0.4</v>
      </c>
      <c r="J58" s="76">
        <v>0</v>
      </c>
      <c r="K58" s="76">
        <v>0</v>
      </c>
    </row>
    <row r="59" spans="1:11" x14ac:dyDescent="0.35">
      <c r="A59" s="79"/>
      <c r="B59" s="79">
        <v>1680</v>
      </c>
      <c r="C59" s="134" t="s">
        <v>20</v>
      </c>
      <c r="D59" s="171">
        <v>250</v>
      </c>
      <c r="E59" s="67">
        <v>5</v>
      </c>
      <c r="F59" s="78" t="s">
        <v>263</v>
      </c>
      <c r="G59" s="162">
        <v>9</v>
      </c>
      <c r="H59" s="63" t="s">
        <v>244</v>
      </c>
      <c r="I59" s="72">
        <v>3.5</v>
      </c>
      <c r="J59" s="76">
        <v>0</v>
      </c>
      <c r="K59" s="76">
        <v>2</v>
      </c>
    </row>
    <row r="60" spans="1:11" x14ac:dyDescent="0.35">
      <c r="A60" s="79">
        <v>810</v>
      </c>
      <c r="B60" s="79"/>
      <c r="C60" s="57" t="s">
        <v>401</v>
      </c>
      <c r="D60" s="147">
        <v>30</v>
      </c>
      <c r="E60" s="116">
        <v>1</v>
      </c>
      <c r="F60" s="78" t="s">
        <v>269</v>
      </c>
      <c r="G60" s="162"/>
      <c r="H60" s="74"/>
      <c r="I60" s="83">
        <v>0.3</v>
      </c>
      <c r="J60" s="76">
        <v>1.8</v>
      </c>
      <c r="K60" s="77">
        <v>0.1</v>
      </c>
    </row>
    <row r="61" spans="1:11" x14ac:dyDescent="0.35">
      <c r="A61" s="79"/>
      <c r="B61" s="79"/>
      <c r="C61" s="57" t="s">
        <v>21</v>
      </c>
      <c r="D61" s="171" t="s">
        <v>235</v>
      </c>
      <c r="E61" s="67">
        <v>5</v>
      </c>
      <c r="F61" s="78" t="s">
        <v>263</v>
      </c>
      <c r="G61" s="162"/>
      <c r="I61" s="72">
        <v>3.5</v>
      </c>
      <c r="J61" s="76">
        <v>0</v>
      </c>
      <c r="K61" s="76">
        <v>3</v>
      </c>
    </row>
    <row r="62" spans="1:11" x14ac:dyDescent="0.35">
      <c r="A62" s="79"/>
      <c r="B62" s="79">
        <v>3838</v>
      </c>
      <c r="C62" s="134" t="s">
        <v>19</v>
      </c>
      <c r="D62" s="171">
        <v>12</v>
      </c>
      <c r="E62" s="67">
        <v>2</v>
      </c>
      <c r="F62" s="78" t="s">
        <v>263</v>
      </c>
      <c r="G62" s="162">
        <v>6</v>
      </c>
      <c r="H62" s="63" t="s">
        <v>239</v>
      </c>
      <c r="I62" s="72">
        <v>1</v>
      </c>
      <c r="J62" s="76">
        <v>0</v>
      </c>
      <c r="K62" s="76">
        <v>2</v>
      </c>
    </row>
    <row r="63" spans="1:11" x14ac:dyDescent="0.35">
      <c r="A63" s="79"/>
      <c r="B63" s="79">
        <v>20106</v>
      </c>
      <c r="C63" s="134" t="s">
        <v>22</v>
      </c>
      <c r="D63" s="171" t="s">
        <v>235</v>
      </c>
      <c r="E63" s="67">
        <v>6</v>
      </c>
      <c r="F63" s="78" t="s">
        <v>263</v>
      </c>
      <c r="G63" s="162">
        <v>7</v>
      </c>
      <c r="H63" s="63" t="s">
        <v>240</v>
      </c>
      <c r="I63" s="72">
        <v>3.5</v>
      </c>
      <c r="J63" s="76">
        <v>0</v>
      </c>
      <c r="K63" s="76">
        <v>3</v>
      </c>
    </row>
    <row r="64" spans="1:11" x14ac:dyDescent="0.35">
      <c r="A64" s="79"/>
      <c r="B64" s="79"/>
      <c r="C64" s="134" t="s">
        <v>395</v>
      </c>
      <c r="D64" s="147" t="str">
        <f>IFERROR(_xlfn.XLOOKUP("AVOCADO HASS",T_Custos[Produto],T_Custos[Custo])/_xlfn.XLOOKUP("AVOCADO HASS",T_Custos[Produto],T_Custos[Peso])*0.17,"Em falta")</f>
        <v>Em falta</v>
      </c>
      <c r="E64" s="68">
        <v>1</v>
      </c>
      <c r="F64" s="80" t="s">
        <v>363</v>
      </c>
      <c r="G64" s="162">
        <v>7</v>
      </c>
      <c r="H64" s="63" t="s">
        <v>240</v>
      </c>
      <c r="I64" s="72">
        <v>0.3</v>
      </c>
      <c r="J64" s="77">
        <v>0</v>
      </c>
      <c r="K64" s="77">
        <v>0.1</v>
      </c>
    </row>
    <row r="65" spans="1:11" x14ac:dyDescent="0.35">
      <c r="A65" s="79"/>
      <c r="B65" s="79">
        <v>3054</v>
      </c>
      <c r="C65" s="134" t="s">
        <v>23</v>
      </c>
      <c r="D65" s="171">
        <v>90</v>
      </c>
      <c r="E65" s="67">
        <v>15</v>
      </c>
      <c r="F65" s="78" t="s">
        <v>263</v>
      </c>
      <c r="G65" s="162">
        <v>7</v>
      </c>
      <c r="H65" s="63" t="s">
        <v>596</v>
      </c>
      <c r="I65" s="72">
        <v>3.7</v>
      </c>
      <c r="J65" s="76">
        <v>0</v>
      </c>
      <c r="K65" s="76">
        <v>5</v>
      </c>
    </row>
    <row r="66" spans="1:11" x14ac:dyDescent="0.35">
      <c r="A66" s="79"/>
      <c r="B66" s="79">
        <v>33702</v>
      </c>
      <c r="C66" s="134" t="s">
        <v>24</v>
      </c>
      <c r="D66" s="171">
        <v>110</v>
      </c>
      <c r="E66" s="67">
        <v>20</v>
      </c>
      <c r="F66" s="78" t="s">
        <v>263</v>
      </c>
      <c r="G66" s="162">
        <v>7</v>
      </c>
      <c r="H66" s="63" t="s">
        <v>596</v>
      </c>
      <c r="I66" s="72">
        <v>3.7</v>
      </c>
      <c r="J66" s="76">
        <v>0</v>
      </c>
      <c r="K66" s="76">
        <v>5</v>
      </c>
    </row>
    <row r="67" spans="1:11" x14ac:dyDescent="0.35">
      <c r="A67" s="79"/>
      <c r="B67" s="79">
        <v>1681</v>
      </c>
      <c r="C67" s="134" t="s">
        <v>440</v>
      </c>
      <c r="D67" s="171">
        <v>60</v>
      </c>
      <c r="E67" s="67">
        <v>20</v>
      </c>
      <c r="F67" s="78" t="s">
        <v>263</v>
      </c>
      <c r="G67" s="162">
        <v>7</v>
      </c>
      <c r="H67" s="63" t="s">
        <v>596</v>
      </c>
      <c r="I67" s="72">
        <v>3.5</v>
      </c>
      <c r="J67" s="76">
        <v>0</v>
      </c>
      <c r="K67" s="76">
        <v>5</v>
      </c>
    </row>
    <row r="68" spans="1:11" x14ac:dyDescent="0.35">
      <c r="A68" s="79"/>
      <c r="B68" s="79"/>
      <c r="C68" s="134" t="s">
        <v>441</v>
      </c>
      <c r="D68" s="147">
        <f>IFERROR(_xlfn.XLOOKUP("BANANA NANICA GRAUDA",T_Custos[Produto],T_Custos[Custo])/_xlfn.XLOOKUP("BANANA NANICA GRAUDA",T_Custos[Produto],T_Custos[Peso])*0.137,"Em falta")</f>
        <v>0.41100000000000003</v>
      </c>
      <c r="E68" s="68">
        <v>1</v>
      </c>
      <c r="F68" s="80" t="s">
        <v>363</v>
      </c>
      <c r="G68" s="162">
        <v>7</v>
      </c>
      <c r="H68" s="63" t="s">
        <v>596</v>
      </c>
      <c r="I68" s="72">
        <v>0.3</v>
      </c>
      <c r="J68" s="77">
        <v>0</v>
      </c>
      <c r="K68" s="77">
        <v>0.1</v>
      </c>
    </row>
    <row r="69" spans="1:11" x14ac:dyDescent="0.35">
      <c r="A69" s="79"/>
      <c r="B69" s="79"/>
      <c r="C69" s="134" t="s">
        <v>439</v>
      </c>
      <c r="D69" s="171" t="s">
        <v>235</v>
      </c>
      <c r="E69" s="67">
        <v>15</v>
      </c>
      <c r="F69" s="78" t="s">
        <v>263</v>
      </c>
      <c r="G69" s="162">
        <v>7</v>
      </c>
      <c r="H69" s="63" t="s">
        <v>596</v>
      </c>
      <c r="I69" s="72">
        <v>3.7</v>
      </c>
      <c r="J69" s="76">
        <v>0</v>
      </c>
      <c r="K69" s="76">
        <v>5</v>
      </c>
    </row>
    <row r="70" spans="1:11" x14ac:dyDescent="0.35">
      <c r="A70" s="79"/>
      <c r="B70" s="79">
        <v>27022</v>
      </c>
      <c r="C70" s="134" t="s">
        <v>25</v>
      </c>
      <c r="D70" s="171">
        <v>110</v>
      </c>
      <c r="E70" s="67">
        <v>20</v>
      </c>
      <c r="F70" s="78" t="s">
        <v>263</v>
      </c>
      <c r="G70" s="162">
        <v>7</v>
      </c>
      <c r="H70" s="63" t="s">
        <v>596</v>
      </c>
      <c r="I70" s="72">
        <v>3.7</v>
      </c>
      <c r="J70" s="76">
        <v>0</v>
      </c>
      <c r="K70" s="76">
        <v>5</v>
      </c>
    </row>
    <row r="71" spans="1:11" x14ac:dyDescent="0.35">
      <c r="A71" s="79"/>
      <c r="B71" s="79">
        <v>1682</v>
      </c>
      <c r="C71" s="134" t="s">
        <v>462</v>
      </c>
      <c r="D71" s="171">
        <v>90</v>
      </c>
      <c r="E71" s="87">
        <v>20</v>
      </c>
      <c r="F71" s="88" t="s">
        <v>263</v>
      </c>
      <c r="G71" s="162">
        <v>7</v>
      </c>
      <c r="H71" s="63" t="s">
        <v>596</v>
      </c>
      <c r="I71" s="89">
        <v>3.5</v>
      </c>
      <c r="J71" s="76">
        <v>0</v>
      </c>
      <c r="K71" s="76">
        <v>5</v>
      </c>
    </row>
    <row r="72" spans="1:11" x14ac:dyDescent="0.35">
      <c r="A72" s="79"/>
      <c r="B72" s="79"/>
      <c r="C72" s="134" t="s">
        <v>26</v>
      </c>
      <c r="D72" s="171" t="s">
        <v>235</v>
      </c>
      <c r="E72" s="67">
        <v>15</v>
      </c>
      <c r="F72" s="78" t="s">
        <v>263</v>
      </c>
      <c r="G72" s="162">
        <v>7</v>
      </c>
      <c r="H72" s="63" t="s">
        <v>596</v>
      </c>
      <c r="I72" s="72">
        <v>3.5</v>
      </c>
      <c r="J72" s="76">
        <v>0</v>
      </c>
      <c r="K72" s="76">
        <v>5</v>
      </c>
    </row>
    <row r="73" spans="1:11" x14ac:dyDescent="0.35">
      <c r="A73" s="91"/>
      <c r="B73" s="91"/>
      <c r="C73" s="134" t="s">
        <v>481</v>
      </c>
      <c r="D73" s="147">
        <f>IFERROR(_xlfn.XLOOKUP("BANANA PRATA GRAUDA",T_Custos[Produto],T_Custos[Custo])/_xlfn.XLOOKUP("BANANA PRATA GRAUDA",T_Custos[Produto],T_Custos[Peso])*0.25,"Em falta")</f>
        <v>1.125</v>
      </c>
      <c r="E73" s="92">
        <v>1</v>
      </c>
      <c r="F73" s="80" t="s">
        <v>363</v>
      </c>
      <c r="G73" s="162">
        <v>7</v>
      </c>
      <c r="H73" s="63" t="s">
        <v>596</v>
      </c>
      <c r="I73" s="72">
        <v>0.3</v>
      </c>
      <c r="J73" s="77">
        <v>0</v>
      </c>
      <c r="K73" s="77">
        <v>0.1</v>
      </c>
    </row>
    <row r="74" spans="1:11" x14ac:dyDescent="0.35">
      <c r="A74" s="79"/>
      <c r="B74" s="79"/>
      <c r="C74" s="134" t="s">
        <v>365</v>
      </c>
      <c r="D74" s="147" t="str">
        <f>IFERROR(_xlfn.XLOOKUP("BANANA PRATA GRAÚDA",T_Custos[Produto],T_Custos[Custo])/_xlfn.XLOOKUP("BANANA PRATA GRAÚDA",T_Custos[Produto],T_Custos[Peso])*0.25,"Em falta")</f>
        <v>Em falta</v>
      </c>
      <c r="E74" s="68">
        <v>1</v>
      </c>
      <c r="F74" s="80" t="s">
        <v>363</v>
      </c>
      <c r="G74" s="162">
        <v>7</v>
      </c>
      <c r="H74" s="63" t="s">
        <v>596</v>
      </c>
      <c r="I74" s="72">
        <v>0.3</v>
      </c>
      <c r="J74" s="77">
        <v>0</v>
      </c>
      <c r="K74" s="77">
        <v>0.1</v>
      </c>
    </row>
    <row r="75" spans="1:11" x14ac:dyDescent="0.35">
      <c r="A75" s="79"/>
      <c r="B75" s="79"/>
      <c r="C75" s="134" t="s">
        <v>27</v>
      </c>
      <c r="D75" s="171">
        <v>65</v>
      </c>
      <c r="E75" s="67">
        <v>20</v>
      </c>
      <c r="F75" s="78" t="s">
        <v>263</v>
      </c>
      <c r="G75" s="162">
        <v>7</v>
      </c>
      <c r="H75" s="63" t="s">
        <v>596</v>
      </c>
      <c r="I75" s="72">
        <v>3.7</v>
      </c>
      <c r="J75" s="76">
        <v>0</v>
      </c>
      <c r="K75" s="76">
        <v>5</v>
      </c>
    </row>
    <row r="76" spans="1:11" x14ac:dyDescent="0.35">
      <c r="A76" s="79"/>
      <c r="B76" s="79"/>
      <c r="C76" s="134" t="s">
        <v>366</v>
      </c>
      <c r="D76" s="147">
        <f>IFERROR(_xlfn.XLOOKUP("BANANA PRATA MÉDIA",T_Custos[Produto],T_Custos[Custo])/_xlfn.XLOOKUP("BANANA PRATA MÉDIA",T_Custos[Produto],T_Custos[Peso])*0.108,"Em falta")</f>
        <v>0.35099999999999998</v>
      </c>
      <c r="E76" s="68">
        <v>1</v>
      </c>
      <c r="F76" s="80" t="s">
        <v>363</v>
      </c>
      <c r="G76" s="162">
        <v>7</v>
      </c>
      <c r="H76" s="63" t="s">
        <v>596</v>
      </c>
      <c r="I76" s="72">
        <v>0.3</v>
      </c>
      <c r="J76" s="77">
        <v>0</v>
      </c>
      <c r="K76" s="77">
        <v>0.1</v>
      </c>
    </row>
    <row r="77" spans="1:11" x14ac:dyDescent="0.35">
      <c r="A77" s="79"/>
      <c r="B77" s="79">
        <v>17459</v>
      </c>
      <c r="C77" s="161" t="s">
        <v>28</v>
      </c>
      <c r="D77" s="171">
        <v>50</v>
      </c>
      <c r="E77" s="67">
        <v>24</v>
      </c>
      <c r="F77" s="78" t="s">
        <v>263</v>
      </c>
      <c r="G77" s="162">
        <v>4</v>
      </c>
      <c r="H77" s="63" t="s">
        <v>242</v>
      </c>
      <c r="I77" s="72">
        <v>3.5</v>
      </c>
      <c r="J77" s="76">
        <v>0</v>
      </c>
      <c r="K77" s="76">
        <v>5</v>
      </c>
    </row>
    <row r="78" spans="1:11" x14ac:dyDescent="0.35">
      <c r="A78" s="79">
        <v>504</v>
      </c>
      <c r="B78" s="79"/>
      <c r="C78" s="134" t="s">
        <v>402</v>
      </c>
      <c r="D78" s="147">
        <f>IFERROR(_xlfn.XLOOKUP("BATATA ASTERIX",T_Custos[Produto],T_Custos[Custo])/_xlfn.XLOOKUP("BATATA ASTERIX",T_Custos[Produto],T_Custos[Peso])*1,"Em falta")</f>
        <v>2.0833333333333335</v>
      </c>
      <c r="E78" s="67">
        <v>1</v>
      </c>
      <c r="F78" s="78" t="s">
        <v>268</v>
      </c>
      <c r="G78" s="162">
        <v>4</v>
      </c>
      <c r="H78" s="73" t="s">
        <v>242</v>
      </c>
      <c r="I78" s="83">
        <v>0.3</v>
      </c>
      <c r="J78" s="76">
        <v>1.8</v>
      </c>
      <c r="K78" s="77">
        <v>0.1</v>
      </c>
    </row>
    <row r="79" spans="1:11" x14ac:dyDescent="0.35">
      <c r="A79" s="79"/>
      <c r="B79" s="79"/>
      <c r="C79" s="134" t="s">
        <v>367</v>
      </c>
      <c r="D79" s="147">
        <f>IFERROR(_xlfn.XLOOKUP("BATATA ASTERIX",T_Custos[Produto],T_Custos[Custo])/_xlfn.XLOOKUP("BATATA ASTERIX",T_Custos[Produto],T_Custos[Peso])*0.26,"Em falta")</f>
        <v>0.54166666666666674</v>
      </c>
      <c r="E79" s="68">
        <v>1</v>
      </c>
      <c r="F79" s="80" t="s">
        <v>363</v>
      </c>
      <c r="G79" s="166">
        <v>4</v>
      </c>
      <c r="H79" s="73" t="s">
        <v>242</v>
      </c>
      <c r="I79" s="72">
        <v>0.3</v>
      </c>
      <c r="J79" s="77">
        <v>0</v>
      </c>
      <c r="K79" s="77">
        <v>0.1</v>
      </c>
    </row>
    <row r="80" spans="1:11" x14ac:dyDescent="0.35">
      <c r="A80" s="79"/>
      <c r="B80" s="79">
        <v>4751</v>
      </c>
      <c r="C80" s="161" t="s">
        <v>29</v>
      </c>
      <c r="D80" s="171">
        <v>170</v>
      </c>
      <c r="E80" s="67">
        <v>20</v>
      </c>
      <c r="F80" s="78" t="s">
        <v>263</v>
      </c>
      <c r="G80" s="162">
        <v>1</v>
      </c>
      <c r="H80" s="71" t="s">
        <v>243</v>
      </c>
      <c r="I80" s="72">
        <v>3.5</v>
      </c>
      <c r="J80" s="76">
        <v>0</v>
      </c>
      <c r="K80" s="76">
        <v>5</v>
      </c>
    </row>
    <row r="81" spans="1:11" x14ac:dyDescent="0.35">
      <c r="A81" s="79">
        <v>1002</v>
      </c>
      <c r="B81" s="79"/>
      <c r="C81" s="134" t="s">
        <v>403</v>
      </c>
      <c r="D81" s="147">
        <f>IFERROR(_xlfn.XLOOKUP("BATATA BAROA",T_Custos[Produto],T_Custos[Custo])/_xlfn.XLOOKUP("BATATA BAROA",T_Custos[Produto],T_Custos[Peso])*0.5,"Em falta")</f>
        <v>4.25</v>
      </c>
      <c r="E81" s="67">
        <v>1</v>
      </c>
      <c r="F81" s="78" t="s">
        <v>265</v>
      </c>
      <c r="G81" s="162">
        <v>1</v>
      </c>
      <c r="H81" s="71" t="s">
        <v>243</v>
      </c>
      <c r="I81" s="83">
        <v>0.3</v>
      </c>
      <c r="J81" s="76">
        <v>1.8</v>
      </c>
      <c r="K81" s="77">
        <v>0.1</v>
      </c>
    </row>
    <row r="82" spans="1:11" x14ac:dyDescent="0.35">
      <c r="A82" s="79">
        <v>41</v>
      </c>
      <c r="B82" s="79">
        <v>3754</v>
      </c>
      <c r="C82" s="161" t="s">
        <v>30</v>
      </c>
      <c r="D82" s="171">
        <v>50</v>
      </c>
      <c r="E82" s="67">
        <v>24</v>
      </c>
      <c r="F82" s="78" t="s">
        <v>263</v>
      </c>
      <c r="G82" s="162">
        <v>4</v>
      </c>
      <c r="H82" s="63" t="s">
        <v>242</v>
      </c>
      <c r="I82" s="72">
        <v>3.5</v>
      </c>
      <c r="J82" s="76">
        <v>0</v>
      </c>
      <c r="K82" s="76">
        <v>5</v>
      </c>
    </row>
    <row r="83" spans="1:11" x14ac:dyDescent="0.35">
      <c r="A83" s="79"/>
      <c r="B83" s="79"/>
      <c r="C83" s="161" t="s">
        <v>553</v>
      </c>
      <c r="D83" s="171">
        <v>45</v>
      </c>
      <c r="E83" s="87">
        <v>24</v>
      </c>
      <c r="F83" s="88" t="s">
        <v>263</v>
      </c>
      <c r="G83" s="167">
        <v>4</v>
      </c>
      <c r="H83" s="90" t="s">
        <v>242</v>
      </c>
      <c r="I83" s="72">
        <v>3.5</v>
      </c>
      <c r="J83" s="76">
        <v>0</v>
      </c>
      <c r="K83" s="76">
        <v>5</v>
      </c>
    </row>
    <row r="84" spans="1:11" x14ac:dyDescent="0.35">
      <c r="A84" s="79"/>
      <c r="B84" s="79">
        <v>1683</v>
      </c>
      <c r="C84" s="161" t="s">
        <v>31</v>
      </c>
      <c r="D84" s="171">
        <v>45</v>
      </c>
      <c r="E84" s="67">
        <v>20</v>
      </c>
      <c r="F84" s="78" t="s">
        <v>263</v>
      </c>
      <c r="G84" s="162">
        <v>1</v>
      </c>
      <c r="H84" s="71" t="s">
        <v>243</v>
      </c>
      <c r="I84" s="72">
        <v>3.5</v>
      </c>
      <c r="J84" s="76">
        <v>0</v>
      </c>
      <c r="K84" s="76">
        <v>5</v>
      </c>
    </row>
    <row r="85" spans="1:11" x14ac:dyDescent="0.35">
      <c r="A85" s="79"/>
      <c r="B85" s="79"/>
      <c r="C85" s="134" t="s">
        <v>32</v>
      </c>
      <c r="D85" s="171" t="s">
        <v>235</v>
      </c>
      <c r="E85" s="67">
        <v>20</v>
      </c>
      <c r="F85" s="78" t="s">
        <v>263</v>
      </c>
      <c r="G85" s="162">
        <v>1</v>
      </c>
      <c r="H85" s="71" t="s">
        <v>243</v>
      </c>
      <c r="I85" s="72">
        <v>3.5</v>
      </c>
      <c r="J85" s="76">
        <v>0</v>
      </c>
      <c r="K85" s="76">
        <v>5</v>
      </c>
    </row>
    <row r="86" spans="1:11" x14ac:dyDescent="0.35">
      <c r="A86" s="79"/>
      <c r="B86" s="79"/>
      <c r="C86" s="161" t="s">
        <v>469</v>
      </c>
      <c r="D86" s="171">
        <v>20</v>
      </c>
      <c r="E86" s="87">
        <v>20</v>
      </c>
      <c r="F86" s="88" t="s">
        <v>263</v>
      </c>
      <c r="G86" s="162">
        <v>1</v>
      </c>
      <c r="H86" s="71" t="s">
        <v>243</v>
      </c>
      <c r="I86" s="89">
        <v>3.5</v>
      </c>
      <c r="J86" s="77">
        <v>0</v>
      </c>
      <c r="K86" s="77">
        <v>5</v>
      </c>
    </row>
    <row r="87" spans="1:11" x14ac:dyDescent="0.35">
      <c r="A87" s="79">
        <v>505</v>
      </c>
      <c r="B87" s="79"/>
      <c r="C87" s="134" t="s">
        <v>404</v>
      </c>
      <c r="D87" s="147">
        <f>IFERROR(_xlfn.XLOOKUP("BATATA DOCE",T_Custos[Produto],T_Custos[Custo])/_xlfn.XLOOKUP("BATATA DOCE",T_Custos[Produto],T_Custos[Peso])*1,"Em falta")</f>
        <v>2.25</v>
      </c>
      <c r="E87" s="67">
        <v>1</v>
      </c>
      <c r="F87" s="78" t="s">
        <v>268</v>
      </c>
      <c r="G87" s="162">
        <v>1</v>
      </c>
      <c r="H87" s="74" t="s">
        <v>243</v>
      </c>
      <c r="I87" s="83">
        <v>0.3</v>
      </c>
      <c r="J87" s="76">
        <v>1.8</v>
      </c>
      <c r="K87" s="77">
        <v>0.1</v>
      </c>
    </row>
    <row r="88" spans="1:11" x14ac:dyDescent="0.35">
      <c r="A88" s="79"/>
      <c r="B88" s="79">
        <v>25970</v>
      </c>
      <c r="C88" s="134" t="s">
        <v>33</v>
      </c>
      <c r="D88" s="171" t="s">
        <v>235</v>
      </c>
      <c r="E88" s="67">
        <v>18</v>
      </c>
      <c r="F88" s="78" t="s">
        <v>263</v>
      </c>
      <c r="G88" s="162">
        <v>1</v>
      </c>
      <c r="H88" s="63" t="s">
        <v>243</v>
      </c>
      <c r="I88" s="72">
        <v>5.4</v>
      </c>
      <c r="J88" s="76">
        <v>0</v>
      </c>
      <c r="K88" s="76">
        <v>5</v>
      </c>
    </row>
    <row r="89" spans="1:11" x14ac:dyDescent="0.35">
      <c r="A89" s="79"/>
      <c r="B89" s="79"/>
      <c r="C89" s="134" t="s">
        <v>368</v>
      </c>
      <c r="D89" s="147">
        <f>IFERROR(_xlfn.XLOOKUP("BATATA DOCE",T_Custos[Produto],T_Custos[Custo])/_xlfn.XLOOKUP("BATATA DOCE",T_Custos[Produto],T_Custos[Peso])*0.65,"Em falta")</f>
        <v>1.4625000000000001</v>
      </c>
      <c r="E89" s="68">
        <v>1</v>
      </c>
      <c r="F89" s="80" t="s">
        <v>363</v>
      </c>
      <c r="G89" s="166">
        <v>1</v>
      </c>
      <c r="H89" s="73" t="s">
        <v>243</v>
      </c>
      <c r="I89" s="72">
        <v>0.3</v>
      </c>
      <c r="J89" s="77">
        <v>0</v>
      </c>
      <c r="K89" s="77">
        <v>0.1</v>
      </c>
    </row>
    <row r="90" spans="1:11" x14ac:dyDescent="0.35">
      <c r="A90" s="79"/>
      <c r="B90" s="79"/>
      <c r="C90" s="134" t="s">
        <v>514</v>
      </c>
      <c r="D90" s="171">
        <v>60</v>
      </c>
      <c r="E90" s="87">
        <v>24</v>
      </c>
      <c r="F90" s="88" t="s">
        <v>263</v>
      </c>
      <c r="G90" s="167">
        <v>4</v>
      </c>
      <c r="H90" s="90" t="s">
        <v>242</v>
      </c>
      <c r="I90" s="72">
        <v>3.5</v>
      </c>
      <c r="J90" s="76">
        <v>0</v>
      </c>
      <c r="K90" s="76">
        <v>5</v>
      </c>
    </row>
    <row r="91" spans="1:11" x14ac:dyDescent="0.35">
      <c r="A91" s="79"/>
      <c r="B91" s="79"/>
      <c r="C91" s="134" t="s">
        <v>474</v>
      </c>
      <c r="D91" s="171" t="s">
        <v>235</v>
      </c>
      <c r="E91" s="87">
        <v>24</v>
      </c>
      <c r="F91" s="88" t="s">
        <v>263</v>
      </c>
      <c r="G91" s="167">
        <v>4</v>
      </c>
      <c r="H91" s="73" t="s">
        <v>242</v>
      </c>
      <c r="I91" s="81">
        <v>0</v>
      </c>
      <c r="J91" s="77">
        <v>0</v>
      </c>
      <c r="K91" s="77">
        <v>0</v>
      </c>
    </row>
    <row r="92" spans="1:11" x14ac:dyDescent="0.35">
      <c r="A92" s="79"/>
      <c r="B92" s="79"/>
      <c r="C92" s="134" t="s">
        <v>35</v>
      </c>
      <c r="D92" s="171" t="s">
        <v>235</v>
      </c>
      <c r="E92" s="67">
        <v>24</v>
      </c>
      <c r="F92" s="78" t="s">
        <v>263</v>
      </c>
      <c r="G92" s="162">
        <v>4</v>
      </c>
      <c r="H92" s="73" t="s">
        <v>242</v>
      </c>
      <c r="I92" s="72">
        <v>3.5</v>
      </c>
      <c r="J92" s="76">
        <v>0</v>
      </c>
      <c r="K92" s="76">
        <v>5</v>
      </c>
    </row>
    <row r="93" spans="1:11" x14ac:dyDescent="0.35">
      <c r="A93" s="79"/>
      <c r="B93" s="79">
        <v>1684</v>
      </c>
      <c r="C93" s="161" t="s">
        <v>34</v>
      </c>
      <c r="D93" s="171">
        <v>80</v>
      </c>
      <c r="E93" s="67">
        <v>24</v>
      </c>
      <c r="F93" s="78" t="s">
        <v>263</v>
      </c>
      <c r="G93" s="162">
        <v>4</v>
      </c>
      <c r="H93" s="73" t="s">
        <v>242</v>
      </c>
      <c r="I93" s="72">
        <v>3.5</v>
      </c>
      <c r="J93" s="76">
        <v>0</v>
      </c>
      <c r="K93" s="76">
        <v>5</v>
      </c>
    </row>
    <row r="94" spans="1:11" x14ac:dyDescent="0.35">
      <c r="A94" s="79"/>
      <c r="B94" s="79"/>
      <c r="C94" s="134" t="s">
        <v>456</v>
      </c>
      <c r="D94" s="147">
        <f>IFERROR(_xlfn.XLOOKUP("BATATA INGLESA SC",T_Custos[Produto],T_Custos[Custo])/_xlfn.XLOOKUP("BATATA INGLESA SC",T_Custos[Produto],T_Custos[Peso])*0.142,"Em falta")</f>
        <v>0.47333333333333333</v>
      </c>
      <c r="E94" s="68">
        <v>1</v>
      </c>
      <c r="F94" s="80" t="s">
        <v>363</v>
      </c>
      <c r="G94" s="166">
        <v>4</v>
      </c>
      <c r="H94" s="73" t="s">
        <v>242</v>
      </c>
      <c r="I94" s="72">
        <v>0.3</v>
      </c>
      <c r="J94" s="77">
        <v>0</v>
      </c>
      <c r="K94" s="77">
        <v>0.1</v>
      </c>
    </row>
    <row r="95" spans="1:11" x14ac:dyDescent="0.35">
      <c r="A95" s="79">
        <v>506</v>
      </c>
      <c r="B95" s="79"/>
      <c r="C95" s="134" t="s">
        <v>405</v>
      </c>
      <c r="D95" s="147">
        <v>5</v>
      </c>
      <c r="E95" s="67">
        <v>1</v>
      </c>
      <c r="F95" s="78" t="s">
        <v>268</v>
      </c>
      <c r="G95" s="162">
        <v>4</v>
      </c>
      <c r="H95" s="74" t="s">
        <v>242</v>
      </c>
      <c r="I95" s="83">
        <v>0.3</v>
      </c>
      <c r="J95" s="76">
        <v>1.8</v>
      </c>
      <c r="K95" s="77">
        <v>0.1</v>
      </c>
    </row>
    <row r="96" spans="1:11" x14ac:dyDescent="0.35">
      <c r="A96" s="79"/>
      <c r="B96" s="79"/>
      <c r="C96" s="134" t="s">
        <v>36</v>
      </c>
      <c r="D96" s="171" t="s">
        <v>235</v>
      </c>
      <c r="E96" s="67">
        <v>24</v>
      </c>
      <c r="F96" s="78" t="s">
        <v>263</v>
      </c>
      <c r="G96" s="162">
        <v>1</v>
      </c>
      <c r="H96" s="71" t="s">
        <v>243</v>
      </c>
      <c r="I96" s="72">
        <v>3.5</v>
      </c>
      <c r="J96" s="76">
        <v>0</v>
      </c>
      <c r="K96" s="76">
        <v>5</v>
      </c>
    </row>
    <row r="97" spans="1:11" x14ac:dyDescent="0.35">
      <c r="A97" s="79"/>
      <c r="B97" s="79"/>
      <c r="C97" s="134" t="s">
        <v>479</v>
      </c>
      <c r="D97" s="171">
        <v>1.8</v>
      </c>
      <c r="E97" s="87">
        <v>1</v>
      </c>
      <c r="F97" s="78" t="s">
        <v>263</v>
      </c>
      <c r="G97" s="162">
        <v>4</v>
      </c>
      <c r="H97" s="73" t="s">
        <v>242</v>
      </c>
      <c r="I97" s="89">
        <v>0.35</v>
      </c>
      <c r="J97" s="77">
        <v>0</v>
      </c>
      <c r="K97" s="77">
        <v>2</v>
      </c>
    </row>
    <row r="98" spans="1:11" x14ac:dyDescent="0.35">
      <c r="A98" s="79"/>
      <c r="B98" s="79">
        <v>1685</v>
      </c>
      <c r="C98" s="161" t="s">
        <v>37</v>
      </c>
      <c r="D98" s="171">
        <v>25</v>
      </c>
      <c r="E98" s="67">
        <v>10</v>
      </c>
      <c r="F98" s="78" t="s">
        <v>263</v>
      </c>
      <c r="G98" s="162">
        <v>5</v>
      </c>
      <c r="H98" s="71" t="s">
        <v>241</v>
      </c>
      <c r="I98" s="72">
        <v>3.5</v>
      </c>
      <c r="J98" s="76">
        <v>0</v>
      </c>
      <c r="K98" s="76">
        <v>3</v>
      </c>
    </row>
    <row r="99" spans="1:11" x14ac:dyDescent="0.35">
      <c r="A99" s="79"/>
      <c r="B99" s="79"/>
      <c r="C99" s="134" t="s">
        <v>38</v>
      </c>
      <c r="D99" s="171" t="s">
        <v>235</v>
      </c>
      <c r="E99" s="67">
        <v>10</v>
      </c>
      <c r="F99" s="78" t="s">
        <v>263</v>
      </c>
      <c r="G99" s="162">
        <v>5</v>
      </c>
      <c r="H99" s="71" t="s">
        <v>241</v>
      </c>
      <c r="I99" s="72">
        <v>3.5</v>
      </c>
      <c r="J99" s="76">
        <v>0</v>
      </c>
      <c r="K99" s="76">
        <v>3</v>
      </c>
    </row>
    <row r="100" spans="1:11" x14ac:dyDescent="0.35">
      <c r="A100" s="79"/>
      <c r="B100" s="79"/>
      <c r="C100" s="134" t="s">
        <v>369</v>
      </c>
      <c r="D100" s="147">
        <f>IFERROR(_xlfn.XLOOKUP("BERINJELA",T_Custos[Produto],T_Custos[Custo])/_xlfn.XLOOKUP("BERINJELA",T_Custos[Produto],T_Custos[Peso])*0.4,"Em falta")</f>
        <v>1</v>
      </c>
      <c r="E100" s="68">
        <v>1</v>
      </c>
      <c r="F100" s="80" t="s">
        <v>363</v>
      </c>
      <c r="G100" s="166">
        <v>5</v>
      </c>
      <c r="H100" s="71" t="s">
        <v>241</v>
      </c>
      <c r="I100" s="72">
        <v>0.3</v>
      </c>
      <c r="J100" s="77">
        <v>0</v>
      </c>
      <c r="K100" s="77">
        <v>0.1</v>
      </c>
    </row>
    <row r="101" spans="1:11" x14ac:dyDescent="0.35">
      <c r="A101" s="79"/>
      <c r="B101" s="79"/>
      <c r="C101" s="57" t="s">
        <v>194</v>
      </c>
      <c r="D101" s="171">
        <v>2.5</v>
      </c>
      <c r="E101" s="67">
        <v>1</v>
      </c>
      <c r="F101" s="78" t="s">
        <v>264</v>
      </c>
      <c r="G101" s="162"/>
      <c r="H101" s="74" t="s">
        <v>595</v>
      </c>
      <c r="I101" s="72">
        <v>0.4</v>
      </c>
      <c r="J101" s="76">
        <v>0</v>
      </c>
      <c r="K101" s="76">
        <v>0</v>
      </c>
    </row>
    <row r="102" spans="1:11" x14ac:dyDescent="0.35">
      <c r="A102" s="148"/>
      <c r="B102" s="148"/>
      <c r="C102" s="57" t="s">
        <v>570</v>
      </c>
      <c r="D102" s="172">
        <f>_xlfn.XLOOKUP(T_Custos[[#This Row],[Produto]],T_Assumpnutry[PRODUTO],T_Assumpnutry[PREÇO KG])</f>
        <v>7</v>
      </c>
      <c r="E102" s="156">
        <v>1</v>
      </c>
      <c r="F102" s="78" t="s">
        <v>263</v>
      </c>
      <c r="G102" s="162"/>
      <c r="H102" s="73" t="s">
        <v>592</v>
      </c>
      <c r="I102" s="157">
        <v>0.4</v>
      </c>
      <c r="J102" s="153">
        <v>0</v>
      </c>
      <c r="K102" s="153">
        <v>0</v>
      </c>
    </row>
    <row r="103" spans="1:11" x14ac:dyDescent="0.35">
      <c r="A103" s="79"/>
      <c r="B103" s="79">
        <v>1686</v>
      </c>
      <c r="C103" s="161" t="s">
        <v>39</v>
      </c>
      <c r="D103" s="171">
        <v>35</v>
      </c>
      <c r="E103" s="67">
        <v>20</v>
      </c>
      <c r="F103" s="78" t="s">
        <v>263</v>
      </c>
      <c r="G103" s="162">
        <v>1</v>
      </c>
      <c r="H103" s="71" t="s">
        <v>243</v>
      </c>
      <c r="I103" s="72">
        <v>3.5</v>
      </c>
      <c r="J103" s="76">
        <v>0</v>
      </c>
      <c r="K103" s="76">
        <v>5</v>
      </c>
    </row>
    <row r="104" spans="1:11" x14ac:dyDescent="0.35">
      <c r="A104" s="79">
        <v>516</v>
      </c>
      <c r="B104" s="79"/>
      <c r="C104" s="134" t="s">
        <v>406</v>
      </c>
      <c r="D104" s="147">
        <f>IFERROR(_xlfn.XLOOKUP("BETERRABA",T_Custos[Produto],T_Custos[Custo])/_xlfn.XLOOKUP("BETERRABA",T_Custos[Produto],T_Custos[Peso])*0.5,"Em falta")</f>
        <v>0.875</v>
      </c>
      <c r="E104" s="67">
        <v>1</v>
      </c>
      <c r="F104" s="78" t="s">
        <v>268</v>
      </c>
      <c r="G104" s="162">
        <v>1</v>
      </c>
      <c r="H104" s="71" t="s">
        <v>243</v>
      </c>
      <c r="I104" s="83">
        <v>0.3</v>
      </c>
      <c r="J104" s="76">
        <v>1.8</v>
      </c>
      <c r="K104" s="77">
        <v>0.1</v>
      </c>
    </row>
    <row r="105" spans="1:11" x14ac:dyDescent="0.35">
      <c r="A105" s="79"/>
      <c r="B105" s="79"/>
      <c r="C105" s="161" t="s">
        <v>470</v>
      </c>
      <c r="D105" s="171">
        <v>20</v>
      </c>
      <c r="E105" s="87">
        <v>20</v>
      </c>
      <c r="F105" s="88" t="s">
        <v>263</v>
      </c>
      <c r="G105" s="162">
        <v>1</v>
      </c>
      <c r="H105" s="71" t="s">
        <v>243</v>
      </c>
      <c r="I105" s="81">
        <v>0</v>
      </c>
      <c r="J105" s="77">
        <v>0</v>
      </c>
      <c r="K105" s="77">
        <v>0</v>
      </c>
    </row>
    <row r="106" spans="1:11" x14ac:dyDescent="0.35">
      <c r="A106" s="79"/>
      <c r="B106" s="79"/>
      <c r="C106" s="134" t="s">
        <v>370</v>
      </c>
      <c r="D106" s="147">
        <f>IFERROR(_xlfn.XLOOKUP("BETERRABA",T_Custos[Produto],T_Custos[Custo])/_xlfn.XLOOKUP("BETERRABA",T_Custos[Produto],T_Custos[Peso])*0.35,"Em falta")</f>
        <v>0.61249999999999993</v>
      </c>
      <c r="E106" s="68">
        <v>1</v>
      </c>
      <c r="F106" s="80" t="s">
        <v>363</v>
      </c>
      <c r="G106" s="162">
        <v>1</v>
      </c>
      <c r="H106" s="71" t="s">
        <v>243</v>
      </c>
      <c r="I106" s="72">
        <v>0.3</v>
      </c>
      <c r="J106" s="77">
        <v>0</v>
      </c>
      <c r="K106" s="77">
        <v>0.1</v>
      </c>
    </row>
    <row r="107" spans="1:11" x14ac:dyDescent="0.35">
      <c r="A107" s="79"/>
      <c r="B107" s="79"/>
      <c r="C107" s="134" t="s">
        <v>505</v>
      </c>
      <c r="D107" s="173">
        <v>60</v>
      </c>
      <c r="E107" s="87">
        <v>1</v>
      </c>
      <c r="F107" s="78" t="s">
        <v>263</v>
      </c>
      <c r="G107" s="162">
        <v>7</v>
      </c>
      <c r="H107" s="63" t="s">
        <v>240</v>
      </c>
      <c r="I107" s="89">
        <v>0.4</v>
      </c>
      <c r="J107" s="77">
        <v>0</v>
      </c>
      <c r="K107" s="77">
        <v>2</v>
      </c>
    </row>
    <row r="108" spans="1:11" x14ac:dyDescent="0.35">
      <c r="A108" s="148"/>
      <c r="B108" s="148"/>
      <c r="C108" s="57" t="s">
        <v>571</v>
      </c>
      <c r="D108" s="172">
        <f>_xlfn.XLOOKUP(T_Custos[[#This Row],[Produto]],T_Assumpnutry[PRODUTO],T_Assumpnutry[PREÇO KG])</f>
        <v>16</v>
      </c>
      <c r="E108" s="156">
        <v>1</v>
      </c>
      <c r="F108" s="78" t="s">
        <v>263</v>
      </c>
      <c r="G108" s="162"/>
      <c r="H108" s="73" t="s">
        <v>592</v>
      </c>
      <c r="I108" s="157">
        <v>0.4</v>
      </c>
      <c r="J108" s="153">
        <v>0</v>
      </c>
      <c r="K108" s="153">
        <v>0</v>
      </c>
    </row>
    <row r="109" spans="1:11" x14ac:dyDescent="0.35">
      <c r="A109" s="79"/>
      <c r="B109" s="79"/>
      <c r="C109" s="57" t="s">
        <v>195</v>
      </c>
      <c r="D109" s="171">
        <v>6.5</v>
      </c>
      <c r="E109" s="67">
        <v>1</v>
      </c>
      <c r="F109" s="78" t="s">
        <v>264</v>
      </c>
      <c r="G109" s="162"/>
      <c r="H109" s="74" t="s">
        <v>595</v>
      </c>
      <c r="I109" s="72">
        <v>0.4</v>
      </c>
      <c r="J109" s="76">
        <v>0</v>
      </c>
      <c r="K109" s="76">
        <v>0</v>
      </c>
    </row>
    <row r="110" spans="1:11" x14ac:dyDescent="0.35">
      <c r="A110" s="79"/>
      <c r="B110" s="79"/>
      <c r="C110" s="57" t="s">
        <v>196</v>
      </c>
      <c r="D110" s="171">
        <v>4</v>
      </c>
      <c r="E110" s="67">
        <v>1</v>
      </c>
      <c r="F110" s="78" t="s">
        <v>264</v>
      </c>
      <c r="G110" s="162"/>
      <c r="H110" s="74" t="s">
        <v>595</v>
      </c>
      <c r="I110" s="72">
        <v>0.4</v>
      </c>
      <c r="J110" s="76">
        <v>0</v>
      </c>
      <c r="K110" s="76">
        <v>0</v>
      </c>
    </row>
    <row r="111" spans="1:11" x14ac:dyDescent="0.35">
      <c r="A111" s="148"/>
      <c r="B111" s="148"/>
      <c r="C111" s="57" t="s">
        <v>572</v>
      </c>
      <c r="D111" s="172">
        <f>_xlfn.XLOOKUP(T_Custos[[#This Row],[Produto]],T_Assumpnutry[PRODUTO],T_Assumpnutry[PREÇO KG])</f>
        <v>9.8000000000000007</v>
      </c>
      <c r="E111" s="156">
        <v>1</v>
      </c>
      <c r="F111" s="78" t="s">
        <v>263</v>
      </c>
      <c r="G111" s="162"/>
      <c r="H111" s="73" t="s">
        <v>592</v>
      </c>
      <c r="I111" s="157">
        <v>0.4</v>
      </c>
      <c r="J111" s="153">
        <v>0</v>
      </c>
      <c r="K111" s="153">
        <v>0</v>
      </c>
    </row>
    <row r="112" spans="1:11" x14ac:dyDescent="0.35">
      <c r="A112" s="79"/>
      <c r="B112" s="79">
        <v>1689</v>
      </c>
      <c r="C112" s="134" t="s">
        <v>40</v>
      </c>
      <c r="D112" s="171">
        <v>7.5</v>
      </c>
      <c r="E112" s="67">
        <v>0.5</v>
      </c>
      <c r="F112" s="78" t="s">
        <v>263</v>
      </c>
      <c r="G112" s="162">
        <v>9</v>
      </c>
      <c r="H112" s="63" t="s">
        <v>244</v>
      </c>
      <c r="I112" s="72">
        <v>3.5</v>
      </c>
      <c r="J112" s="76">
        <v>0</v>
      </c>
      <c r="K112" s="76">
        <v>2</v>
      </c>
    </row>
    <row r="113" spans="1:11" x14ac:dyDescent="0.35">
      <c r="A113" s="79">
        <v>50007</v>
      </c>
      <c r="B113" s="79"/>
      <c r="C113" s="134" t="s">
        <v>407</v>
      </c>
      <c r="D113" s="147">
        <f>IFERROR(_xlfn.XLOOKUP("BROTO DE FEIJÃO 550G",T_Custos[Produto],T_Custos[Custo])/_xlfn.XLOOKUP("BROTO DE FEIJÃO 550G",T_Custos[Produto],T_Custos[Peso])*0.5,"Em falta")</f>
        <v>7.5</v>
      </c>
      <c r="E113" s="67">
        <v>1</v>
      </c>
      <c r="F113" s="78" t="s">
        <v>267</v>
      </c>
      <c r="G113" s="162">
        <v>9</v>
      </c>
      <c r="H113" s="74" t="s">
        <v>244</v>
      </c>
      <c r="I113" s="83">
        <v>0.3</v>
      </c>
      <c r="J113" s="76">
        <v>1.8</v>
      </c>
      <c r="K113" s="77">
        <v>0.1</v>
      </c>
    </row>
    <row r="114" spans="1:11" x14ac:dyDescent="0.35">
      <c r="A114" s="79"/>
      <c r="B114" s="79"/>
      <c r="C114" s="161" t="s">
        <v>476</v>
      </c>
      <c r="D114" s="171">
        <v>55</v>
      </c>
      <c r="E114" s="87">
        <v>2</v>
      </c>
      <c r="F114" s="88" t="s">
        <v>263</v>
      </c>
      <c r="G114" s="162">
        <v>6</v>
      </c>
      <c r="H114" s="63" t="s">
        <v>239</v>
      </c>
      <c r="I114" s="72">
        <v>0.4</v>
      </c>
      <c r="J114" s="76">
        <v>0</v>
      </c>
      <c r="K114" s="76">
        <v>2</v>
      </c>
    </row>
    <row r="115" spans="1:11" x14ac:dyDescent="0.35">
      <c r="A115" s="79"/>
      <c r="B115" s="79"/>
      <c r="C115" s="134" t="s">
        <v>231</v>
      </c>
      <c r="D115" s="171">
        <v>4.5</v>
      </c>
      <c r="E115" s="67">
        <v>1</v>
      </c>
      <c r="F115" s="78" t="s">
        <v>264</v>
      </c>
      <c r="G115" s="162">
        <v>9</v>
      </c>
      <c r="H115" s="74" t="s">
        <v>244</v>
      </c>
      <c r="I115" s="72">
        <v>0.4</v>
      </c>
      <c r="J115" s="76">
        <v>0</v>
      </c>
      <c r="K115" s="76">
        <v>0</v>
      </c>
    </row>
    <row r="116" spans="1:11" x14ac:dyDescent="0.35">
      <c r="A116" s="79"/>
      <c r="B116" s="79">
        <v>1691</v>
      </c>
      <c r="C116" s="161" t="s">
        <v>42</v>
      </c>
      <c r="D116" s="171">
        <v>22</v>
      </c>
      <c r="E116" s="67">
        <v>2.5</v>
      </c>
      <c r="F116" s="78" t="s">
        <v>263</v>
      </c>
      <c r="G116" s="162">
        <v>6</v>
      </c>
      <c r="H116" s="63" t="s">
        <v>239</v>
      </c>
      <c r="I116" s="72">
        <v>1.05</v>
      </c>
      <c r="J116" s="76">
        <v>0</v>
      </c>
      <c r="K116" s="76">
        <v>2</v>
      </c>
    </row>
    <row r="117" spans="1:11" x14ac:dyDescent="0.35">
      <c r="A117" s="79"/>
      <c r="B117" s="79">
        <v>1691</v>
      </c>
      <c r="C117" s="161" t="s">
        <v>457</v>
      </c>
      <c r="D117" s="171">
        <v>32</v>
      </c>
      <c r="E117" s="67">
        <v>6</v>
      </c>
      <c r="F117" s="78" t="s">
        <v>263</v>
      </c>
      <c r="G117" s="162">
        <v>6</v>
      </c>
      <c r="H117" s="63" t="s">
        <v>239</v>
      </c>
      <c r="I117" s="72">
        <v>2.5</v>
      </c>
      <c r="J117" s="76">
        <v>0</v>
      </c>
      <c r="K117" s="76">
        <v>3</v>
      </c>
    </row>
    <row r="118" spans="1:11" x14ac:dyDescent="0.35">
      <c r="A118" s="79"/>
      <c r="B118" s="79"/>
      <c r="C118" s="134" t="s">
        <v>41</v>
      </c>
      <c r="D118" s="171" t="s">
        <v>235</v>
      </c>
      <c r="E118" s="67">
        <v>13</v>
      </c>
      <c r="F118" s="78" t="s">
        <v>263</v>
      </c>
      <c r="G118" s="162">
        <v>6</v>
      </c>
      <c r="H118" s="63" t="s">
        <v>239</v>
      </c>
      <c r="I118" s="72">
        <v>3.5</v>
      </c>
      <c r="J118" s="76">
        <v>0</v>
      </c>
      <c r="K118" s="76">
        <v>3</v>
      </c>
    </row>
    <row r="119" spans="1:11" x14ac:dyDescent="0.35">
      <c r="A119" s="79"/>
      <c r="B119" s="79">
        <v>3566</v>
      </c>
      <c r="C119" s="161" t="s">
        <v>43</v>
      </c>
      <c r="D119" s="171">
        <v>95</v>
      </c>
      <c r="E119" s="67">
        <v>15</v>
      </c>
      <c r="F119" s="78" t="s">
        <v>263</v>
      </c>
      <c r="G119" s="162">
        <v>1</v>
      </c>
      <c r="H119" s="71" t="s">
        <v>243</v>
      </c>
      <c r="I119" s="72">
        <v>3.5</v>
      </c>
      <c r="J119" s="76">
        <v>0</v>
      </c>
      <c r="K119" s="76">
        <v>5</v>
      </c>
    </row>
    <row r="120" spans="1:11" x14ac:dyDescent="0.35">
      <c r="A120" s="79"/>
      <c r="B120" s="79">
        <v>22999</v>
      </c>
      <c r="C120" s="134" t="s">
        <v>44</v>
      </c>
      <c r="D120" s="171" t="s">
        <v>235</v>
      </c>
      <c r="E120" s="67">
        <v>1</v>
      </c>
      <c r="F120" s="78" t="s">
        <v>263</v>
      </c>
      <c r="G120" s="162">
        <v>7</v>
      </c>
      <c r="H120" s="63" t="s">
        <v>240</v>
      </c>
      <c r="I120" s="72">
        <v>0.35</v>
      </c>
      <c r="J120" s="76">
        <v>0</v>
      </c>
      <c r="K120" s="76">
        <v>2</v>
      </c>
    </row>
    <row r="121" spans="1:11" x14ac:dyDescent="0.35">
      <c r="A121" s="79"/>
      <c r="B121" s="79">
        <v>28037</v>
      </c>
      <c r="C121" s="134" t="s">
        <v>45</v>
      </c>
      <c r="D121" s="171" t="s">
        <v>235</v>
      </c>
      <c r="E121" s="67">
        <v>19</v>
      </c>
      <c r="F121" s="78" t="s">
        <v>263</v>
      </c>
      <c r="G121" s="162">
        <v>4</v>
      </c>
      <c r="H121" s="63" t="s">
        <v>242</v>
      </c>
      <c r="I121" s="72">
        <v>6</v>
      </c>
      <c r="J121" s="76">
        <v>0</v>
      </c>
      <c r="K121" s="76">
        <v>5</v>
      </c>
    </row>
    <row r="122" spans="1:11" x14ac:dyDescent="0.35">
      <c r="A122" s="79"/>
      <c r="B122" s="79">
        <v>30715</v>
      </c>
      <c r="C122" s="134" t="s">
        <v>46</v>
      </c>
      <c r="D122" s="171" t="s">
        <v>235</v>
      </c>
      <c r="E122" s="67">
        <v>19</v>
      </c>
      <c r="F122" s="78" t="s">
        <v>263</v>
      </c>
      <c r="G122" s="162">
        <v>4</v>
      </c>
      <c r="H122" s="63" t="s">
        <v>242</v>
      </c>
      <c r="I122" s="72">
        <v>3.5</v>
      </c>
      <c r="J122" s="76">
        <v>0</v>
      </c>
      <c r="K122" s="76">
        <v>5</v>
      </c>
    </row>
    <row r="123" spans="1:11" x14ac:dyDescent="0.35">
      <c r="A123" s="79"/>
      <c r="B123" s="79"/>
      <c r="C123" s="134" t="s">
        <v>197</v>
      </c>
      <c r="D123" s="171">
        <v>4.2</v>
      </c>
      <c r="E123" s="67">
        <v>1</v>
      </c>
      <c r="F123" s="78" t="s">
        <v>264</v>
      </c>
      <c r="G123" s="162">
        <v>4</v>
      </c>
      <c r="H123" s="74" t="s">
        <v>242</v>
      </c>
      <c r="I123" s="72">
        <v>0.4</v>
      </c>
      <c r="J123" s="76">
        <v>0</v>
      </c>
      <c r="K123" s="76">
        <v>0</v>
      </c>
    </row>
    <row r="124" spans="1:11" x14ac:dyDescent="0.35">
      <c r="A124" s="79"/>
      <c r="B124" s="79"/>
      <c r="C124" s="178" t="s">
        <v>600</v>
      </c>
      <c r="D124" s="173" t="s">
        <v>235</v>
      </c>
      <c r="E124" s="67">
        <v>19</v>
      </c>
      <c r="F124" s="78" t="s">
        <v>263</v>
      </c>
      <c r="G124" s="162">
        <v>4</v>
      </c>
      <c r="H124" s="63" t="s">
        <v>242</v>
      </c>
      <c r="I124" s="72">
        <v>3.5</v>
      </c>
      <c r="J124" s="76">
        <v>0</v>
      </c>
      <c r="K124" s="76">
        <v>5</v>
      </c>
    </row>
    <row r="125" spans="1:11" x14ac:dyDescent="0.35">
      <c r="A125" s="79"/>
      <c r="B125" s="79"/>
      <c r="C125" s="181" t="s">
        <v>599</v>
      </c>
      <c r="D125" s="173">
        <v>32</v>
      </c>
      <c r="E125" s="67">
        <v>19</v>
      </c>
      <c r="F125" s="78" t="s">
        <v>263</v>
      </c>
      <c r="G125" s="162">
        <v>4</v>
      </c>
      <c r="H125" s="63" t="s">
        <v>242</v>
      </c>
      <c r="I125" s="72">
        <v>3.5</v>
      </c>
      <c r="J125" s="76">
        <v>0</v>
      </c>
      <c r="K125" s="76">
        <v>5</v>
      </c>
    </row>
    <row r="126" spans="1:11" x14ac:dyDescent="0.35">
      <c r="A126" s="79"/>
      <c r="B126" s="79">
        <v>1692</v>
      </c>
      <c r="C126" s="161" t="s">
        <v>601</v>
      </c>
      <c r="D126" s="171">
        <v>35</v>
      </c>
      <c r="E126" s="67">
        <v>19</v>
      </c>
      <c r="F126" s="78" t="s">
        <v>263</v>
      </c>
      <c r="G126" s="162">
        <v>4</v>
      </c>
      <c r="H126" s="63" t="s">
        <v>242</v>
      </c>
      <c r="I126" s="72">
        <v>3.5</v>
      </c>
      <c r="J126" s="76">
        <v>0</v>
      </c>
      <c r="K126" s="76">
        <v>5</v>
      </c>
    </row>
    <row r="127" spans="1:11" x14ac:dyDescent="0.35">
      <c r="A127" s="79"/>
      <c r="B127" s="79"/>
      <c r="C127" s="134" t="s">
        <v>602</v>
      </c>
      <c r="D127" s="147">
        <f>IFERROR(_xlfn.XLOOKUP("CEBOLA NACIONAL CX3",T_Custos[Produto],T_Custos[Custo])/_xlfn.XLOOKUP("CEBOLA NACIONAL CX3",T_Custos[Produto],T_Custos[Peso])*0.3,"Em falta")</f>
        <v>0.55263157894736836</v>
      </c>
      <c r="E127" s="68">
        <v>1</v>
      </c>
      <c r="F127" s="80" t="s">
        <v>363</v>
      </c>
      <c r="G127" s="166">
        <v>4</v>
      </c>
      <c r="H127" s="74" t="s">
        <v>242</v>
      </c>
      <c r="I127" s="72">
        <v>0.3</v>
      </c>
      <c r="J127" s="77">
        <v>0</v>
      </c>
      <c r="K127" s="77">
        <v>0.1</v>
      </c>
    </row>
    <row r="128" spans="1:11" x14ac:dyDescent="0.35">
      <c r="A128" s="130"/>
      <c r="B128" s="130"/>
      <c r="C128" s="161" t="s">
        <v>535</v>
      </c>
      <c r="D128" s="173">
        <v>33</v>
      </c>
      <c r="E128" s="67">
        <v>19</v>
      </c>
      <c r="F128" s="78" t="s">
        <v>263</v>
      </c>
      <c r="G128" s="162">
        <v>4</v>
      </c>
      <c r="H128" s="63" t="s">
        <v>242</v>
      </c>
      <c r="I128" s="72">
        <v>3.5</v>
      </c>
      <c r="J128" s="76">
        <v>0</v>
      </c>
      <c r="K128" s="76">
        <v>5</v>
      </c>
    </row>
    <row r="129" spans="1:11" x14ac:dyDescent="0.35">
      <c r="A129" s="130"/>
      <c r="B129" s="130"/>
      <c r="C129" s="134" t="s">
        <v>536</v>
      </c>
      <c r="D129" s="147">
        <f>IFERROR(_xlfn.XLOOKUP("CEBOLA NACIONAL CX4",T_Custos[Produto],T_Custos[Custo])/_xlfn.XLOOKUP("CEBOLA NACIONAL CX4",T_Custos[Produto],T_Custos[Peso])*0.3,"Em falta")</f>
        <v>0.52105263157894732</v>
      </c>
      <c r="E129" s="68">
        <v>1</v>
      </c>
      <c r="F129" s="80" t="s">
        <v>363</v>
      </c>
      <c r="G129" s="166">
        <v>4</v>
      </c>
      <c r="H129" s="74" t="s">
        <v>242</v>
      </c>
      <c r="I129" s="72">
        <v>0.3</v>
      </c>
      <c r="J129" s="77">
        <v>0</v>
      </c>
      <c r="K129" s="77">
        <v>0.1</v>
      </c>
    </row>
    <row r="130" spans="1:11" x14ac:dyDescent="0.35">
      <c r="A130" s="79"/>
      <c r="B130" s="79"/>
      <c r="C130" s="134" t="s">
        <v>478</v>
      </c>
      <c r="D130" s="171">
        <v>2</v>
      </c>
      <c r="E130" s="87">
        <v>1</v>
      </c>
      <c r="F130" s="78" t="s">
        <v>263</v>
      </c>
      <c r="G130" s="162">
        <v>4</v>
      </c>
      <c r="H130" s="73" t="s">
        <v>242</v>
      </c>
      <c r="I130" s="89">
        <v>0.35</v>
      </c>
      <c r="J130" s="77">
        <v>0</v>
      </c>
      <c r="K130" s="77">
        <v>2</v>
      </c>
    </row>
    <row r="131" spans="1:11" x14ac:dyDescent="0.35">
      <c r="A131" s="79">
        <v>507</v>
      </c>
      <c r="B131" s="79"/>
      <c r="C131" s="134" t="s">
        <v>408</v>
      </c>
      <c r="D131" s="147" t="str">
        <f>IFERROR(_xlfn.XLOOKUP("CEBOLA NACIONAL",T_Custos[Produto],T_Custos[Custo])/_xlfn.XLOOKUP("CEBOLA NACIONAL",T_Custos[Produto],T_Custos[Peso])*0.5,"Em falta")</f>
        <v>Em falta</v>
      </c>
      <c r="E131" s="67">
        <v>1</v>
      </c>
      <c r="F131" s="78" t="s">
        <v>268</v>
      </c>
      <c r="G131" s="162">
        <v>4</v>
      </c>
      <c r="H131" s="63" t="s">
        <v>242</v>
      </c>
      <c r="I131" s="83">
        <v>0.3</v>
      </c>
      <c r="J131" s="76">
        <v>1.8</v>
      </c>
      <c r="K131" s="77">
        <v>0.1</v>
      </c>
    </row>
    <row r="132" spans="1:11" x14ac:dyDescent="0.35">
      <c r="A132" s="79"/>
      <c r="B132" s="79">
        <v>1693</v>
      </c>
      <c r="C132" s="161" t="s">
        <v>48</v>
      </c>
      <c r="D132" s="171">
        <v>80</v>
      </c>
      <c r="E132" s="67">
        <v>19</v>
      </c>
      <c r="F132" s="78" t="s">
        <v>263</v>
      </c>
      <c r="G132" s="162">
        <v>4</v>
      </c>
      <c r="H132" s="63" t="s">
        <v>242</v>
      </c>
      <c r="I132" s="72">
        <v>3.5</v>
      </c>
      <c r="J132" s="76">
        <v>0</v>
      </c>
      <c r="K132" s="76">
        <v>5</v>
      </c>
    </row>
    <row r="133" spans="1:11" x14ac:dyDescent="0.35">
      <c r="A133" s="79">
        <v>508</v>
      </c>
      <c r="B133" s="79"/>
      <c r="C133" s="134" t="s">
        <v>409</v>
      </c>
      <c r="D133" s="147">
        <f>IFERROR(_xlfn.XLOOKUP("CEBOLA ROXA",T_Custos[Produto],T_Custos[Custo])/_xlfn.XLOOKUP("CEBOLA ROXA",T_Custos[Produto],T_Custos[Peso])*0.5,"Em falta")</f>
        <v>2.1052631578947367</v>
      </c>
      <c r="E133" s="67">
        <v>1</v>
      </c>
      <c r="F133" s="78" t="s">
        <v>268</v>
      </c>
      <c r="G133" s="162">
        <v>4</v>
      </c>
      <c r="H133" s="63" t="s">
        <v>242</v>
      </c>
      <c r="I133" s="83">
        <v>0.3</v>
      </c>
      <c r="J133" s="76">
        <v>1.8</v>
      </c>
      <c r="K133" s="77">
        <v>0.1</v>
      </c>
    </row>
    <row r="134" spans="1:11" x14ac:dyDescent="0.35">
      <c r="A134" s="79"/>
      <c r="B134" s="79"/>
      <c r="C134" s="134" t="s">
        <v>480</v>
      </c>
      <c r="D134" s="173">
        <v>3.8</v>
      </c>
      <c r="E134" s="68">
        <v>1</v>
      </c>
      <c r="F134" s="78" t="s">
        <v>263</v>
      </c>
      <c r="G134" s="162">
        <v>4</v>
      </c>
      <c r="H134" s="73" t="s">
        <v>242</v>
      </c>
      <c r="I134" s="89">
        <v>0.35</v>
      </c>
      <c r="J134" s="77">
        <v>0</v>
      </c>
      <c r="K134" s="77">
        <v>2</v>
      </c>
    </row>
    <row r="135" spans="1:11" x14ac:dyDescent="0.35">
      <c r="A135" s="79"/>
      <c r="B135" s="79"/>
      <c r="C135" s="134" t="s">
        <v>372</v>
      </c>
      <c r="D135" s="147">
        <f>IFERROR(_xlfn.XLOOKUP("CEBOLA ROXA",T_Custos[Produto],T_Custos[Custo])/_xlfn.XLOOKUP("CEBOLA ROXA",T_Custos[Produto],T_Custos[Peso])*0.166,"Em falta")</f>
        <v>0.69894736842105265</v>
      </c>
      <c r="E135" s="68">
        <v>1</v>
      </c>
      <c r="F135" s="80" t="s">
        <v>363</v>
      </c>
      <c r="G135" s="166">
        <v>4</v>
      </c>
      <c r="H135" s="74" t="s">
        <v>242</v>
      </c>
      <c r="I135" s="72">
        <v>0.3</v>
      </c>
      <c r="J135" s="77">
        <v>0</v>
      </c>
      <c r="K135" s="77">
        <v>0.1</v>
      </c>
    </row>
    <row r="136" spans="1:11" x14ac:dyDescent="0.35">
      <c r="A136" s="79"/>
      <c r="B136" s="79"/>
      <c r="C136" s="134" t="s">
        <v>213</v>
      </c>
      <c r="D136" s="171">
        <v>3.5</v>
      </c>
      <c r="E136" s="67">
        <v>1</v>
      </c>
      <c r="F136" s="78" t="s">
        <v>264</v>
      </c>
      <c r="G136" s="162">
        <v>9</v>
      </c>
      <c r="H136" s="74" t="s">
        <v>244</v>
      </c>
      <c r="I136" s="72">
        <v>0.4</v>
      </c>
      <c r="J136" s="76">
        <v>0</v>
      </c>
      <c r="K136" s="76">
        <v>0</v>
      </c>
    </row>
    <row r="137" spans="1:11" x14ac:dyDescent="0.35">
      <c r="A137" s="79"/>
      <c r="B137" s="79"/>
      <c r="C137" s="57" t="s">
        <v>198</v>
      </c>
      <c r="D137" s="171">
        <v>3</v>
      </c>
      <c r="E137" s="67">
        <v>1</v>
      </c>
      <c r="F137" s="78" t="s">
        <v>264</v>
      </c>
      <c r="G137" s="162"/>
      <c r="H137" s="74" t="s">
        <v>595</v>
      </c>
      <c r="I137" s="72">
        <v>0.4</v>
      </c>
      <c r="J137" s="76">
        <v>0</v>
      </c>
      <c r="K137" s="76">
        <v>0</v>
      </c>
    </row>
    <row r="138" spans="1:11" x14ac:dyDescent="0.35">
      <c r="A138" s="148"/>
      <c r="B138" s="148"/>
      <c r="C138" s="57" t="s">
        <v>573</v>
      </c>
      <c r="D138" s="172">
        <f>_xlfn.XLOOKUP(T_Custos[[#This Row],[Produto]],T_Assumpnutry[PRODUTO],T_Assumpnutry[PREÇO KG])</f>
        <v>9</v>
      </c>
      <c r="E138" s="156">
        <v>1</v>
      </c>
      <c r="F138" s="78" t="s">
        <v>263</v>
      </c>
      <c r="G138" s="162"/>
      <c r="H138" s="73" t="s">
        <v>592</v>
      </c>
      <c r="I138" s="157">
        <v>0.4</v>
      </c>
      <c r="J138" s="153">
        <v>0</v>
      </c>
      <c r="K138" s="153">
        <v>0</v>
      </c>
    </row>
    <row r="139" spans="1:11" x14ac:dyDescent="0.35">
      <c r="A139" s="79"/>
      <c r="B139" s="79">
        <v>1695</v>
      </c>
      <c r="C139" s="161" t="s">
        <v>49</v>
      </c>
      <c r="D139" s="171">
        <v>38.5</v>
      </c>
      <c r="E139" s="67">
        <v>20</v>
      </c>
      <c r="F139" s="78" t="s">
        <v>263</v>
      </c>
      <c r="G139" s="162">
        <v>1</v>
      </c>
      <c r="H139" s="71" t="s">
        <v>243</v>
      </c>
      <c r="I139" s="72">
        <v>3.5</v>
      </c>
      <c r="J139" s="76">
        <v>0</v>
      </c>
      <c r="K139" s="76">
        <v>5</v>
      </c>
    </row>
    <row r="140" spans="1:11" x14ac:dyDescent="0.35">
      <c r="A140" s="79"/>
      <c r="B140" s="79"/>
      <c r="C140" s="134" t="s">
        <v>373</v>
      </c>
      <c r="D140" s="147">
        <f>IFERROR(_xlfn.XLOOKUP("CENOURA 3A",T_Custos[Produto],T_Custos[Custo])/_xlfn.XLOOKUP("CENOURA 3A",T_Custos[Produto],T_Custos[Peso])*0.35,"Em falta")</f>
        <v>0.67374999999999996</v>
      </c>
      <c r="E140" s="68">
        <v>1</v>
      </c>
      <c r="F140" s="80" t="s">
        <v>363</v>
      </c>
      <c r="G140" s="166">
        <v>1</v>
      </c>
      <c r="H140" s="73" t="s">
        <v>243</v>
      </c>
      <c r="I140" s="72">
        <v>0.3</v>
      </c>
      <c r="J140" s="77">
        <v>0</v>
      </c>
      <c r="K140" s="77">
        <v>0.1</v>
      </c>
    </row>
    <row r="141" spans="1:11" x14ac:dyDescent="0.35">
      <c r="A141" s="79"/>
      <c r="B141" s="79"/>
      <c r="C141" s="134" t="s">
        <v>51</v>
      </c>
      <c r="D141" s="171">
        <v>30</v>
      </c>
      <c r="E141" s="67">
        <v>20</v>
      </c>
      <c r="F141" s="78" t="s">
        <v>263</v>
      </c>
      <c r="G141" s="162">
        <v>1</v>
      </c>
      <c r="H141" s="71" t="s">
        <v>243</v>
      </c>
      <c r="I141" s="72">
        <v>3.5</v>
      </c>
      <c r="J141" s="76">
        <v>0</v>
      </c>
      <c r="K141" s="76">
        <v>5</v>
      </c>
    </row>
    <row r="142" spans="1:11" x14ac:dyDescent="0.35">
      <c r="A142" s="79"/>
      <c r="B142" s="79"/>
      <c r="C142" s="134" t="s">
        <v>50</v>
      </c>
      <c r="D142" s="171" t="s">
        <v>235</v>
      </c>
      <c r="E142" s="67">
        <v>20</v>
      </c>
      <c r="F142" s="78" t="s">
        <v>263</v>
      </c>
      <c r="G142" s="162">
        <v>1</v>
      </c>
      <c r="H142" s="73" t="s">
        <v>243</v>
      </c>
      <c r="I142" s="72">
        <v>3.5</v>
      </c>
      <c r="J142" s="76">
        <v>0</v>
      </c>
      <c r="K142" s="76">
        <v>5</v>
      </c>
    </row>
    <row r="143" spans="1:11" x14ac:dyDescent="0.35">
      <c r="A143" s="79"/>
      <c r="B143" s="79">
        <v>21239</v>
      </c>
      <c r="C143" s="134" t="s">
        <v>52</v>
      </c>
      <c r="D143" s="171" t="s">
        <v>235</v>
      </c>
      <c r="E143" s="67">
        <v>5</v>
      </c>
      <c r="F143" s="78" t="s">
        <v>263</v>
      </c>
      <c r="G143" s="162">
        <v>6</v>
      </c>
      <c r="H143" s="63" t="s">
        <v>239</v>
      </c>
      <c r="I143" s="72">
        <v>2.2000000000000002</v>
      </c>
      <c r="J143" s="76">
        <v>0</v>
      </c>
      <c r="K143" s="76">
        <v>3</v>
      </c>
    </row>
    <row r="144" spans="1:11" x14ac:dyDescent="0.35">
      <c r="A144" s="130"/>
      <c r="B144" s="130"/>
      <c r="C144" s="134" t="s">
        <v>534</v>
      </c>
      <c r="D144" s="171" t="s">
        <v>235</v>
      </c>
      <c r="E144" s="131">
        <v>10</v>
      </c>
      <c r="F144" s="78" t="s">
        <v>263</v>
      </c>
      <c r="G144" s="162">
        <v>6</v>
      </c>
      <c r="H144" s="63" t="s">
        <v>239</v>
      </c>
      <c r="I144" s="72">
        <v>2.2000000000000002</v>
      </c>
      <c r="J144" s="76">
        <v>0</v>
      </c>
      <c r="K144" s="76">
        <v>3</v>
      </c>
    </row>
    <row r="145" spans="1:11" x14ac:dyDescent="0.35">
      <c r="A145" s="79"/>
      <c r="B145" s="79">
        <v>21239</v>
      </c>
      <c r="C145" s="134" t="s">
        <v>458</v>
      </c>
      <c r="D145" s="171" t="s">
        <v>235</v>
      </c>
      <c r="E145" s="67">
        <v>1</v>
      </c>
      <c r="F145" s="78" t="s">
        <v>265</v>
      </c>
      <c r="G145" s="162">
        <v>7</v>
      </c>
      <c r="H145" s="63" t="s">
        <v>240</v>
      </c>
      <c r="I145" s="72">
        <v>0.3</v>
      </c>
      <c r="J145" s="76">
        <v>0</v>
      </c>
      <c r="K145" s="76">
        <v>0</v>
      </c>
    </row>
    <row r="146" spans="1:11" x14ac:dyDescent="0.35">
      <c r="A146" s="79"/>
      <c r="B146" s="79"/>
      <c r="C146" s="134" t="s">
        <v>531</v>
      </c>
      <c r="D146" s="171" t="s">
        <v>235</v>
      </c>
      <c r="E146" s="67">
        <v>5</v>
      </c>
      <c r="F146" s="78" t="s">
        <v>263</v>
      </c>
      <c r="G146" s="162">
        <v>6</v>
      </c>
      <c r="H146" s="63" t="s">
        <v>239</v>
      </c>
      <c r="I146" s="72">
        <v>2.2000000000000002</v>
      </c>
      <c r="J146" s="76">
        <v>0</v>
      </c>
      <c r="K146" s="76">
        <v>3</v>
      </c>
    </row>
    <row r="147" spans="1:11" x14ac:dyDescent="0.35">
      <c r="A147" s="79"/>
      <c r="B147" s="79"/>
      <c r="C147" s="57" t="s">
        <v>475</v>
      </c>
      <c r="D147" s="171" t="s">
        <v>235</v>
      </c>
      <c r="E147" s="67">
        <v>1</v>
      </c>
      <c r="F147" s="78" t="s">
        <v>264</v>
      </c>
      <c r="G147" s="162"/>
      <c r="H147" s="74"/>
      <c r="I147" s="72">
        <v>0.4</v>
      </c>
      <c r="J147" s="76">
        <v>0</v>
      </c>
      <c r="K147" s="76">
        <v>0</v>
      </c>
    </row>
    <row r="148" spans="1:11" x14ac:dyDescent="0.35">
      <c r="A148" s="79"/>
      <c r="B148" s="79"/>
      <c r="C148" s="57" t="s">
        <v>199</v>
      </c>
      <c r="D148" s="171">
        <v>2</v>
      </c>
      <c r="E148" s="67">
        <v>1</v>
      </c>
      <c r="F148" s="78" t="s">
        <v>264</v>
      </c>
      <c r="G148" s="162"/>
      <c r="H148" s="74" t="s">
        <v>595</v>
      </c>
      <c r="I148" s="72">
        <v>0.4</v>
      </c>
      <c r="J148" s="76">
        <v>0</v>
      </c>
      <c r="K148" s="76">
        <v>0</v>
      </c>
    </row>
    <row r="149" spans="1:11" x14ac:dyDescent="0.35">
      <c r="A149" s="79">
        <v>524</v>
      </c>
      <c r="B149" s="115"/>
      <c r="C149" s="57" t="s">
        <v>410</v>
      </c>
      <c r="D149" s="173">
        <v>2.5</v>
      </c>
      <c r="E149" s="69">
        <v>1</v>
      </c>
      <c r="F149" s="82" t="s">
        <v>267</v>
      </c>
      <c r="G149" s="165"/>
      <c r="H149" s="75"/>
      <c r="I149" s="83">
        <v>0.3</v>
      </c>
      <c r="J149" s="76">
        <v>1.8</v>
      </c>
      <c r="K149" s="77">
        <v>0.1</v>
      </c>
    </row>
    <row r="150" spans="1:11" x14ac:dyDescent="0.35">
      <c r="A150" s="148"/>
      <c r="B150" s="148"/>
      <c r="C150" s="57" t="s">
        <v>574</v>
      </c>
      <c r="D150" s="172">
        <f>_xlfn.XLOOKUP(T_Custos[[#This Row],[Produto]],T_Assumpnutry[PRODUTO],T_Assumpnutry[PREÇO KG])</f>
        <v>16</v>
      </c>
      <c r="E150" s="156">
        <v>1</v>
      </c>
      <c r="F150" s="78" t="s">
        <v>263</v>
      </c>
      <c r="G150" s="162"/>
      <c r="H150" s="73" t="s">
        <v>592</v>
      </c>
      <c r="I150" s="157">
        <v>0.4</v>
      </c>
      <c r="J150" s="153">
        <v>0</v>
      </c>
      <c r="K150" s="153">
        <v>0</v>
      </c>
    </row>
    <row r="151" spans="1:11" x14ac:dyDescent="0.35">
      <c r="A151" s="148"/>
      <c r="B151" s="148"/>
      <c r="C151" s="57" t="s">
        <v>575</v>
      </c>
      <c r="D151" s="172">
        <f>_xlfn.XLOOKUP(T_Custos[[#This Row],[Produto]],T_Assumpnutry[PRODUTO],T_Assumpnutry[PREÇO KG])</f>
        <v>5.8</v>
      </c>
      <c r="E151" s="156">
        <v>1</v>
      </c>
      <c r="F151" s="78" t="s">
        <v>263</v>
      </c>
      <c r="G151" s="162"/>
      <c r="H151" s="73" t="s">
        <v>592</v>
      </c>
      <c r="I151" s="157">
        <v>0.4</v>
      </c>
      <c r="J151" s="153">
        <v>0</v>
      </c>
      <c r="K151" s="153">
        <v>0</v>
      </c>
    </row>
    <row r="152" spans="1:11" x14ac:dyDescent="0.35">
      <c r="A152" s="79"/>
      <c r="B152" s="79"/>
      <c r="C152" s="134" t="s">
        <v>226</v>
      </c>
      <c r="D152" s="171">
        <v>2</v>
      </c>
      <c r="E152" s="67">
        <v>1</v>
      </c>
      <c r="F152" s="78" t="s">
        <v>264</v>
      </c>
      <c r="G152" s="162">
        <v>9</v>
      </c>
      <c r="H152" s="74" t="s">
        <v>244</v>
      </c>
      <c r="I152" s="72">
        <v>0.4</v>
      </c>
      <c r="J152" s="76">
        <v>0</v>
      </c>
      <c r="K152" s="76">
        <v>0</v>
      </c>
    </row>
    <row r="153" spans="1:11" x14ac:dyDescent="0.35">
      <c r="A153" s="79"/>
      <c r="B153" s="79">
        <v>1697</v>
      </c>
      <c r="C153" s="161" t="s">
        <v>53</v>
      </c>
      <c r="D153" s="171">
        <v>40</v>
      </c>
      <c r="E153" s="67">
        <v>18</v>
      </c>
      <c r="F153" s="78" t="s">
        <v>263</v>
      </c>
      <c r="G153" s="162">
        <v>5</v>
      </c>
      <c r="H153" s="71" t="s">
        <v>241</v>
      </c>
      <c r="I153" s="72">
        <v>3.5</v>
      </c>
      <c r="J153" s="76">
        <v>0</v>
      </c>
      <c r="K153" s="76">
        <v>5</v>
      </c>
    </row>
    <row r="154" spans="1:11" x14ac:dyDescent="0.35">
      <c r="A154" s="79"/>
      <c r="B154" s="79"/>
      <c r="C154" s="134" t="s">
        <v>374</v>
      </c>
      <c r="D154" s="147">
        <f>IFERROR(_xlfn.XLOOKUP("CHUCHU",T_Custos[Produto],T_Custos[Custo])/_xlfn.XLOOKUP("CHUCHU",T_Custos[Produto],T_Custos[Peso])*0.3,"Em falta")</f>
        <v>0.66666666666666663</v>
      </c>
      <c r="E154" s="68">
        <v>1</v>
      </c>
      <c r="F154" s="80" t="s">
        <v>363</v>
      </c>
      <c r="G154" s="166">
        <v>5</v>
      </c>
      <c r="H154" s="71" t="s">
        <v>241</v>
      </c>
      <c r="I154" s="72">
        <v>0.3</v>
      </c>
      <c r="J154" s="77">
        <v>0</v>
      </c>
      <c r="K154" s="77">
        <v>0.1</v>
      </c>
    </row>
    <row r="155" spans="1:11" x14ac:dyDescent="0.35">
      <c r="A155" s="79"/>
      <c r="B155" s="79">
        <v>1699</v>
      </c>
      <c r="C155" s="161" t="s">
        <v>54</v>
      </c>
      <c r="D155" s="171">
        <v>80</v>
      </c>
      <c r="E155" s="67">
        <v>15</v>
      </c>
      <c r="F155" s="78" t="s">
        <v>263</v>
      </c>
      <c r="G155" s="162">
        <v>4</v>
      </c>
      <c r="H155" s="63" t="s">
        <v>242</v>
      </c>
      <c r="I155" s="72">
        <v>3.7</v>
      </c>
      <c r="J155" s="76">
        <v>0</v>
      </c>
      <c r="K155" s="76">
        <v>5</v>
      </c>
    </row>
    <row r="156" spans="1:11" x14ac:dyDescent="0.35">
      <c r="A156" s="79"/>
      <c r="B156" s="79"/>
      <c r="C156" s="134" t="s">
        <v>55</v>
      </c>
      <c r="D156" s="147">
        <v>5.2</v>
      </c>
      <c r="E156" s="87">
        <v>1</v>
      </c>
      <c r="F156" s="88" t="s">
        <v>264</v>
      </c>
      <c r="G156" s="167">
        <v>4</v>
      </c>
      <c r="H156" s="73" t="s">
        <v>242</v>
      </c>
      <c r="I156" s="89">
        <v>0.3</v>
      </c>
      <c r="J156" s="77">
        <v>0</v>
      </c>
      <c r="K156" s="77">
        <v>0</v>
      </c>
    </row>
    <row r="157" spans="1:11" x14ac:dyDescent="0.35">
      <c r="A157" s="79"/>
      <c r="B157" s="79">
        <v>1698</v>
      </c>
      <c r="C157" s="161" t="s">
        <v>56</v>
      </c>
      <c r="D157" s="171">
        <v>3.3</v>
      </c>
      <c r="E157" s="67">
        <v>1</v>
      </c>
      <c r="F157" s="78" t="s">
        <v>264</v>
      </c>
      <c r="G157" s="162">
        <v>6</v>
      </c>
      <c r="H157" s="63" t="s">
        <v>239</v>
      </c>
      <c r="I157" s="72">
        <v>0.3</v>
      </c>
      <c r="J157" s="76">
        <v>0</v>
      </c>
      <c r="K157" s="76">
        <v>0</v>
      </c>
    </row>
    <row r="158" spans="1:11" x14ac:dyDescent="0.35">
      <c r="A158" s="79"/>
      <c r="B158" s="79"/>
      <c r="C158" s="57" t="s">
        <v>200</v>
      </c>
      <c r="D158" s="171">
        <v>2</v>
      </c>
      <c r="E158" s="67">
        <v>1</v>
      </c>
      <c r="F158" s="78" t="s">
        <v>264</v>
      </c>
      <c r="G158" s="162"/>
      <c r="H158" s="74" t="s">
        <v>595</v>
      </c>
      <c r="I158" s="72">
        <v>0.4</v>
      </c>
      <c r="J158" s="76">
        <v>0</v>
      </c>
      <c r="K158" s="76">
        <v>0</v>
      </c>
    </row>
    <row r="159" spans="1:11" x14ac:dyDescent="0.35">
      <c r="A159" s="148"/>
      <c r="B159" s="148"/>
      <c r="C159" s="57" t="s">
        <v>576</v>
      </c>
      <c r="D159" s="172">
        <f>_xlfn.XLOOKUP(T_Custos[[#This Row],[Produto]],T_Assumpnutry[PRODUTO],T_Assumpnutry[PREÇO KG])</f>
        <v>30</v>
      </c>
      <c r="E159" s="156">
        <v>1</v>
      </c>
      <c r="F159" s="78" t="s">
        <v>263</v>
      </c>
      <c r="G159" s="162"/>
      <c r="H159" s="73" t="s">
        <v>592</v>
      </c>
      <c r="I159" s="157">
        <v>0.4</v>
      </c>
      <c r="J159" s="153">
        <v>0</v>
      </c>
      <c r="K159" s="153">
        <v>0</v>
      </c>
    </row>
    <row r="160" spans="1:11" x14ac:dyDescent="0.35">
      <c r="A160" s="79">
        <v>373</v>
      </c>
      <c r="B160" s="79"/>
      <c r="C160" s="134" t="s">
        <v>411</v>
      </c>
      <c r="D160" s="174">
        <v>12</v>
      </c>
      <c r="E160" s="67">
        <v>1</v>
      </c>
      <c r="F160" s="78" t="s">
        <v>265</v>
      </c>
      <c r="G160" s="162">
        <v>9</v>
      </c>
      <c r="H160" s="74" t="s">
        <v>244</v>
      </c>
      <c r="I160" s="83">
        <v>0.3</v>
      </c>
      <c r="J160" s="76">
        <v>1.8</v>
      </c>
      <c r="K160" s="77">
        <v>0.1</v>
      </c>
    </row>
    <row r="161" spans="1:11" x14ac:dyDescent="0.35">
      <c r="A161" s="79">
        <v>9433</v>
      </c>
      <c r="B161" s="79"/>
      <c r="C161" s="161" t="s">
        <v>412</v>
      </c>
      <c r="D161" s="169">
        <v>14</v>
      </c>
      <c r="E161" s="67">
        <v>1</v>
      </c>
      <c r="F161" s="78" t="s">
        <v>265</v>
      </c>
      <c r="G161" s="162">
        <v>9</v>
      </c>
      <c r="H161" s="63" t="s">
        <v>244</v>
      </c>
      <c r="I161" s="83">
        <v>0.3</v>
      </c>
      <c r="J161" s="76">
        <v>1.8</v>
      </c>
      <c r="K161" s="77">
        <v>0.1</v>
      </c>
    </row>
    <row r="162" spans="1:11" x14ac:dyDescent="0.35">
      <c r="A162" s="79">
        <v>374</v>
      </c>
      <c r="B162" s="79"/>
      <c r="C162" s="134" t="s">
        <v>413</v>
      </c>
      <c r="D162" s="169">
        <v>8</v>
      </c>
      <c r="E162" s="67">
        <v>1</v>
      </c>
      <c r="F162" s="78" t="s">
        <v>265</v>
      </c>
      <c r="G162" s="162">
        <v>9</v>
      </c>
      <c r="H162" s="63" t="s">
        <v>244</v>
      </c>
      <c r="I162" s="83">
        <v>0.3</v>
      </c>
      <c r="J162" s="76">
        <v>1.8</v>
      </c>
      <c r="K162" s="77">
        <v>0.1</v>
      </c>
    </row>
    <row r="163" spans="1:11" x14ac:dyDescent="0.35">
      <c r="A163" s="79">
        <v>95201</v>
      </c>
      <c r="B163" s="79"/>
      <c r="C163" s="161" t="s">
        <v>414</v>
      </c>
      <c r="D163" s="169">
        <v>7.5</v>
      </c>
      <c r="E163" s="67">
        <v>1</v>
      </c>
      <c r="F163" s="78" t="s">
        <v>265</v>
      </c>
      <c r="G163" s="162">
        <v>9</v>
      </c>
      <c r="H163" s="63" t="s">
        <v>244</v>
      </c>
      <c r="I163" s="83">
        <v>0.3</v>
      </c>
      <c r="J163" s="76">
        <v>1.8</v>
      </c>
      <c r="K163" s="77">
        <v>0.1</v>
      </c>
    </row>
    <row r="164" spans="1:11" x14ac:dyDescent="0.35">
      <c r="A164" s="79">
        <v>95211</v>
      </c>
      <c r="B164" s="79"/>
      <c r="C164" s="161" t="s">
        <v>415</v>
      </c>
      <c r="D164" s="169">
        <v>7.5</v>
      </c>
      <c r="E164" s="67">
        <v>1</v>
      </c>
      <c r="F164" s="78" t="s">
        <v>265</v>
      </c>
      <c r="G164" s="162">
        <v>9</v>
      </c>
      <c r="H164" s="63" t="s">
        <v>244</v>
      </c>
      <c r="I164" s="83">
        <v>0.3</v>
      </c>
      <c r="J164" s="76">
        <v>1.8</v>
      </c>
      <c r="K164" s="77">
        <v>0.1</v>
      </c>
    </row>
    <row r="165" spans="1:11" x14ac:dyDescent="0.35">
      <c r="A165" s="79"/>
      <c r="B165" s="79"/>
      <c r="C165" s="57" t="s">
        <v>201</v>
      </c>
      <c r="D165" s="171">
        <v>2</v>
      </c>
      <c r="E165" s="67">
        <v>1</v>
      </c>
      <c r="F165" s="78" t="s">
        <v>264</v>
      </c>
      <c r="G165" s="162"/>
      <c r="H165" s="74" t="s">
        <v>595</v>
      </c>
      <c r="I165" s="72">
        <v>0.4</v>
      </c>
      <c r="J165" s="76">
        <v>0</v>
      </c>
      <c r="K165" s="76">
        <v>0</v>
      </c>
    </row>
    <row r="166" spans="1:11" x14ac:dyDescent="0.35">
      <c r="A166" s="79"/>
      <c r="B166" s="79"/>
      <c r="C166" s="57" t="s">
        <v>202</v>
      </c>
      <c r="D166" s="171">
        <v>7</v>
      </c>
      <c r="E166" s="67">
        <v>1</v>
      </c>
      <c r="F166" s="78" t="s">
        <v>264</v>
      </c>
      <c r="G166" s="162"/>
      <c r="H166" s="74" t="s">
        <v>595</v>
      </c>
      <c r="I166" s="72">
        <v>0.4</v>
      </c>
      <c r="J166" s="76">
        <v>0</v>
      </c>
      <c r="K166" s="76">
        <v>0</v>
      </c>
    </row>
    <row r="167" spans="1:11" x14ac:dyDescent="0.35">
      <c r="A167" s="148"/>
      <c r="B167" s="148"/>
      <c r="C167" s="57" t="s">
        <v>577</v>
      </c>
      <c r="D167" s="172">
        <f>_xlfn.XLOOKUP(T_Custos[[#This Row],[Produto]],T_Assumpnutry[PRODUTO],T_Assumpnutry[PREÇO KG])</f>
        <v>15</v>
      </c>
      <c r="E167" s="156">
        <v>1</v>
      </c>
      <c r="F167" s="78" t="s">
        <v>263</v>
      </c>
      <c r="G167" s="162"/>
      <c r="H167" s="73" t="s">
        <v>592</v>
      </c>
      <c r="I167" s="157">
        <v>0.4</v>
      </c>
      <c r="J167" s="153">
        <v>0</v>
      </c>
      <c r="K167" s="153">
        <v>0</v>
      </c>
    </row>
    <row r="168" spans="1:11" x14ac:dyDescent="0.35">
      <c r="A168" s="79">
        <v>518</v>
      </c>
      <c r="B168" s="115"/>
      <c r="C168" s="57" t="s">
        <v>416</v>
      </c>
      <c r="D168" s="173">
        <v>2.99</v>
      </c>
      <c r="E168" s="69">
        <v>1</v>
      </c>
      <c r="F168" s="82" t="s">
        <v>267</v>
      </c>
      <c r="G168" s="165"/>
      <c r="H168" s="74" t="s">
        <v>595</v>
      </c>
      <c r="I168" s="83">
        <v>0.3</v>
      </c>
      <c r="J168" s="76">
        <v>1.8</v>
      </c>
      <c r="K168" s="77">
        <v>0.1</v>
      </c>
    </row>
    <row r="169" spans="1:11" x14ac:dyDescent="0.35">
      <c r="A169" s="148"/>
      <c r="B169" s="148"/>
      <c r="C169" s="57" t="s">
        <v>578</v>
      </c>
      <c r="D169" s="172">
        <f>_xlfn.XLOOKUP(T_Custos[[#This Row],[Produto]],T_Assumpnutry[PRODUTO],T_Assumpnutry[PREÇO KG])</f>
        <v>7.5</v>
      </c>
      <c r="E169" s="156">
        <v>1</v>
      </c>
      <c r="F169" s="78" t="s">
        <v>263</v>
      </c>
      <c r="G169" s="162"/>
      <c r="H169" s="73" t="s">
        <v>592</v>
      </c>
      <c r="I169" s="157">
        <v>0.4</v>
      </c>
      <c r="J169" s="153">
        <v>0</v>
      </c>
      <c r="K169" s="153">
        <v>0</v>
      </c>
    </row>
    <row r="170" spans="1:11" x14ac:dyDescent="0.35">
      <c r="A170" s="79"/>
      <c r="B170" s="79"/>
      <c r="C170" s="57" t="s">
        <v>215</v>
      </c>
      <c r="D170" s="171">
        <v>3.7</v>
      </c>
      <c r="E170" s="67">
        <v>1</v>
      </c>
      <c r="F170" s="78" t="s">
        <v>264</v>
      </c>
      <c r="G170" s="162"/>
      <c r="H170" s="74" t="s">
        <v>595</v>
      </c>
      <c r="I170" s="72">
        <v>0.4</v>
      </c>
      <c r="J170" s="76">
        <v>0</v>
      </c>
      <c r="K170" s="76">
        <v>0</v>
      </c>
    </row>
    <row r="171" spans="1:11" x14ac:dyDescent="0.35">
      <c r="A171" s="79"/>
      <c r="B171" s="79"/>
      <c r="C171" s="57" t="s">
        <v>59</v>
      </c>
      <c r="D171" s="171" t="s">
        <v>235</v>
      </c>
      <c r="E171" s="67">
        <v>10</v>
      </c>
      <c r="F171" s="78" t="s">
        <v>263</v>
      </c>
      <c r="G171" s="162"/>
      <c r="H171" s="74" t="s">
        <v>595</v>
      </c>
      <c r="I171" s="72">
        <v>3</v>
      </c>
      <c r="J171" s="76">
        <v>0</v>
      </c>
      <c r="K171" s="76">
        <v>3</v>
      </c>
    </row>
    <row r="172" spans="1:11" x14ac:dyDescent="0.35">
      <c r="A172" s="79"/>
      <c r="B172" s="79">
        <v>1704</v>
      </c>
      <c r="C172" s="134" t="s">
        <v>58</v>
      </c>
      <c r="D172" s="171">
        <v>200</v>
      </c>
      <c r="E172" s="67">
        <v>9</v>
      </c>
      <c r="F172" s="78" t="s">
        <v>263</v>
      </c>
      <c r="G172" s="162">
        <v>5</v>
      </c>
      <c r="H172" s="71" t="s">
        <v>241</v>
      </c>
      <c r="I172" s="72">
        <v>3.5</v>
      </c>
      <c r="J172" s="76">
        <v>0</v>
      </c>
      <c r="K172" s="76">
        <v>3</v>
      </c>
    </row>
    <row r="173" spans="1:11" x14ac:dyDescent="0.35">
      <c r="A173" s="79">
        <v>2317</v>
      </c>
      <c r="B173" s="79"/>
      <c r="C173" s="134" t="s">
        <v>417</v>
      </c>
      <c r="D173" s="147">
        <v>4.5</v>
      </c>
      <c r="E173" s="67">
        <v>1</v>
      </c>
      <c r="F173" s="78" t="s">
        <v>265</v>
      </c>
      <c r="G173" s="162">
        <v>5</v>
      </c>
      <c r="H173" s="71" t="s">
        <v>241</v>
      </c>
      <c r="I173" s="83">
        <v>0.3</v>
      </c>
      <c r="J173" s="76">
        <v>1.8</v>
      </c>
      <c r="K173" s="77">
        <v>0.1</v>
      </c>
    </row>
    <row r="174" spans="1:11" x14ac:dyDescent="0.35">
      <c r="A174" s="79"/>
      <c r="B174" s="79">
        <v>1704</v>
      </c>
      <c r="C174" s="161" t="s">
        <v>459</v>
      </c>
      <c r="D174" s="171">
        <v>5</v>
      </c>
      <c r="E174" s="67">
        <v>1</v>
      </c>
      <c r="F174" s="78" t="s">
        <v>265</v>
      </c>
      <c r="G174" s="162">
        <v>5</v>
      </c>
      <c r="H174" s="71" t="s">
        <v>241</v>
      </c>
      <c r="I174" s="72">
        <v>0.3</v>
      </c>
      <c r="J174" s="76">
        <v>0</v>
      </c>
      <c r="K174" s="76">
        <v>1</v>
      </c>
    </row>
    <row r="175" spans="1:11" x14ac:dyDescent="0.35">
      <c r="A175" s="79"/>
      <c r="B175" s="79"/>
      <c r="C175" s="57" t="s">
        <v>203</v>
      </c>
      <c r="D175" s="171">
        <v>2.5</v>
      </c>
      <c r="E175" s="67">
        <v>1</v>
      </c>
      <c r="F175" s="78" t="s">
        <v>264</v>
      </c>
      <c r="G175" s="162"/>
      <c r="H175" s="74" t="s">
        <v>595</v>
      </c>
      <c r="I175" s="72">
        <v>0.4</v>
      </c>
      <c r="J175" s="76">
        <v>0</v>
      </c>
      <c r="K175" s="76">
        <v>0</v>
      </c>
    </row>
    <row r="176" spans="1:11" x14ac:dyDescent="0.35">
      <c r="A176" s="79">
        <v>520</v>
      </c>
      <c r="B176" s="115"/>
      <c r="C176" s="57" t="s">
        <v>418</v>
      </c>
      <c r="D176" s="173">
        <v>4.0999999999999996</v>
      </c>
      <c r="E176" s="69">
        <v>1</v>
      </c>
      <c r="F176" s="82" t="s">
        <v>267</v>
      </c>
      <c r="G176" s="165"/>
      <c r="H176" s="74" t="s">
        <v>595</v>
      </c>
      <c r="I176" s="83">
        <v>0.3</v>
      </c>
      <c r="J176" s="76">
        <v>1.8</v>
      </c>
      <c r="K176" s="77">
        <v>0.1</v>
      </c>
    </row>
    <row r="177" spans="1:11" x14ac:dyDescent="0.35">
      <c r="A177" s="148"/>
      <c r="B177" s="148"/>
      <c r="C177" s="57" t="s">
        <v>579</v>
      </c>
      <c r="D177" s="172">
        <f>_xlfn.XLOOKUP(T_Custos[[#This Row],[Produto]],T_Assumpnutry[PRODUTO],T_Assumpnutry[PREÇO KG])</f>
        <v>9</v>
      </c>
      <c r="E177" s="156">
        <v>1</v>
      </c>
      <c r="F177" s="78" t="s">
        <v>263</v>
      </c>
      <c r="G177" s="162"/>
      <c r="H177" s="73" t="s">
        <v>592</v>
      </c>
      <c r="I177" s="157">
        <v>0.4</v>
      </c>
      <c r="J177" s="153">
        <v>0</v>
      </c>
      <c r="K177" s="153">
        <v>0</v>
      </c>
    </row>
    <row r="178" spans="1:11" x14ac:dyDescent="0.35">
      <c r="A178" s="139">
        <v>2500</v>
      </c>
      <c r="B178" s="139"/>
      <c r="C178" s="161" t="s">
        <v>545</v>
      </c>
      <c r="D178" s="173">
        <v>120</v>
      </c>
      <c r="E178" s="140">
        <v>10</v>
      </c>
      <c r="F178" s="80" t="s">
        <v>265</v>
      </c>
      <c r="G178" s="162">
        <v>7</v>
      </c>
      <c r="H178" s="63" t="s">
        <v>240</v>
      </c>
      <c r="I178" s="141">
        <v>0.35</v>
      </c>
      <c r="J178" s="142">
        <v>0</v>
      </c>
      <c r="K178" s="142">
        <v>5</v>
      </c>
    </row>
    <row r="179" spans="1:11" x14ac:dyDescent="0.35">
      <c r="A179" s="79"/>
      <c r="B179" s="79">
        <v>1706</v>
      </c>
      <c r="C179" s="161" t="s">
        <v>60</v>
      </c>
      <c r="D179" s="171">
        <v>90</v>
      </c>
      <c r="E179" s="67">
        <v>12</v>
      </c>
      <c r="F179" s="78" t="s">
        <v>263</v>
      </c>
      <c r="G179" s="162">
        <v>1</v>
      </c>
      <c r="H179" s="71" t="s">
        <v>243</v>
      </c>
      <c r="I179" s="72">
        <v>3.5</v>
      </c>
      <c r="J179" s="76">
        <v>0</v>
      </c>
      <c r="K179" s="76">
        <v>3</v>
      </c>
    </row>
    <row r="180" spans="1:11" x14ac:dyDescent="0.35">
      <c r="A180" s="79">
        <v>509</v>
      </c>
      <c r="B180" s="79"/>
      <c r="C180" s="134" t="s">
        <v>419</v>
      </c>
      <c r="D180" s="147">
        <f>IFERROR(_xlfn.XLOOKUP("GENGIBRE",T_Custos[Produto],T_Custos[Custo])/_xlfn.XLOOKUP("GENGIBRE",T_Custos[Produto],T_Custos[Peso])*0.25,"Em falta")</f>
        <v>1.875</v>
      </c>
      <c r="E180" s="67">
        <v>1</v>
      </c>
      <c r="F180" s="78" t="s">
        <v>265</v>
      </c>
      <c r="G180" s="162">
        <v>1</v>
      </c>
      <c r="H180" s="73" t="s">
        <v>243</v>
      </c>
      <c r="I180" s="83">
        <v>0.3</v>
      </c>
      <c r="J180" s="76">
        <v>1.8</v>
      </c>
      <c r="K180" s="77">
        <v>0.1</v>
      </c>
    </row>
    <row r="181" spans="1:11" x14ac:dyDescent="0.35">
      <c r="A181" s="79"/>
      <c r="B181" s="79"/>
      <c r="C181" s="134" t="s">
        <v>472</v>
      </c>
      <c r="D181" s="171">
        <v>25</v>
      </c>
      <c r="E181" s="87">
        <v>12</v>
      </c>
      <c r="F181" s="88" t="s">
        <v>263</v>
      </c>
      <c r="G181" s="167">
        <v>1</v>
      </c>
      <c r="H181" s="73" t="s">
        <v>243</v>
      </c>
      <c r="I181" s="81">
        <v>0</v>
      </c>
      <c r="J181" s="77">
        <v>0</v>
      </c>
      <c r="K181" s="77">
        <v>0</v>
      </c>
    </row>
    <row r="182" spans="1:11" x14ac:dyDescent="0.35">
      <c r="A182" s="79"/>
      <c r="B182" s="79"/>
      <c r="C182" s="134" t="s">
        <v>375</v>
      </c>
      <c r="D182" s="147">
        <f>IFERROR(_xlfn.XLOOKUP("GENGIBRE",T_Custos[Produto],T_Custos[Custo])/_xlfn.XLOOKUP("GENGIBRE",T_Custos[Produto],T_Custos[Peso])*0.2,"Em falta")</f>
        <v>1.5</v>
      </c>
      <c r="E182" s="68">
        <v>1</v>
      </c>
      <c r="F182" s="80" t="s">
        <v>363</v>
      </c>
      <c r="G182" s="166">
        <v>1</v>
      </c>
      <c r="H182" s="73" t="s">
        <v>243</v>
      </c>
      <c r="I182" s="72">
        <v>0.3</v>
      </c>
      <c r="J182" s="77">
        <v>0</v>
      </c>
      <c r="K182" s="77">
        <v>0.1</v>
      </c>
    </row>
    <row r="183" spans="1:11" x14ac:dyDescent="0.35">
      <c r="A183" s="79"/>
      <c r="B183" s="79"/>
      <c r="C183" s="161" t="s">
        <v>61</v>
      </c>
      <c r="D183" s="171">
        <v>12</v>
      </c>
      <c r="E183" s="67">
        <v>2.5</v>
      </c>
      <c r="F183" s="78" t="s">
        <v>263</v>
      </c>
      <c r="G183" s="162">
        <v>7</v>
      </c>
      <c r="H183" s="63" t="s">
        <v>240</v>
      </c>
      <c r="I183" s="72">
        <v>1.2</v>
      </c>
      <c r="J183" s="76">
        <v>0</v>
      </c>
      <c r="K183" s="76">
        <v>2</v>
      </c>
    </row>
    <row r="184" spans="1:11" x14ac:dyDescent="0.35">
      <c r="A184" s="79"/>
      <c r="B184" s="79">
        <v>1707</v>
      </c>
      <c r="C184" s="161" t="s">
        <v>308</v>
      </c>
      <c r="D184" s="171">
        <v>28</v>
      </c>
      <c r="E184" s="67">
        <v>6</v>
      </c>
      <c r="F184" s="78" t="s">
        <v>263</v>
      </c>
      <c r="G184" s="162">
        <v>7</v>
      </c>
      <c r="H184" s="63" t="s">
        <v>240</v>
      </c>
      <c r="I184" s="72">
        <v>3.5</v>
      </c>
      <c r="J184" s="76">
        <v>0</v>
      </c>
      <c r="K184" s="76">
        <v>3</v>
      </c>
    </row>
    <row r="185" spans="1:11" x14ac:dyDescent="0.35">
      <c r="A185" s="79"/>
      <c r="B185" s="79"/>
      <c r="C185" s="134" t="s">
        <v>376</v>
      </c>
      <c r="D185" s="147">
        <f>IFERROR(_xlfn.XLOOKUP("GOIABA VERMELHA",T_Custos[Produto],T_Custos[Custo])/_xlfn.XLOOKUP("GOIABA VERMELHA",T_Custos[Produto],T_Custos[Peso])*0.125,"Em falta")</f>
        <v>0.58333333333333337</v>
      </c>
      <c r="E185" s="68">
        <v>1</v>
      </c>
      <c r="F185" s="80" t="s">
        <v>363</v>
      </c>
      <c r="G185" s="162">
        <v>7</v>
      </c>
      <c r="H185" s="63" t="s">
        <v>240</v>
      </c>
      <c r="I185" s="72">
        <v>0.3</v>
      </c>
      <c r="J185" s="77">
        <v>0</v>
      </c>
      <c r="K185" s="77">
        <v>0.1</v>
      </c>
    </row>
    <row r="186" spans="1:11" x14ac:dyDescent="0.35">
      <c r="A186" s="79"/>
      <c r="B186" s="79">
        <v>1708</v>
      </c>
      <c r="C186" s="134" t="s">
        <v>62</v>
      </c>
      <c r="D186" s="171">
        <v>122.82</v>
      </c>
      <c r="E186" s="67">
        <v>15</v>
      </c>
      <c r="F186" s="78" t="s">
        <v>263</v>
      </c>
      <c r="G186" s="162">
        <v>6</v>
      </c>
      <c r="H186" s="63" t="s">
        <v>239</v>
      </c>
      <c r="I186" s="72">
        <v>3.5</v>
      </c>
      <c r="J186" s="76">
        <v>0</v>
      </c>
      <c r="K186" s="76">
        <v>5</v>
      </c>
    </row>
    <row r="187" spans="1:11" x14ac:dyDescent="0.35">
      <c r="A187" s="79"/>
      <c r="B187" s="79">
        <v>18802</v>
      </c>
      <c r="C187" s="134" t="s">
        <v>63</v>
      </c>
      <c r="D187" s="171" t="s">
        <v>235</v>
      </c>
      <c r="E187" s="67">
        <v>8</v>
      </c>
      <c r="F187" s="78" t="s">
        <v>263</v>
      </c>
      <c r="G187" s="162">
        <v>7</v>
      </c>
      <c r="H187" s="63" t="s">
        <v>240</v>
      </c>
      <c r="I187" s="72">
        <v>2.4</v>
      </c>
      <c r="J187" s="76">
        <v>0</v>
      </c>
      <c r="K187" s="76">
        <v>3</v>
      </c>
    </row>
    <row r="188" spans="1:11" x14ac:dyDescent="0.35">
      <c r="A188" s="79"/>
      <c r="B188" s="79"/>
      <c r="C188" s="57" t="s">
        <v>204</v>
      </c>
      <c r="D188" s="171">
        <v>2</v>
      </c>
      <c r="E188" s="67">
        <v>1</v>
      </c>
      <c r="F188" s="78" t="s">
        <v>264</v>
      </c>
      <c r="G188" s="162"/>
      <c r="H188" s="74" t="s">
        <v>595</v>
      </c>
      <c r="I188" s="72">
        <v>0.4</v>
      </c>
      <c r="J188" s="76">
        <v>0</v>
      </c>
      <c r="K188" s="76">
        <v>0</v>
      </c>
    </row>
    <row r="189" spans="1:11" x14ac:dyDescent="0.35">
      <c r="A189" s="148"/>
      <c r="B189" s="148"/>
      <c r="C189" s="57" t="s">
        <v>580</v>
      </c>
      <c r="D189" s="172">
        <f>_xlfn.XLOOKUP(T_Custos[[#This Row],[Produto]],T_Assumpnutry[PRODUTO],T_Assumpnutry[PREÇO KG])</f>
        <v>13</v>
      </c>
      <c r="E189" s="156">
        <v>1</v>
      </c>
      <c r="F189" s="78" t="s">
        <v>263</v>
      </c>
      <c r="G189" s="162"/>
      <c r="H189" s="73" t="s">
        <v>592</v>
      </c>
      <c r="I189" s="157">
        <v>0.4</v>
      </c>
      <c r="J189" s="153">
        <v>0</v>
      </c>
      <c r="K189" s="153">
        <v>0</v>
      </c>
    </row>
    <row r="190" spans="1:11" x14ac:dyDescent="0.35">
      <c r="A190" s="79"/>
      <c r="B190" s="79">
        <v>1710</v>
      </c>
      <c r="C190" s="161" t="s">
        <v>64</v>
      </c>
      <c r="D190" s="171">
        <v>50</v>
      </c>
      <c r="E190" s="67">
        <v>20</v>
      </c>
      <c r="F190" s="78" t="s">
        <v>263</v>
      </c>
      <c r="G190" s="162">
        <v>1</v>
      </c>
      <c r="H190" s="71" t="s">
        <v>243</v>
      </c>
      <c r="I190" s="72">
        <v>3.5</v>
      </c>
      <c r="J190" s="76">
        <v>0</v>
      </c>
      <c r="K190" s="76">
        <v>5</v>
      </c>
    </row>
    <row r="191" spans="1:11" x14ac:dyDescent="0.35">
      <c r="A191" s="79"/>
      <c r="B191" s="79"/>
      <c r="C191" s="161" t="s">
        <v>471</v>
      </c>
      <c r="D191" s="171">
        <v>20</v>
      </c>
      <c r="E191" s="87">
        <v>20</v>
      </c>
      <c r="F191" s="88" t="s">
        <v>263</v>
      </c>
      <c r="G191" s="162">
        <v>1</v>
      </c>
      <c r="H191" s="71" t="s">
        <v>243</v>
      </c>
      <c r="I191" s="81">
        <v>0</v>
      </c>
      <c r="J191" s="77">
        <v>0</v>
      </c>
      <c r="K191" s="77">
        <v>0</v>
      </c>
    </row>
    <row r="192" spans="1:11" x14ac:dyDescent="0.35">
      <c r="A192" s="79">
        <v>510</v>
      </c>
      <c r="B192" s="79"/>
      <c r="C192" s="134" t="s">
        <v>420</v>
      </c>
      <c r="D192" s="147">
        <f>IFERROR(_xlfn.XLOOKUP("INHAME",T_Custos[Produto],T_Custos[Custo])/_xlfn.XLOOKUP("INHAME",T_Custos[Produto],T_Custos[Peso])*0.5,"Em falta")</f>
        <v>1.25</v>
      </c>
      <c r="E192" s="67">
        <v>1</v>
      </c>
      <c r="F192" s="78" t="s">
        <v>268</v>
      </c>
      <c r="G192" s="162">
        <v>1</v>
      </c>
      <c r="H192" s="73" t="s">
        <v>243</v>
      </c>
      <c r="I192" s="83">
        <v>0.3</v>
      </c>
      <c r="J192" s="76">
        <v>1.8</v>
      </c>
      <c r="K192" s="77">
        <v>0.1</v>
      </c>
    </row>
    <row r="193" spans="1:11" x14ac:dyDescent="0.35">
      <c r="A193" s="79"/>
      <c r="B193" s="79"/>
      <c r="C193" s="134" t="s">
        <v>377</v>
      </c>
      <c r="D193" s="147">
        <f>IFERROR(_xlfn.XLOOKUP("INHAME",T_Custos[Produto],T_Custos[Custo])/_xlfn.XLOOKUP("INHAME",T_Custos[Produto],T_Custos[Peso])*0.333,"Em falta")</f>
        <v>0.83250000000000002</v>
      </c>
      <c r="E193" s="68">
        <v>1</v>
      </c>
      <c r="F193" s="80" t="s">
        <v>363</v>
      </c>
      <c r="G193" s="162">
        <v>1</v>
      </c>
      <c r="H193" s="71" t="s">
        <v>243</v>
      </c>
      <c r="I193" s="72">
        <v>0.3</v>
      </c>
      <c r="J193" s="77">
        <v>0</v>
      </c>
      <c r="K193" s="77">
        <v>0.1</v>
      </c>
    </row>
    <row r="194" spans="1:11" x14ac:dyDescent="0.35">
      <c r="A194" s="79"/>
      <c r="B194" s="79">
        <v>4865</v>
      </c>
      <c r="C194" s="161" t="s">
        <v>65</v>
      </c>
      <c r="D194" s="171">
        <v>80</v>
      </c>
      <c r="E194" s="67">
        <v>14</v>
      </c>
      <c r="F194" s="78" t="s">
        <v>263</v>
      </c>
      <c r="G194" s="162">
        <v>5</v>
      </c>
      <c r="H194" s="71" t="s">
        <v>241</v>
      </c>
      <c r="I194" s="72">
        <v>3.5</v>
      </c>
      <c r="J194" s="76">
        <v>0</v>
      </c>
      <c r="K194" s="76">
        <v>5</v>
      </c>
    </row>
    <row r="195" spans="1:11" x14ac:dyDescent="0.35">
      <c r="A195" s="79"/>
      <c r="B195" s="79">
        <v>1711</v>
      </c>
      <c r="C195" s="161" t="s">
        <v>66</v>
      </c>
      <c r="D195" s="171">
        <v>190</v>
      </c>
      <c r="E195" s="67">
        <v>9</v>
      </c>
      <c r="F195" s="78" t="s">
        <v>263</v>
      </c>
      <c r="G195" s="162">
        <v>7</v>
      </c>
      <c r="H195" s="63" t="s">
        <v>240</v>
      </c>
      <c r="I195" s="72">
        <v>3.5</v>
      </c>
      <c r="J195" s="76">
        <v>0</v>
      </c>
      <c r="K195" s="76">
        <v>3</v>
      </c>
    </row>
    <row r="196" spans="1:11" x14ac:dyDescent="0.35">
      <c r="A196" s="79"/>
      <c r="B196" s="79"/>
      <c r="C196" s="134" t="s">
        <v>378</v>
      </c>
      <c r="D196" s="147">
        <f>IFERROR(_xlfn.XLOOKUP("KIWI IMPORTADO",T_Custos[Produto],T_Custos[Custo])/_xlfn.XLOOKUP("KIWI IMPORTADO",T_Custos[Produto],T_Custos[Peso])*0.122,"Em falta")</f>
        <v>2.5755555555555554</v>
      </c>
      <c r="E196" s="68">
        <v>1</v>
      </c>
      <c r="F196" s="80" t="s">
        <v>363</v>
      </c>
      <c r="G196" s="166">
        <v>7</v>
      </c>
      <c r="H196" s="73" t="s">
        <v>240</v>
      </c>
      <c r="I196" s="72">
        <v>0.3</v>
      </c>
      <c r="J196" s="77">
        <v>0</v>
      </c>
      <c r="K196" s="77">
        <v>0.1</v>
      </c>
    </row>
    <row r="197" spans="1:11" x14ac:dyDescent="0.35">
      <c r="A197" s="79"/>
      <c r="B197" s="79">
        <v>25641</v>
      </c>
      <c r="C197" s="134" t="s">
        <v>67</v>
      </c>
      <c r="D197" s="171">
        <v>112.03</v>
      </c>
      <c r="E197" s="67">
        <v>15</v>
      </c>
      <c r="F197" s="78" t="s">
        <v>263</v>
      </c>
      <c r="G197" s="162">
        <v>6</v>
      </c>
      <c r="H197" s="63" t="s">
        <v>239</v>
      </c>
      <c r="I197" s="72">
        <v>3.5</v>
      </c>
      <c r="J197" s="76">
        <v>0</v>
      </c>
      <c r="K197" s="76">
        <v>5</v>
      </c>
    </row>
    <row r="198" spans="1:11" x14ac:dyDescent="0.35">
      <c r="A198" s="79"/>
      <c r="B198" s="79"/>
      <c r="C198" s="134" t="s">
        <v>68</v>
      </c>
      <c r="D198" s="171" t="s">
        <v>235</v>
      </c>
      <c r="E198" s="67">
        <v>20</v>
      </c>
      <c r="F198" s="78" t="s">
        <v>263</v>
      </c>
      <c r="G198" s="162">
        <v>6</v>
      </c>
      <c r="H198" s="63" t="s">
        <v>239</v>
      </c>
      <c r="I198" s="72">
        <v>3.5</v>
      </c>
      <c r="J198" s="76">
        <v>0</v>
      </c>
      <c r="K198" s="76">
        <v>5</v>
      </c>
    </row>
    <row r="199" spans="1:11" x14ac:dyDescent="0.35">
      <c r="A199" s="79"/>
      <c r="B199" s="79">
        <v>1712</v>
      </c>
      <c r="C199" s="134" t="s">
        <v>69</v>
      </c>
      <c r="D199" s="171">
        <v>80</v>
      </c>
      <c r="E199" s="67">
        <v>20</v>
      </c>
      <c r="F199" s="78" t="s">
        <v>263</v>
      </c>
      <c r="G199" s="162">
        <v>6</v>
      </c>
      <c r="H199" s="63" t="s">
        <v>239</v>
      </c>
      <c r="I199" s="72">
        <v>3.5</v>
      </c>
      <c r="J199" s="76">
        <v>0</v>
      </c>
      <c r="K199" s="76">
        <v>5</v>
      </c>
    </row>
    <row r="200" spans="1:11" x14ac:dyDescent="0.35">
      <c r="A200" s="79">
        <v>511</v>
      </c>
      <c r="B200" s="79"/>
      <c r="C200" s="134" t="s">
        <v>421</v>
      </c>
      <c r="D200" s="147">
        <f>IFERROR(_xlfn.XLOOKUP("LARANJA LIMA",T_Custos[Produto],T_Custos[Custo])/_xlfn.XLOOKUP("LARANJA LIMA",T_Custos[Produto],T_Custos[Peso])*0.5,"Em falta")</f>
        <v>2</v>
      </c>
      <c r="E200" s="67">
        <v>1</v>
      </c>
      <c r="F200" s="78" t="s">
        <v>268</v>
      </c>
      <c r="G200" s="162">
        <v>6</v>
      </c>
      <c r="H200" s="74" t="s">
        <v>239</v>
      </c>
      <c r="I200" s="83">
        <v>0.3</v>
      </c>
      <c r="J200" s="76">
        <v>1.8</v>
      </c>
      <c r="K200" s="77">
        <v>0.1</v>
      </c>
    </row>
    <row r="201" spans="1:11" x14ac:dyDescent="0.35">
      <c r="A201" s="79"/>
      <c r="B201" s="79"/>
      <c r="C201" s="134" t="s">
        <v>379</v>
      </c>
      <c r="D201" s="147">
        <f>IFERROR(_xlfn.XLOOKUP("LARANJA LIMA",T_Custos[Produto],T_Custos[Custo])/_xlfn.XLOOKUP("LARANJA LIMA",T_Custos[Produto],T_Custos[Peso])*0.25,"Em falta")</f>
        <v>1</v>
      </c>
      <c r="E201" s="68">
        <v>1</v>
      </c>
      <c r="F201" s="80" t="s">
        <v>363</v>
      </c>
      <c r="G201" s="166">
        <v>6</v>
      </c>
      <c r="H201" s="74" t="s">
        <v>239</v>
      </c>
      <c r="I201" s="72">
        <v>0.3</v>
      </c>
      <c r="J201" s="77">
        <v>0</v>
      </c>
      <c r="K201" s="77">
        <v>0.1</v>
      </c>
    </row>
    <row r="202" spans="1:11" x14ac:dyDescent="0.35">
      <c r="A202" s="79"/>
      <c r="B202" s="79">
        <v>1713</v>
      </c>
      <c r="C202" s="134" t="s">
        <v>70</v>
      </c>
      <c r="D202" s="171">
        <v>80</v>
      </c>
      <c r="E202" s="67">
        <v>20</v>
      </c>
      <c r="F202" s="78" t="s">
        <v>263</v>
      </c>
      <c r="G202" s="162">
        <v>6</v>
      </c>
      <c r="H202" s="63" t="s">
        <v>239</v>
      </c>
      <c r="I202" s="72">
        <v>3.5</v>
      </c>
      <c r="J202" s="76">
        <v>0</v>
      </c>
      <c r="K202" s="76">
        <v>5</v>
      </c>
    </row>
    <row r="203" spans="1:11" x14ac:dyDescent="0.35">
      <c r="A203" s="79">
        <v>501</v>
      </c>
      <c r="B203" s="79"/>
      <c r="C203" s="134" t="s">
        <v>422</v>
      </c>
      <c r="D203" s="147">
        <f>IFERROR(_xlfn.XLOOKUP("LARANJA PERA",T_Custos[Produto],T_Custos[Custo])/_xlfn.XLOOKUP("LARANJA PERA",T_Custos[Produto],T_Custos[Peso])*1,"Em falta")</f>
        <v>4</v>
      </c>
      <c r="E203" s="67">
        <v>1</v>
      </c>
      <c r="F203" s="78" t="s">
        <v>268</v>
      </c>
      <c r="G203" s="162">
        <v>6</v>
      </c>
      <c r="H203" s="74" t="s">
        <v>239</v>
      </c>
      <c r="I203" s="83">
        <v>0.3</v>
      </c>
      <c r="J203" s="76">
        <v>1.8</v>
      </c>
      <c r="K203" s="77">
        <v>0.1</v>
      </c>
    </row>
    <row r="204" spans="1:11" x14ac:dyDescent="0.35">
      <c r="A204" s="79"/>
      <c r="B204" s="79"/>
      <c r="C204" s="134" t="s">
        <v>71</v>
      </c>
      <c r="D204" s="171" t="s">
        <v>235</v>
      </c>
      <c r="E204" s="67">
        <v>10</v>
      </c>
      <c r="F204" s="78" t="s">
        <v>266</v>
      </c>
      <c r="G204" s="162">
        <v>6</v>
      </c>
      <c r="H204" s="63" t="s">
        <v>239</v>
      </c>
      <c r="I204" s="72">
        <v>3.5</v>
      </c>
      <c r="J204" s="76">
        <v>0</v>
      </c>
      <c r="K204" s="76">
        <v>0</v>
      </c>
    </row>
    <row r="205" spans="1:11" x14ac:dyDescent="0.35">
      <c r="A205" s="79"/>
      <c r="B205" s="79"/>
      <c r="C205" s="134" t="s">
        <v>380</v>
      </c>
      <c r="D205" s="147">
        <f>IFERROR(_xlfn.XLOOKUP("LARANJA PERA",T_Custos[Produto],T_Custos[Custo])/_xlfn.XLOOKUP("LARANJA PERA",T_Custos[Produto],T_Custos[Peso])*0.2,"Em falta")</f>
        <v>0.8</v>
      </c>
      <c r="E205" s="68">
        <v>1</v>
      </c>
      <c r="F205" s="80" t="s">
        <v>363</v>
      </c>
      <c r="G205" s="166">
        <v>6</v>
      </c>
      <c r="H205" s="74" t="s">
        <v>239</v>
      </c>
      <c r="I205" s="72">
        <v>0.3</v>
      </c>
      <c r="J205" s="77">
        <v>0</v>
      </c>
      <c r="K205" s="77">
        <v>0.1</v>
      </c>
    </row>
    <row r="206" spans="1:11" x14ac:dyDescent="0.35">
      <c r="A206" s="79"/>
      <c r="B206" s="79">
        <v>18269</v>
      </c>
      <c r="C206" s="161" t="s">
        <v>72</v>
      </c>
      <c r="D206" s="171">
        <v>105</v>
      </c>
      <c r="E206" s="67">
        <v>20</v>
      </c>
      <c r="F206" s="78" t="s">
        <v>263</v>
      </c>
      <c r="G206" s="162">
        <v>6</v>
      </c>
      <c r="H206" s="63" t="s">
        <v>239</v>
      </c>
      <c r="I206" s="72">
        <v>3.5</v>
      </c>
      <c r="J206" s="76">
        <v>0</v>
      </c>
      <c r="K206" s="76">
        <v>5</v>
      </c>
    </row>
    <row r="207" spans="1:11" x14ac:dyDescent="0.35">
      <c r="A207" s="79"/>
      <c r="B207" s="79"/>
      <c r="C207" s="134" t="s">
        <v>546</v>
      </c>
      <c r="D207" s="171" t="s">
        <v>235</v>
      </c>
      <c r="E207" s="67">
        <v>4</v>
      </c>
      <c r="F207" s="78" t="s">
        <v>265</v>
      </c>
      <c r="G207" s="162">
        <v>6</v>
      </c>
      <c r="H207" s="63" t="s">
        <v>239</v>
      </c>
      <c r="I207" s="72">
        <v>2.2000000000000002</v>
      </c>
      <c r="J207" s="76">
        <v>0</v>
      </c>
      <c r="K207" s="76">
        <v>0</v>
      </c>
    </row>
    <row r="208" spans="1:11" x14ac:dyDescent="0.35">
      <c r="A208" s="79"/>
      <c r="B208" s="79">
        <v>20452</v>
      </c>
      <c r="C208" s="161" t="s">
        <v>73</v>
      </c>
      <c r="D208" s="171">
        <v>100</v>
      </c>
      <c r="E208" s="67">
        <v>9</v>
      </c>
      <c r="F208" s="78" t="s">
        <v>263</v>
      </c>
      <c r="G208" s="162">
        <v>6</v>
      </c>
      <c r="H208" s="63" t="s">
        <v>239</v>
      </c>
      <c r="I208" s="72">
        <v>3.5</v>
      </c>
      <c r="J208" s="76">
        <v>0</v>
      </c>
      <c r="K208" s="76">
        <v>3</v>
      </c>
    </row>
    <row r="209" spans="1:11" x14ac:dyDescent="0.35">
      <c r="A209" s="130"/>
      <c r="B209" s="130"/>
      <c r="C209" s="134" t="s">
        <v>532</v>
      </c>
      <c r="D209" s="171" t="s">
        <v>235</v>
      </c>
      <c r="E209" s="131">
        <v>20</v>
      </c>
      <c r="F209" s="88" t="s">
        <v>263</v>
      </c>
      <c r="G209" s="162">
        <v>6</v>
      </c>
      <c r="H209" s="63" t="s">
        <v>239</v>
      </c>
      <c r="I209" s="72">
        <v>3.5</v>
      </c>
      <c r="J209" s="76">
        <v>0</v>
      </c>
      <c r="K209" s="76">
        <v>5</v>
      </c>
    </row>
    <row r="210" spans="1:11" x14ac:dyDescent="0.35">
      <c r="A210" s="79"/>
      <c r="B210" s="79">
        <v>1715</v>
      </c>
      <c r="C210" s="161" t="s">
        <v>74</v>
      </c>
      <c r="D210" s="171">
        <v>38</v>
      </c>
      <c r="E210" s="67">
        <v>20</v>
      </c>
      <c r="F210" s="78" t="s">
        <v>263</v>
      </c>
      <c r="G210" s="162">
        <v>6</v>
      </c>
      <c r="H210" s="63" t="s">
        <v>239</v>
      </c>
      <c r="I210" s="72">
        <v>3.5</v>
      </c>
      <c r="J210" s="76">
        <v>0</v>
      </c>
      <c r="K210" s="76">
        <v>5</v>
      </c>
    </row>
    <row r="211" spans="1:11" x14ac:dyDescent="0.35">
      <c r="A211" s="79"/>
      <c r="B211" s="79"/>
      <c r="C211" s="134" t="s">
        <v>396</v>
      </c>
      <c r="D211" s="147">
        <f>IFERROR(_xlfn.XLOOKUP("LIMAO NP",T_Custos[Produto],T_Custos[Custo])/_xlfn.XLOOKUP("LIMAO NP",T_Custos[Produto],T_Custos[Peso])*0.1,"Em falta")</f>
        <v>0.19</v>
      </c>
      <c r="E211" s="68">
        <v>1</v>
      </c>
      <c r="F211" s="80" t="s">
        <v>363</v>
      </c>
      <c r="G211" s="166">
        <v>6</v>
      </c>
      <c r="H211" s="74" t="s">
        <v>239</v>
      </c>
      <c r="I211" s="72">
        <v>0.3</v>
      </c>
      <c r="J211" s="77">
        <v>0</v>
      </c>
      <c r="K211" s="77">
        <v>0.1</v>
      </c>
    </row>
    <row r="212" spans="1:11" x14ac:dyDescent="0.35">
      <c r="A212" s="79">
        <v>502</v>
      </c>
      <c r="B212" s="79"/>
      <c r="C212" s="134" t="s">
        <v>423</v>
      </c>
      <c r="D212" s="147">
        <f>IFERROR(_xlfn.XLOOKUP("LIMAO NP",T_Custos[Produto],T_Custos[Custo])/_xlfn.XLOOKUP("LIMAO NP",T_Custos[Produto],T_Custos[Peso])*0.5,"Em falta")</f>
        <v>0.95</v>
      </c>
      <c r="E212" s="67">
        <v>1</v>
      </c>
      <c r="F212" s="78" t="s">
        <v>268</v>
      </c>
      <c r="G212" s="162">
        <v>6</v>
      </c>
      <c r="H212" s="74" t="s">
        <v>239</v>
      </c>
      <c r="I212" s="83">
        <v>0.3</v>
      </c>
      <c r="J212" s="76">
        <v>1.8</v>
      </c>
      <c r="K212" s="77">
        <v>0.1</v>
      </c>
    </row>
    <row r="213" spans="1:11" x14ac:dyDescent="0.35">
      <c r="A213" s="79"/>
      <c r="B213" s="79">
        <v>1714</v>
      </c>
      <c r="C213" s="134" t="s">
        <v>76</v>
      </c>
      <c r="D213" s="171">
        <v>114.63</v>
      </c>
      <c r="E213" s="67">
        <v>15</v>
      </c>
      <c r="F213" s="78" t="s">
        <v>263</v>
      </c>
      <c r="G213" s="162">
        <v>6</v>
      </c>
      <c r="H213" s="63" t="s">
        <v>239</v>
      </c>
      <c r="I213" s="72">
        <v>3.5</v>
      </c>
      <c r="J213" s="76">
        <v>0</v>
      </c>
      <c r="K213" s="76">
        <v>5</v>
      </c>
    </row>
    <row r="214" spans="1:11" x14ac:dyDescent="0.35">
      <c r="A214" s="79"/>
      <c r="B214" s="79"/>
      <c r="C214" s="134" t="s">
        <v>381</v>
      </c>
      <c r="D214" s="147">
        <f>IFERROR(_xlfn.XLOOKUP("LIMAO SICILIANO",T_Custos[Produto],T_Custos[Custo])/_xlfn.XLOOKUP("LIMAO SICILIANO",T_Custos[Produto],T_Custos[Peso])*0.142,"Em falta")</f>
        <v>1.0851639999999998</v>
      </c>
      <c r="E214" s="68">
        <v>1</v>
      </c>
      <c r="F214" s="80" t="s">
        <v>363</v>
      </c>
      <c r="G214" s="166">
        <v>6</v>
      </c>
      <c r="H214" s="74" t="s">
        <v>239</v>
      </c>
      <c r="I214" s="72">
        <v>0.3</v>
      </c>
      <c r="J214" s="77">
        <v>0</v>
      </c>
      <c r="K214" s="77">
        <v>0.1</v>
      </c>
    </row>
    <row r="215" spans="1:11" x14ac:dyDescent="0.35">
      <c r="A215" s="79"/>
      <c r="B215" s="79"/>
      <c r="C215" s="134" t="s">
        <v>75</v>
      </c>
      <c r="D215" s="171" t="s">
        <v>235</v>
      </c>
      <c r="E215" s="67">
        <v>20</v>
      </c>
      <c r="F215" s="78" t="s">
        <v>263</v>
      </c>
      <c r="G215" s="162">
        <v>6</v>
      </c>
      <c r="H215" s="74" t="s">
        <v>239</v>
      </c>
      <c r="I215" s="72">
        <v>3.5</v>
      </c>
      <c r="J215" s="76">
        <v>0</v>
      </c>
      <c r="K215" s="76">
        <v>5</v>
      </c>
    </row>
    <row r="216" spans="1:11" x14ac:dyDescent="0.35">
      <c r="A216" s="79"/>
      <c r="B216" s="79"/>
      <c r="C216" s="57" t="s">
        <v>205</v>
      </c>
      <c r="D216" s="171">
        <v>2</v>
      </c>
      <c r="E216" s="67">
        <v>1</v>
      </c>
      <c r="F216" s="78" t="s">
        <v>264</v>
      </c>
      <c r="G216" s="162"/>
      <c r="H216" s="74" t="s">
        <v>595</v>
      </c>
      <c r="I216" s="72">
        <v>0.4</v>
      </c>
      <c r="J216" s="76">
        <v>0</v>
      </c>
      <c r="K216" s="76">
        <v>0</v>
      </c>
    </row>
    <row r="217" spans="1:11" x14ac:dyDescent="0.35">
      <c r="A217" s="148"/>
      <c r="B217" s="148"/>
      <c r="C217" s="57" t="s">
        <v>581</v>
      </c>
      <c r="D217" s="172">
        <f>_xlfn.XLOOKUP(T_Custos[[#This Row],[Produto]],T_Assumpnutry[PRODUTO],T_Assumpnutry[PREÇO KG])</f>
        <v>25</v>
      </c>
      <c r="E217" s="156">
        <v>1</v>
      </c>
      <c r="F217" s="78" t="s">
        <v>263</v>
      </c>
      <c r="G217" s="162"/>
      <c r="H217" s="73" t="s">
        <v>592</v>
      </c>
      <c r="I217" s="157">
        <v>0.4</v>
      </c>
      <c r="J217" s="153">
        <v>0</v>
      </c>
      <c r="K217" s="153">
        <v>0</v>
      </c>
    </row>
    <row r="218" spans="1:11" x14ac:dyDescent="0.35">
      <c r="A218" s="79"/>
      <c r="B218" s="79">
        <v>5226</v>
      </c>
      <c r="C218" s="161" t="s">
        <v>77</v>
      </c>
      <c r="D218" s="171">
        <v>186.67</v>
      </c>
      <c r="E218" s="67">
        <v>18</v>
      </c>
      <c r="F218" s="78" t="s">
        <v>263</v>
      </c>
      <c r="G218" s="162">
        <v>7</v>
      </c>
      <c r="H218" s="63" t="s">
        <v>240</v>
      </c>
      <c r="I218" s="72">
        <v>3.5</v>
      </c>
      <c r="J218" s="76">
        <v>0</v>
      </c>
      <c r="K218" s="76">
        <v>5</v>
      </c>
    </row>
    <row r="219" spans="1:11" x14ac:dyDescent="0.35">
      <c r="A219" s="79"/>
      <c r="B219" s="79">
        <v>19439</v>
      </c>
      <c r="C219" s="161" t="s">
        <v>78</v>
      </c>
      <c r="D219" s="171">
        <v>155</v>
      </c>
      <c r="E219" s="67">
        <v>18</v>
      </c>
      <c r="F219" s="78" t="s">
        <v>263</v>
      </c>
      <c r="G219" s="162">
        <v>7</v>
      </c>
      <c r="H219" s="63" t="s">
        <v>240</v>
      </c>
      <c r="I219" s="72">
        <v>3.5</v>
      </c>
      <c r="J219" s="76">
        <v>0</v>
      </c>
      <c r="K219" s="76">
        <v>5</v>
      </c>
    </row>
    <row r="220" spans="1:11" x14ac:dyDescent="0.35">
      <c r="A220" s="79">
        <v>512</v>
      </c>
      <c r="B220" s="79"/>
      <c r="C220" s="134" t="s">
        <v>424</v>
      </c>
      <c r="D220" s="147">
        <f>IFERROR(_xlfn.XLOOKUP("MAÇA FUJI",T_Custos[Produto],T_Custos[Custo])/_xlfn.XLOOKUP("MAÇA FUJI",T_Custos[Produto],T_Custos[Peso])*0.5,"Em falta")</f>
        <v>4.3055555555555554</v>
      </c>
      <c r="E220" s="67">
        <v>1</v>
      </c>
      <c r="F220" s="78" t="s">
        <v>265</v>
      </c>
      <c r="G220" s="162">
        <v>7</v>
      </c>
      <c r="H220" s="73" t="s">
        <v>240</v>
      </c>
      <c r="I220" s="83">
        <v>0.3</v>
      </c>
      <c r="J220" s="76">
        <v>1.8</v>
      </c>
      <c r="K220" s="77">
        <v>0.1</v>
      </c>
    </row>
    <row r="221" spans="1:11" x14ac:dyDescent="0.35">
      <c r="A221" s="79"/>
      <c r="B221" s="79"/>
      <c r="C221" s="134" t="s">
        <v>382</v>
      </c>
      <c r="D221" s="147">
        <f>IFERROR(_xlfn.XLOOKUP("MAÇA FUJI",T_Custos[Produto],T_Custos[Custo])/_xlfn.XLOOKUP("MAÇA FUJI",T_Custos[Produto],T_Custos[Peso])*0.15,"Em falta")</f>
        <v>1.2916666666666665</v>
      </c>
      <c r="E221" s="68">
        <v>1</v>
      </c>
      <c r="F221" s="80" t="s">
        <v>363</v>
      </c>
      <c r="G221" s="166">
        <v>7</v>
      </c>
      <c r="H221" s="73" t="s">
        <v>240</v>
      </c>
      <c r="I221" s="72">
        <v>0.3</v>
      </c>
      <c r="J221" s="77">
        <v>0</v>
      </c>
      <c r="K221" s="77">
        <v>0.1</v>
      </c>
    </row>
    <row r="222" spans="1:11" x14ac:dyDescent="0.35">
      <c r="A222" s="79">
        <v>375</v>
      </c>
      <c r="B222" s="79"/>
      <c r="C222" s="134" t="s">
        <v>425</v>
      </c>
      <c r="D222" s="147">
        <f>IFERROR(_xlfn.XLOOKUP("MAÇA GALA SACOLINHA",T_Custos[Produto],T_Custos[Custo])/_xlfn.XLOOKUP("MAÇA GALA SACOLINHA",T_Custos[Produto],T_Custos[Peso])*1,"Em falta")</f>
        <v>5.2362500000000001</v>
      </c>
      <c r="E222" s="67">
        <v>1</v>
      </c>
      <c r="F222" s="78" t="s">
        <v>267</v>
      </c>
      <c r="G222" s="162">
        <v>7</v>
      </c>
      <c r="H222" s="73" t="s">
        <v>240</v>
      </c>
      <c r="I222" s="83">
        <v>0.3</v>
      </c>
      <c r="J222" s="76">
        <v>1.8</v>
      </c>
      <c r="K222" s="77">
        <v>0.1</v>
      </c>
    </row>
    <row r="223" spans="1:11" x14ac:dyDescent="0.35">
      <c r="A223" s="79"/>
      <c r="B223" s="79">
        <v>1718</v>
      </c>
      <c r="C223" s="161" t="s">
        <v>548</v>
      </c>
      <c r="D223" s="171">
        <v>143.75</v>
      </c>
      <c r="E223" s="67">
        <v>18</v>
      </c>
      <c r="F223" s="78" t="s">
        <v>263</v>
      </c>
      <c r="G223" s="162">
        <v>7</v>
      </c>
      <c r="H223" s="63" t="s">
        <v>240</v>
      </c>
      <c r="I223" s="72">
        <v>3.5</v>
      </c>
      <c r="J223" s="76">
        <v>0</v>
      </c>
      <c r="K223" s="76">
        <v>5</v>
      </c>
    </row>
    <row r="224" spans="1:11" x14ac:dyDescent="0.35">
      <c r="A224" s="79"/>
      <c r="B224" s="79">
        <v>20692</v>
      </c>
      <c r="C224" s="161" t="s">
        <v>543</v>
      </c>
      <c r="D224" s="171">
        <v>130.74</v>
      </c>
      <c r="E224" s="67">
        <v>18</v>
      </c>
      <c r="F224" s="78" t="s">
        <v>263</v>
      </c>
      <c r="G224" s="162">
        <v>7</v>
      </c>
      <c r="H224" s="63" t="s">
        <v>240</v>
      </c>
      <c r="I224" s="72">
        <v>3.5</v>
      </c>
      <c r="J224" s="76">
        <v>0</v>
      </c>
      <c r="K224" s="76">
        <v>5</v>
      </c>
    </row>
    <row r="225" spans="1:11" x14ac:dyDescent="0.35">
      <c r="A225" s="148"/>
      <c r="B225" s="148"/>
      <c r="C225" s="161" t="s">
        <v>79</v>
      </c>
      <c r="D225" s="171">
        <v>101.05</v>
      </c>
      <c r="E225" s="67">
        <v>18</v>
      </c>
      <c r="F225" s="78" t="s">
        <v>263</v>
      </c>
      <c r="G225" s="162">
        <v>7</v>
      </c>
      <c r="H225" s="63" t="s">
        <v>240</v>
      </c>
      <c r="I225" s="72">
        <v>3.5</v>
      </c>
      <c r="J225" s="76">
        <v>0</v>
      </c>
      <c r="K225" s="76">
        <v>5</v>
      </c>
    </row>
    <row r="226" spans="1:11" x14ac:dyDescent="0.35">
      <c r="A226" s="79">
        <v>860</v>
      </c>
      <c r="B226" s="79"/>
      <c r="C226" s="161" t="s">
        <v>80</v>
      </c>
      <c r="D226" s="171">
        <v>125.67</v>
      </c>
      <c r="E226" s="67">
        <v>24</v>
      </c>
      <c r="F226" s="78" t="s">
        <v>267</v>
      </c>
      <c r="G226" s="162">
        <v>7</v>
      </c>
      <c r="H226" s="63" t="s">
        <v>240</v>
      </c>
      <c r="I226" s="72">
        <v>3.5</v>
      </c>
      <c r="J226" s="76">
        <v>0</v>
      </c>
      <c r="K226" s="76">
        <v>0</v>
      </c>
    </row>
    <row r="227" spans="1:11" x14ac:dyDescent="0.35">
      <c r="A227" s="79">
        <v>18376</v>
      </c>
      <c r="B227" s="79">
        <v>1717</v>
      </c>
      <c r="C227" s="161" t="s">
        <v>81</v>
      </c>
      <c r="D227" s="171">
        <v>184.7</v>
      </c>
      <c r="E227" s="67">
        <v>18</v>
      </c>
      <c r="F227" s="78" t="s">
        <v>263</v>
      </c>
      <c r="G227" s="162">
        <v>7</v>
      </c>
      <c r="H227" s="63" t="s">
        <v>240</v>
      </c>
      <c r="I227" s="72">
        <v>3.5</v>
      </c>
      <c r="J227" s="76">
        <v>0</v>
      </c>
      <c r="K227" s="76">
        <v>5</v>
      </c>
    </row>
    <row r="228" spans="1:11" x14ac:dyDescent="0.35">
      <c r="A228" s="79"/>
      <c r="B228" s="79"/>
      <c r="C228" s="134" t="s">
        <v>82</v>
      </c>
      <c r="D228" s="171">
        <v>62.41</v>
      </c>
      <c r="E228" s="67">
        <v>13</v>
      </c>
      <c r="F228" s="78" t="s">
        <v>263</v>
      </c>
      <c r="G228" s="162">
        <v>6</v>
      </c>
      <c r="H228" s="63" t="s">
        <v>239</v>
      </c>
      <c r="I228" s="72">
        <v>3.5</v>
      </c>
      <c r="J228" s="76">
        <v>0</v>
      </c>
      <c r="K228" s="76">
        <v>3</v>
      </c>
    </row>
    <row r="229" spans="1:11" x14ac:dyDescent="0.35">
      <c r="A229" s="79"/>
      <c r="B229" s="79">
        <v>6115</v>
      </c>
      <c r="C229" s="161" t="s">
        <v>83</v>
      </c>
      <c r="D229" s="171">
        <v>55</v>
      </c>
      <c r="E229" s="67">
        <v>10</v>
      </c>
      <c r="F229" s="78" t="s">
        <v>263</v>
      </c>
      <c r="G229" s="162">
        <v>6</v>
      </c>
      <c r="H229" s="63" t="s">
        <v>239</v>
      </c>
      <c r="I229" s="72">
        <v>3.5</v>
      </c>
      <c r="J229" s="76">
        <v>0</v>
      </c>
      <c r="K229" s="76">
        <v>3</v>
      </c>
    </row>
    <row r="230" spans="1:11" x14ac:dyDescent="0.35">
      <c r="A230" s="79"/>
      <c r="B230" s="79">
        <v>1719</v>
      </c>
      <c r="C230" s="161" t="s">
        <v>84</v>
      </c>
      <c r="D230" s="171">
        <v>85</v>
      </c>
      <c r="E230" s="67">
        <v>10</v>
      </c>
      <c r="F230" s="78" t="s">
        <v>263</v>
      </c>
      <c r="G230" s="162">
        <v>6</v>
      </c>
      <c r="H230" s="63" t="s">
        <v>239</v>
      </c>
      <c r="I230" s="72">
        <v>3.5</v>
      </c>
      <c r="J230" s="76">
        <v>0</v>
      </c>
      <c r="K230" s="76">
        <v>3</v>
      </c>
    </row>
    <row r="231" spans="1:11" x14ac:dyDescent="0.35">
      <c r="A231" s="79"/>
      <c r="B231" s="79"/>
      <c r="C231" s="134" t="s">
        <v>383</v>
      </c>
      <c r="D231" s="147">
        <f>IFERROR(_xlfn.XLOOKUP("MAMAO GAIA - HAVAI",T_Custos[Produto],T_Custos[Custo])/_xlfn.XLOOKUP("MAMAO GAIA - HAVAI",T_Custos[Produto],T_Custos[Peso])*0.5,"Em falta")</f>
        <v>4.25</v>
      </c>
      <c r="E231" s="68">
        <v>1</v>
      </c>
      <c r="F231" s="80" t="s">
        <v>363</v>
      </c>
      <c r="G231" s="166">
        <v>6</v>
      </c>
      <c r="H231" s="74" t="s">
        <v>239</v>
      </c>
      <c r="I231" s="72">
        <v>0.3</v>
      </c>
      <c r="J231" s="77">
        <v>0</v>
      </c>
      <c r="K231" s="77">
        <v>0.1</v>
      </c>
    </row>
    <row r="232" spans="1:11" x14ac:dyDescent="0.35">
      <c r="A232" s="79"/>
      <c r="B232" s="79"/>
      <c r="C232" s="134" t="s">
        <v>85</v>
      </c>
      <c r="D232" s="171" t="s">
        <v>235</v>
      </c>
      <c r="E232" s="67">
        <v>6</v>
      </c>
      <c r="F232" s="78" t="s">
        <v>263</v>
      </c>
      <c r="G232" s="162">
        <v>6</v>
      </c>
      <c r="H232" s="63" t="s">
        <v>239</v>
      </c>
      <c r="I232" s="72">
        <v>2.5</v>
      </c>
      <c r="J232" s="76">
        <v>0</v>
      </c>
      <c r="K232" s="76">
        <v>3</v>
      </c>
    </row>
    <row r="233" spans="1:11" x14ac:dyDescent="0.35">
      <c r="A233" s="79"/>
      <c r="B233" s="79"/>
      <c r="C233" s="134" t="s">
        <v>460</v>
      </c>
      <c r="D233" s="171" t="s">
        <v>235</v>
      </c>
      <c r="E233" s="67">
        <v>8</v>
      </c>
      <c r="F233" s="78" t="s">
        <v>263</v>
      </c>
      <c r="G233" s="162">
        <v>6</v>
      </c>
      <c r="H233" s="74" t="s">
        <v>239</v>
      </c>
      <c r="I233" s="72">
        <v>2.5</v>
      </c>
      <c r="J233" s="76">
        <v>0</v>
      </c>
      <c r="K233" s="76">
        <v>3</v>
      </c>
    </row>
    <row r="234" spans="1:11" x14ac:dyDescent="0.35">
      <c r="A234" s="79"/>
      <c r="B234" s="79">
        <v>5850</v>
      </c>
      <c r="C234" s="134" t="s">
        <v>86</v>
      </c>
      <c r="D234" s="171" t="s">
        <v>235</v>
      </c>
      <c r="E234" s="67">
        <v>1</v>
      </c>
      <c r="F234" s="78" t="s">
        <v>265</v>
      </c>
      <c r="G234" s="162">
        <v>6</v>
      </c>
      <c r="H234" s="63" t="s">
        <v>239</v>
      </c>
      <c r="I234" s="72">
        <v>0.3</v>
      </c>
      <c r="J234" s="76">
        <v>0</v>
      </c>
      <c r="K234" s="76">
        <v>0</v>
      </c>
    </row>
    <row r="235" spans="1:11" x14ac:dyDescent="0.35">
      <c r="A235" s="79"/>
      <c r="B235" s="79">
        <v>21670</v>
      </c>
      <c r="C235" s="134" t="s">
        <v>87</v>
      </c>
      <c r="D235" s="171" t="s">
        <v>235</v>
      </c>
      <c r="E235" s="67">
        <v>15</v>
      </c>
      <c r="F235" s="78" t="s">
        <v>263</v>
      </c>
      <c r="G235" s="162">
        <v>6</v>
      </c>
      <c r="H235" s="63" t="s">
        <v>239</v>
      </c>
      <c r="I235" s="72">
        <v>3.5</v>
      </c>
      <c r="J235" s="76">
        <v>0</v>
      </c>
      <c r="K235" s="76">
        <v>5</v>
      </c>
    </row>
    <row r="236" spans="1:11" x14ac:dyDescent="0.35">
      <c r="A236" s="79"/>
      <c r="B236" s="79">
        <v>1720</v>
      </c>
      <c r="C236" s="161" t="s">
        <v>88</v>
      </c>
      <c r="D236" s="171">
        <v>83</v>
      </c>
      <c r="E236" s="67">
        <v>18</v>
      </c>
      <c r="F236" s="78" t="s">
        <v>263</v>
      </c>
      <c r="G236" s="162">
        <v>6</v>
      </c>
      <c r="H236" s="63" t="s">
        <v>239</v>
      </c>
      <c r="I236" s="72">
        <v>2.5</v>
      </c>
      <c r="J236" s="76">
        <v>0</v>
      </c>
      <c r="K236" s="76">
        <v>5</v>
      </c>
    </row>
    <row r="237" spans="1:11" x14ac:dyDescent="0.35">
      <c r="A237" s="79"/>
      <c r="B237" s="79"/>
      <c r="C237" s="134" t="s">
        <v>384</v>
      </c>
      <c r="D237" s="147">
        <f>IFERROR(_xlfn.XLOOKUP("MANGA PALMER",T_Custos[Produto],T_Custos[Custo])/_xlfn.XLOOKUP("MANGA PALMER",T_Custos[Produto],T_Custos[Peso])*0.5,"Em falta")</f>
        <v>2.3055555555555554</v>
      </c>
      <c r="E237" s="68">
        <v>1</v>
      </c>
      <c r="F237" s="80" t="s">
        <v>363</v>
      </c>
      <c r="G237" s="166">
        <v>6</v>
      </c>
      <c r="H237" s="74" t="s">
        <v>239</v>
      </c>
      <c r="I237" s="72">
        <v>0.3</v>
      </c>
      <c r="J237" s="77">
        <v>0</v>
      </c>
      <c r="K237" s="77">
        <v>0.1</v>
      </c>
    </row>
    <row r="238" spans="1:11" x14ac:dyDescent="0.35">
      <c r="A238" s="79"/>
      <c r="B238" s="79">
        <v>5</v>
      </c>
      <c r="C238" s="134" t="s">
        <v>89</v>
      </c>
      <c r="D238" s="171">
        <v>97.15</v>
      </c>
      <c r="E238" s="67">
        <v>15</v>
      </c>
      <c r="F238" s="78" t="s">
        <v>263</v>
      </c>
      <c r="G238" s="162">
        <v>6</v>
      </c>
      <c r="H238" s="63" t="s">
        <v>239</v>
      </c>
      <c r="I238" s="72">
        <v>2.5</v>
      </c>
      <c r="J238" s="76">
        <v>0</v>
      </c>
      <c r="K238" s="76">
        <v>5</v>
      </c>
    </row>
    <row r="239" spans="1:11" x14ac:dyDescent="0.35">
      <c r="A239" s="79"/>
      <c r="B239" s="79"/>
      <c r="C239" s="57" t="s">
        <v>206</v>
      </c>
      <c r="D239" s="171">
        <v>3.5</v>
      </c>
      <c r="E239" s="67">
        <v>1</v>
      </c>
      <c r="F239" s="78" t="s">
        <v>264</v>
      </c>
      <c r="G239" s="162"/>
      <c r="H239" s="74" t="s">
        <v>595</v>
      </c>
      <c r="I239" s="72">
        <v>0.4</v>
      </c>
      <c r="J239" s="76">
        <v>0</v>
      </c>
      <c r="K239" s="76">
        <v>0</v>
      </c>
    </row>
    <row r="240" spans="1:11" x14ac:dyDescent="0.35">
      <c r="A240" s="79"/>
      <c r="B240" s="79"/>
      <c r="C240" s="134" t="s">
        <v>225</v>
      </c>
      <c r="D240" s="171" t="s">
        <v>235</v>
      </c>
      <c r="E240" s="67">
        <v>1</v>
      </c>
      <c r="F240" s="78" t="s">
        <v>264</v>
      </c>
      <c r="G240" s="162">
        <v>9</v>
      </c>
      <c r="H240" s="74" t="s">
        <v>244</v>
      </c>
      <c r="I240" s="72">
        <v>0.4</v>
      </c>
      <c r="J240" s="76">
        <v>0</v>
      </c>
      <c r="K240" s="76">
        <v>0</v>
      </c>
    </row>
    <row r="241" spans="1:11" x14ac:dyDescent="0.35">
      <c r="A241" s="148"/>
      <c r="B241" s="148"/>
      <c r="C241" s="57" t="s">
        <v>582</v>
      </c>
      <c r="D241" s="172">
        <f>_xlfn.XLOOKUP(T_Custos[[#This Row],[Produto]],T_Assumpnutry[PRODUTO],T_Assumpnutry[PREÇO KG])</f>
        <v>25</v>
      </c>
      <c r="E241" s="156">
        <v>1</v>
      </c>
      <c r="F241" s="78" t="s">
        <v>263</v>
      </c>
      <c r="G241" s="162"/>
      <c r="H241" s="73" t="s">
        <v>592</v>
      </c>
      <c r="I241" s="157">
        <v>0.4</v>
      </c>
      <c r="J241" s="153">
        <v>0</v>
      </c>
      <c r="K241" s="153">
        <v>0</v>
      </c>
    </row>
    <row r="242" spans="1:11" x14ac:dyDescent="0.35">
      <c r="A242" s="79"/>
      <c r="B242" s="79"/>
      <c r="C242" s="134" t="s">
        <v>216</v>
      </c>
      <c r="D242" s="171">
        <v>3.7</v>
      </c>
      <c r="E242" s="67">
        <v>1</v>
      </c>
      <c r="F242" s="78" t="s">
        <v>264</v>
      </c>
      <c r="G242" s="162">
        <v>9</v>
      </c>
      <c r="H242" s="74" t="s">
        <v>244</v>
      </c>
      <c r="I242" s="72">
        <v>0.4</v>
      </c>
      <c r="J242" s="76">
        <v>0</v>
      </c>
      <c r="K242" s="76">
        <v>0</v>
      </c>
    </row>
    <row r="243" spans="1:11" x14ac:dyDescent="0.35">
      <c r="A243" s="79"/>
      <c r="B243" s="79">
        <v>1722</v>
      </c>
      <c r="C243" s="161" t="s">
        <v>90</v>
      </c>
      <c r="D243" s="171">
        <v>65</v>
      </c>
      <c r="E243" s="67">
        <v>10</v>
      </c>
      <c r="F243" s="78" t="s">
        <v>263</v>
      </c>
      <c r="G243" s="162">
        <v>6</v>
      </c>
      <c r="H243" s="63" t="s">
        <v>239</v>
      </c>
      <c r="I243" s="72">
        <v>3.5</v>
      </c>
      <c r="J243" s="76">
        <v>0</v>
      </c>
      <c r="K243" s="76">
        <v>3</v>
      </c>
    </row>
    <row r="244" spans="1:11" x14ac:dyDescent="0.35">
      <c r="A244" s="79"/>
      <c r="B244" s="79"/>
      <c r="C244" s="134" t="s">
        <v>385</v>
      </c>
      <c r="D244" s="147">
        <f>IFERROR(_xlfn.XLOOKUP("MARACUJA",T_Custos[Produto],T_Custos[Custo])/_xlfn.XLOOKUP("MARACUJA",T_Custos[Produto],T_Custos[Peso])*0.22,"Em falta")</f>
        <v>1.43</v>
      </c>
      <c r="E244" s="68">
        <v>1</v>
      </c>
      <c r="F244" s="80" t="s">
        <v>363</v>
      </c>
      <c r="G244" s="166">
        <v>6</v>
      </c>
      <c r="H244" s="74" t="s">
        <v>239</v>
      </c>
      <c r="I244" s="72">
        <v>0.3</v>
      </c>
      <c r="J244" s="77">
        <v>0</v>
      </c>
      <c r="K244" s="77">
        <v>0.1</v>
      </c>
    </row>
    <row r="245" spans="1:11" x14ac:dyDescent="0.35">
      <c r="A245" s="79"/>
      <c r="B245" s="79">
        <v>3521</v>
      </c>
      <c r="C245" s="161" t="s">
        <v>91</v>
      </c>
      <c r="D245" s="171">
        <v>120</v>
      </c>
      <c r="E245" s="67">
        <v>10</v>
      </c>
      <c r="F245" s="78" t="s">
        <v>263</v>
      </c>
      <c r="G245" s="162">
        <v>5</v>
      </c>
      <c r="H245" s="71" t="s">
        <v>241</v>
      </c>
      <c r="I245" s="72">
        <v>3.5</v>
      </c>
      <c r="J245" s="76">
        <v>0</v>
      </c>
      <c r="K245" s="76">
        <v>5</v>
      </c>
    </row>
    <row r="246" spans="1:11" x14ac:dyDescent="0.35">
      <c r="A246" s="79"/>
      <c r="B246" s="79">
        <v>1723</v>
      </c>
      <c r="C246" s="161" t="s">
        <v>92</v>
      </c>
      <c r="D246" s="171">
        <v>2.42</v>
      </c>
      <c r="E246" s="67">
        <v>1</v>
      </c>
      <c r="F246" s="78" t="s">
        <v>263</v>
      </c>
      <c r="G246" s="162">
        <v>7</v>
      </c>
      <c r="H246" s="63" t="s">
        <v>240</v>
      </c>
      <c r="I246" s="72">
        <v>0.35</v>
      </c>
      <c r="J246" s="76">
        <v>0</v>
      </c>
      <c r="K246" s="76">
        <v>2</v>
      </c>
    </row>
    <row r="247" spans="1:11" x14ac:dyDescent="0.35">
      <c r="A247" s="79"/>
      <c r="B247" s="79"/>
      <c r="C247" s="134" t="s">
        <v>93</v>
      </c>
      <c r="D247" s="171" t="s">
        <v>235</v>
      </c>
      <c r="E247" s="67">
        <v>1</v>
      </c>
      <c r="F247" s="78" t="s">
        <v>263</v>
      </c>
      <c r="G247" s="162">
        <v>6</v>
      </c>
      <c r="H247" s="63" t="s">
        <v>239</v>
      </c>
      <c r="I247" s="72">
        <v>0.35</v>
      </c>
      <c r="J247" s="76">
        <v>0</v>
      </c>
      <c r="K247" s="76">
        <v>2</v>
      </c>
    </row>
    <row r="248" spans="1:11" x14ac:dyDescent="0.35">
      <c r="A248" s="79"/>
      <c r="B248" s="79"/>
      <c r="C248" s="161" t="s">
        <v>94</v>
      </c>
      <c r="D248" s="171">
        <v>48</v>
      </c>
      <c r="E248" s="67">
        <v>13</v>
      </c>
      <c r="F248" s="78" t="s">
        <v>263</v>
      </c>
      <c r="G248" s="162">
        <v>7</v>
      </c>
      <c r="H248" s="63" t="s">
        <v>240</v>
      </c>
      <c r="I248" s="72">
        <v>3.5</v>
      </c>
      <c r="J248" s="76">
        <v>0</v>
      </c>
      <c r="K248" s="76">
        <v>3</v>
      </c>
    </row>
    <row r="249" spans="1:11" x14ac:dyDescent="0.35">
      <c r="A249" s="79"/>
      <c r="B249" s="79">
        <v>5716</v>
      </c>
      <c r="C249" s="134" t="s">
        <v>95</v>
      </c>
      <c r="D249" s="171">
        <v>2.1</v>
      </c>
      <c r="E249" s="67">
        <v>13</v>
      </c>
      <c r="F249" s="78" t="s">
        <v>263</v>
      </c>
      <c r="G249" s="162">
        <v>7</v>
      </c>
      <c r="H249" s="63" t="s">
        <v>240</v>
      </c>
      <c r="I249" s="72">
        <v>3.9</v>
      </c>
      <c r="J249" s="76">
        <v>0</v>
      </c>
      <c r="K249" s="76">
        <v>3</v>
      </c>
    </row>
    <row r="250" spans="1:11" x14ac:dyDescent="0.35">
      <c r="A250" s="79"/>
      <c r="B250" s="79">
        <v>1724</v>
      </c>
      <c r="C250" s="161" t="s">
        <v>96</v>
      </c>
      <c r="D250" s="171">
        <v>61</v>
      </c>
      <c r="E250" s="67">
        <v>13</v>
      </c>
      <c r="F250" s="78" t="s">
        <v>263</v>
      </c>
      <c r="G250" s="162">
        <v>6</v>
      </c>
      <c r="H250" s="63" t="s">
        <v>239</v>
      </c>
      <c r="I250" s="72">
        <v>3.5</v>
      </c>
      <c r="J250" s="76">
        <v>0</v>
      </c>
      <c r="K250" s="76">
        <v>3</v>
      </c>
    </row>
    <row r="251" spans="1:11" x14ac:dyDescent="0.35">
      <c r="A251" s="79"/>
      <c r="B251" s="79"/>
      <c r="C251" s="134" t="s">
        <v>386</v>
      </c>
      <c r="D251" s="147">
        <f>IFERROR(_xlfn.XLOOKUP("MELAO AMARELO",T_Custos[Produto],T_Custos[Custo])/_xlfn.XLOOKUP("MELAO AMARELO",T_Custos[Produto],T_Custos[Peso])*2.7,"Em falta")</f>
        <v>12.66923076923077</v>
      </c>
      <c r="E251" s="68">
        <v>1</v>
      </c>
      <c r="F251" s="80" t="s">
        <v>363</v>
      </c>
      <c r="G251" s="166">
        <v>6</v>
      </c>
      <c r="H251" s="74" t="s">
        <v>239</v>
      </c>
      <c r="I251" s="72">
        <v>0.3</v>
      </c>
      <c r="J251" s="77">
        <v>0</v>
      </c>
      <c r="K251" s="77">
        <v>0.1</v>
      </c>
    </row>
    <row r="252" spans="1:11" x14ac:dyDescent="0.35">
      <c r="A252" s="79">
        <v>855</v>
      </c>
      <c r="B252" s="79">
        <v>1725</v>
      </c>
      <c r="C252" s="134" t="s">
        <v>97</v>
      </c>
      <c r="D252" s="171" t="s">
        <v>235</v>
      </c>
      <c r="E252" s="67">
        <v>14</v>
      </c>
      <c r="F252" s="78" t="s">
        <v>263</v>
      </c>
      <c r="G252" s="162">
        <v>6</v>
      </c>
      <c r="H252" s="63" t="s">
        <v>239</v>
      </c>
      <c r="I252" s="72">
        <v>3.5</v>
      </c>
      <c r="J252" s="76">
        <v>0</v>
      </c>
      <c r="K252" s="76">
        <v>3</v>
      </c>
    </row>
    <row r="253" spans="1:11" x14ac:dyDescent="0.35">
      <c r="A253" s="79"/>
      <c r="B253" s="79"/>
      <c r="C253" s="134" t="s">
        <v>98</v>
      </c>
      <c r="D253" s="171" t="s">
        <v>235</v>
      </c>
      <c r="E253" s="67">
        <v>10</v>
      </c>
      <c r="F253" s="78" t="s">
        <v>263</v>
      </c>
      <c r="G253" s="162">
        <v>6</v>
      </c>
      <c r="H253" s="63" t="s">
        <v>239</v>
      </c>
      <c r="I253" s="72">
        <v>3.5</v>
      </c>
      <c r="J253" s="76">
        <v>0</v>
      </c>
      <c r="K253" s="76">
        <v>3</v>
      </c>
    </row>
    <row r="254" spans="1:11" x14ac:dyDescent="0.35">
      <c r="A254" s="79"/>
      <c r="B254" s="79">
        <v>29017</v>
      </c>
      <c r="C254" s="134" t="s">
        <v>99</v>
      </c>
      <c r="D254" s="171">
        <v>38</v>
      </c>
      <c r="E254" s="67">
        <v>6</v>
      </c>
      <c r="F254" s="78" t="s">
        <v>263</v>
      </c>
      <c r="G254" s="162">
        <v>6</v>
      </c>
      <c r="H254" s="63" t="s">
        <v>239</v>
      </c>
      <c r="I254" s="72">
        <v>3.5</v>
      </c>
      <c r="J254" s="76">
        <v>0</v>
      </c>
      <c r="K254" s="76">
        <v>3</v>
      </c>
    </row>
    <row r="255" spans="1:11" x14ac:dyDescent="0.35">
      <c r="A255" s="79"/>
      <c r="B255" s="79">
        <v>1726</v>
      </c>
      <c r="C255" s="134" t="s">
        <v>100</v>
      </c>
      <c r="D255" s="171">
        <v>68</v>
      </c>
      <c r="E255" s="67">
        <v>13</v>
      </c>
      <c r="F255" s="78" t="s">
        <v>263</v>
      </c>
      <c r="G255" s="162">
        <v>6</v>
      </c>
      <c r="H255" s="63" t="s">
        <v>239</v>
      </c>
      <c r="I255" s="72">
        <v>3.5</v>
      </c>
      <c r="J255" s="76">
        <v>0</v>
      </c>
      <c r="K255" s="76">
        <v>3</v>
      </c>
    </row>
    <row r="256" spans="1:11" x14ac:dyDescent="0.35">
      <c r="A256" s="79"/>
      <c r="B256" s="79"/>
      <c r="C256" s="161" t="s">
        <v>101</v>
      </c>
      <c r="D256" s="171">
        <v>70</v>
      </c>
      <c r="E256" s="67">
        <v>10</v>
      </c>
      <c r="F256" s="78" t="s">
        <v>263</v>
      </c>
      <c r="G256" s="162">
        <v>7</v>
      </c>
      <c r="H256" s="63" t="s">
        <v>240</v>
      </c>
      <c r="I256" s="72">
        <v>3.5</v>
      </c>
      <c r="J256" s="76">
        <v>0</v>
      </c>
      <c r="K256" s="76">
        <v>3</v>
      </c>
    </row>
    <row r="257" spans="1:11" x14ac:dyDescent="0.35">
      <c r="A257" s="79"/>
      <c r="B257" s="79"/>
      <c r="C257" s="161" t="s">
        <v>498</v>
      </c>
      <c r="D257" s="171">
        <v>100</v>
      </c>
      <c r="E257" s="87">
        <v>10</v>
      </c>
      <c r="F257" s="88" t="s">
        <v>263</v>
      </c>
      <c r="G257" s="162">
        <v>7</v>
      </c>
      <c r="H257" s="63" t="s">
        <v>240</v>
      </c>
      <c r="I257" s="89">
        <v>3.5</v>
      </c>
      <c r="J257" s="77">
        <v>0</v>
      </c>
      <c r="K257" s="77">
        <v>3</v>
      </c>
    </row>
    <row r="258" spans="1:11" x14ac:dyDescent="0.35">
      <c r="A258" s="79"/>
      <c r="B258" s="79">
        <v>36198</v>
      </c>
      <c r="C258" s="161" t="s">
        <v>102</v>
      </c>
      <c r="D258" s="171">
        <v>130</v>
      </c>
      <c r="E258" s="67">
        <v>10</v>
      </c>
      <c r="F258" s="78" t="s">
        <v>263</v>
      </c>
      <c r="G258" s="162">
        <v>9</v>
      </c>
      <c r="H258" s="63" t="s">
        <v>244</v>
      </c>
      <c r="I258" s="72">
        <v>3</v>
      </c>
      <c r="J258" s="76">
        <v>0</v>
      </c>
      <c r="K258" s="76">
        <v>3</v>
      </c>
    </row>
    <row r="259" spans="1:11" x14ac:dyDescent="0.35">
      <c r="A259" s="79"/>
      <c r="B259" s="79">
        <v>22</v>
      </c>
      <c r="C259" s="134" t="s">
        <v>103</v>
      </c>
      <c r="D259" s="147">
        <f>IFERROR(_xlfn.XLOOKUP("MELAO SAO CAETANO",T_Custos[Produto],T_Custos[Custo])/_xlfn.XLOOKUP("MELAO SAO CAETANO",T_Custos[Produto],T_Custos[Peso])*10,"Em falta")</f>
        <v>130</v>
      </c>
      <c r="E259" s="67">
        <v>10</v>
      </c>
      <c r="F259" s="78" t="s">
        <v>263</v>
      </c>
      <c r="G259" s="162">
        <v>9</v>
      </c>
      <c r="H259" s="74" t="s">
        <v>244</v>
      </c>
      <c r="I259" s="72">
        <v>3.5</v>
      </c>
      <c r="J259" s="76">
        <v>0</v>
      </c>
      <c r="K259" s="76">
        <v>3</v>
      </c>
    </row>
    <row r="260" spans="1:11" x14ac:dyDescent="0.35">
      <c r="A260" s="79"/>
      <c r="B260" s="79">
        <v>1727</v>
      </c>
      <c r="C260" s="134" t="s">
        <v>104</v>
      </c>
      <c r="D260" s="171">
        <v>60</v>
      </c>
      <c r="E260" s="67">
        <v>10</v>
      </c>
      <c r="F260" s="78" t="s">
        <v>265</v>
      </c>
      <c r="G260" s="162">
        <v>6</v>
      </c>
      <c r="H260" s="63" t="s">
        <v>239</v>
      </c>
      <c r="I260" s="72">
        <v>3</v>
      </c>
      <c r="J260" s="76">
        <v>0</v>
      </c>
      <c r="K260" s="76">
        <v>0</v>
      </c>
    </row>
    <row r="261" spans="1:11" x14ac:dyDescent="0.35">
      <c r="A261" s="79">
        <v>363</v>
      </c>
      <c r="B261" s="79"/>
      <c r="C261" s="57" t="s">
        <v>426</v>
      </c>
      <c r="D261" s="147">
        <f>IFERROR(_xlfn.XLOOKUP("MILHO VERDE BDJ",T_Custos[Produto],T_Custos[Custo])/_xlfn.XLOOKUP("MILHO VERDE BDJ",T_Custos[Produto],T_Custos[Peso])*1,"Em falta")</f>
        <v>6</v>
      </c>
      <c r="E261" s="67">
        <v>1</v>
      </c>
      <c r="F261" s="78" t="s">
        <v>265</v>
      </c>
      <c r="G261" s="162"/>
      <c r="H261" s="74"/>
      <c r="I261" s="83">
        <v>0.3</v>
      </c>
      <c r="J261" s="76">
        <v>1.8</v>
      </c>
      <c r="K261" s="77">
        <v>0.1</v>
      </c>
    </row>
    <row r="262" spans="1:11" x14ac:dyDescent="0.35">
      <c r="A262" s="79"/>
      <c r="B262" s="79"/>
      <c r="C262" s="134" t="s">
        <v>105</v>
      </c>
      <c r="D262" s="171">
        <v>60</v>
      </c>
      <c r="E262" s="67">
        <v>15</v>
      </c>
      <c r="F262" s="78" t="s">
        <v>263</v>
      </c>
      <c r="G262" s="162">
        <v>6</v>
      </c>
      <c r="H262" s="63" t="s">
        <v>239</v>
      </c>
      <c r="I262" s="72">
        <v>3.5</v>
      </c>
      <c r="J262" s="76">
        <v>0</v>
      </c>
      <c r="K262" s="76">
        <v>5</v>
      </c>
    </row>
    <row r="263" spans="1:11" x14ac:dyDescent="0.35">
      <c r="A263" s="79"/>
      <c r="B263" s="79"/>
      <c r="C263" s="134" t="s">
        <v>233</v>
      </c>
      <c r="D263" s="171">
        <v>2.5</v>
      </c>
      <c r="E263" s="67">
        <v>1</v>
      </c>
      <c r="F263" s="78" t="s">
        <v>264</v>
      </c>
      <c r="G263" s="162">
        <v>9</v>
      </c>
      <c r="H263" s="74" t="s">
        <v>244</v>
      </c>
      <c r="I263" s="72">
        <v>0.4</v>
      </c>
      <c r="J263" s="76">
        <v>0</v>
      </c>
      <c r="K263" s="76">
        <v>0</v>
      </c>
    </row>
    <row r="264" spans="1:11" x14ac:dyDescent="0.35">
      <c r="A264" s="79"/>
      <c r="B264" s="79"/>
      <c r="C264" s="134" t="s">
        <v>230</v>
      </c>
      <c r="D264" s="171">
        <v>2</v>
      </c>
      <c r="E264" s="67">
        <v>1</v>
      </c>
      <c r="F264" s="78" t="s">
        <v>264</v>
      </c>
      <c r="G264" s="162">
        <v>9</v>
      </c>
      <c r="H264" s="74" t="s">
        <v>244</v>
      </c>
      <c r="I264" s="72">
        <v>0.4</v>
      </c>
      <c r="J264" s="76">
        <v>0</v>
      </c>
      <c r="K264" s="76">
        <v>0</v>
      </c>
    </row>
    <row r="265" spans="1:11" x14ac:dyDescent="0.35">
      <c r="A265" s="79"/>
      <c r="B265" s="79"/>
      <c r="C265" s="161" t="s">
        <v>106</v>
      </c>
      <c r="D265" s="171">
        <v>91.29</v>
      </c>
      <c r="E265" s="67">
        <v>1</v>
      </c>
      <c r="F265" s="78" t="s">
        <v>263</v>
      </c>
      <c r="G265" s="162">
        <v>7</v>
      </c>
      <c r="H265" s="63" t="s">
        <v>240</v>
      </c>
      <c r="I265" s="72">
        <v>3.5</v>
      </c>
      <c r="J265" s="76">
        <v>0</v>
      </c>
      <c r="K265" s="76">
        <v>2</v>
      </c>
    </row>
    <row r="266" spans="1:11" x14ac:dyDescent="0.35">
      <c r="A266" s="79">
        <v>521</v>
      </c>
      <c r="B266" s="115"/>
      <c r="C266" s="57" t="s">
        <v>427</v>
      </c>
      <c r="D266" s="173">
        <v>4.0999999999999996</v>
      </c>
      <c r="E266" s="69">
        <v>1</v>
      </c>
      <c r="F266" s="82" t="s">
        <v>267</v>
      </c>
      <c r="G266" s="165"/>
      <c r="H266" s="75"/>
      <c r="I266" s="83">
        <v>0.3</v>
      </c>
      <c r="J266" s="76">
        <v>1.8</v>
      </c>
      <c r="K266" s="77">
        <v>0.1</v>
      </c>
    </row>
    <row r="267" spans="1:11" x14ac:dyDescent="0.35">
      <c r="A267" s="79">
        <v>522</v>
      </c>
      <c r="B267" s="115"/>
      <c r="C267" s="57" t="s">
        <v>428</v>
      </c>
      <c r="D267" s="173">
        <v>2.99</v>
      </c>
      <c r="E267" s="69">
        <v>1</v>
      </c>
      <c r="F267" s="82" t="s">
        <v>267</v>
      </c>
      <c r="G267" s="165"/>
      <c r="H267" s="75"/>
      <c r="I267" s="83">
        <v>0.3</v>
      </c>
      <c r="J267" s="76">
        <v>1.8</v>
      </c>
      <c r="K267" s="77">
        <v>0.1</v>
      </c>
    </row>
    <row r="268" spans="1:11" x14ac:dyDescent="0.35">
      <c r="A268" s="79"/>
      <c r="B268" s="79">
        <v>4130</v>
      </c>
      <c r="C268" s="161" t="s">
        <v>107</v>
      </c>
      <c r="D268" s="171">
        <v>24</v>
      </c>
      <c r="E268" s="67">
        <v>4</v>
      </c>
      <c r="F268" s="78" t="s">
        <v>265</v>
      </c>
      <c r="G268" s="162">
        <v>7</v>
      </c>
      <c r="H268" s="63" t="s">
        <v>240</v>
      </c>
      <c r="I268" s="72">
        <v>1.4</v>
      </c>
      <c r="J268" s="76">
        <v>0</v>
      </c>
      <c r="K268" s="76">
        <v>0</v>
      </c>
    </row>
    <row r="269" spans="1:11" x14ac:dyDescent="0.35">
      <c r="A269" s="79"/>
      <c r="B269" s="79">
        <v>1750</v>
      </c>
      <c r="C269" s="134" t="s">
        <v>108</v>
      </c>
      <c r="D269" s="171">
        <v>50</v>
      </c>
      <c r="E269" s="67">
        <v>10</v>
      </c>
      <c r="F269" s="78" t="s">
        <v>263</v>
      </c>
      <c r="G269" s="162">
        <v>6</v>
      </c>
      <c r="H269" s="63" t="s">
        <v>239</v>
      </c>
      <c r="I269" s="72">
        <v>3.5</v>
      </c>
      <c r="J269" s="76">
        <v>0</v>
      </c>
      <c r="K269" s="76">
        <v>5</v>
      </c>
    </row>
    <row r="270" spans="1:11" x14ac:dyDescent="0.35">
      <c r="A270" s="79"/>
      <c r="B270" s="79"/>
      <c r="C270" s="57" t="s">
        <v>207</v>
      </c>
      <c r="D270" s="171">
        <v>2.5</v>
      </c>
      <c r="E270" s="67">
        <v>1</v>
      </c>
      <c r="F270" s="78" t="s">
        <v>264</v>
      </c>
      <c r="G270" s="162"/>
      <c r="H270" s="74" t="s">
        <v>595</v>
      </c>
      <c r="I270" s="72">
        <v>0.4</v>
      </c>
      <c r="J270" s="76">
        <v>0</v>
      </c>
      <c r="K270" s="76">
        <v>0</v>
      </c>
    </row>
    <row r="271" spans="1:11" x14ac:dyDescent="0.35">
      <c r="A271" s="79"/>
      <c r="B271" s="79">
        <v>1730</v>
      </c>
      <c r="C271" s="134" t="s">
        <v>109</v>
      </c>
      <c r="D271" s="171">
        <v>9</v>
      </c>
      <c r="E271" s="67">
        <v>2</v>
      </c>
      <c r="F271" s="78" t="s">
        <v>263</v>
      </c>
      <c r="G271" s="162">
        <v>7</v>
      </c>
      <c r="H271" s="63" t="s">
        <v>240</v>
      </c>
      <c r="I271" s="72">
        <v>3.5</v>
      </c>
      <c r="J271" s="76">
        <v>0</v>
      </c>
      <c r="K271" s="76">
        <v>2</v>
      </c>
    </row>
    <row r="272" spans="1:11" x14ac:dyDescent="0.35">
      <c r="A272" s="79"/>
      <c r="B272" s="79">
        <v>59154</v>
      </c>
      <c r="C272" s="134" t="s">
        <v>110</v>
      </c>
      <c r="D272" s="171">
        <v>4</v>
      </c>
      <c r="E272" s="67">
        <v>1</v>
      </c>
      <c r="F272" s="78" t="s">
        <v>264</v>
      </c>
      <c r="G272" s="162">
        <v>9</v>
      </c>
      <c r="H272" s="63" t="s">
        <v>244</v>
      </c>
      <c r="I272" s="72">
        <v>0.3</v>
      </c>
      <c r="J272" s="76">
        <v>0</v>
      </c>
      <c r="K272" s="77">
        <v>0.1</v>
      </c>
    </row>
    <row r="273" spans="1:11" x14ac:dyDescent="0.35">
      <c r="A273" s="148"/>
      <c r="B273" s="148"/>
      <c r="C273" s="57" t="s">
        <v>583</v>
      </c>
      <c r="D273" s="172">
        <f>_xlfn.XLOOKUP(T_Custos[[#This Row],[Produto]],T_Assumpnutry[PRODUTO],T_Assumpnutry[PREÇO KG])</f>
        <v>12</v>
      </c>
      <c r="E273" s="156">
        <v>1</v>
      </c>
      <c r="F273" s="78" t="s">
        <v>263</v>
      </c>
      <c r="G273" s="162"/>
      <c r="H273" s="73" t="s">
        <v>592</v>
      </c>
      <c r="I273" s="157">
        <v>0.4</v>
      </c>
      <c r="J273" s="153">
        <v>0</v>
      </c>
      <c r="K273" s="153">
        <v>0</v>
      </c>
    </row>
    <row r="274" spans="1:11" x14ac:dyDescent="0.35">
      <c r="A274" s="79"/>
      <c r="B274" s="79">
        <v>1731</v>
      </c>
      <c r="C274" s="134" t="s">
        <v>111</v>
      </c>
      <c r="D274" s="171" t="s">
        <v>235</v>
      </c>
      <c r="E274" s="67">
        <v>16</v>
      </c>
      <c r="F274" s="78" t="s">
        <v>263</v>
      </c>
      <c r="G274" s="162">
        <v>5</v>
      </c>
      <c r="H274" s="71" t="s">
        <v>241</v>
      </c>
      <c r="I274" s="72">
        <v>4.8</v>
      </c>
      <c r="J274" s="76">
        <v>0</v>
      </c>
      <c r="K274" s="76">
        <v>5</v>
      </c>
    </row>
    <row r="275" spans="1:11" x14ac:dyDescent="0.35">
      <c r="A275" s="79"/>
      <c r="B275" s="79">
        <v>1732</v>
      </c>
      <c r="C275" s="134" t="s">
        <v>112</v>
      </c>
      <c r="D275" s="171" t="s">
        <v>235</v>
      </c>
      <c r="E275" s="67">
        <v>8</v>
      </c>
      <c r="F275" s="78" t="s">
        <v>263</v>
      </c>
      <c r="G275" s="162">
        <v>7</v>
      </c>
      <c r="H275" s="63" t="s">
        <v>240</v>
      </c>
      <c r="I275" s="72">
        <v>2.5</v>
      </c>
      <c r="J275" s="76">
        <v>0</v>
      </c>
      <c r="K275" s="76">
        <v>3</v>
      </c>
    </row>
    <row r="276" spans="1:11" x14ac:dyDescent="0.35">
      <c r="A276" s="79"/>
      <c r="B276" s="79"/>
      <c r="C276" s="134" t="s">
        <v>113</v>
      </c>
      <c r="D276" s="171" t="s">
        <v>235</v>
      </c>
      <c r="E276" s="67">
        <v>8</v>
      </c>
      <c r="F276" s="78" t="s">
        <v>263</v>
      </c>
      <c r="G276" s="162">
        <v>7</v>
      </c>
      <c r="H276" s="63" t="s">
        <v>240</v>
      </c>
      <c r="I276" s="72">
        <v>2.5</v>
      </c>
      <c r="J276" s="76">
        <v>0</v>
      </c>
      <c r="K276" s="76">
        <v>3</v>
      </c>
    </row>
    <row r="277" spans="1:11" x14ac:dyDescent="0.35">
      <c r="A277" s="79"/>
      <c r="B277" s="79"/>
      <c r="C277" s="57" t="s">
        <v>221</v>
      </c>
      <c r="D277" s="171" t="s">
        <v>235</v>
      </c>
      <c r="E277" s="67">
        <v>1</v>
      </c>
      <c r="F277" s="78" t="s">
        <v>263</v>
      </c>
      <c r="G277" s="162"/>
      <c r="H277" s="74"/>
      <c r="I277" s="72">
        <v>0.4</v>
      </c>
      <c r="J277" s="76">
        <v>0</v>
      </c>
      <c r="K277" s="76">
        <v>2</v>
      </c>
    </row>
    <row r="278" spans="1:11" x14ac:dyDescent="0.35">
      <c r="A278" s="79"/>
      <c r="B278" s="79"/>
      <c r="C278" s="57" t="s">
        <v>218</v>
      </c>
      <c r="D278" s="171">
        <v>4.5</v>
      </c>
      <c r="E278" s="67">
        <v>1</v>
      </c>
      <c r="F278" s="78" t="s">
        <v>264</v>
      </c>
      <c r="G278" s="162"/>
      <c r="H278" s="74"/>
      <c r="I278" s="72">
        <v>0.4</v>
      </c>
      <c r="J278" s="76">
        <v>0</v>
      </c>
      <c r="K278" s="76">
        <v>0</v>
      </c>
    </row>
    <row r="279" spans="1:11" x14ac:dyDescent="0.35">
      <c r="A279" s="79"/>
      <c r="B279" s="79"/>
      <c r="C279" s="161" t="s">
        <v>114</v>
      </c>
      <c r="D279" s="171">
        <v>138</v>
      </c>
      <c r="E279" s="67">
        <v>10</v>
      </c>
      <c r="F279" s="78" t="s">
        <v>264</v>
      </c>
      <c r="G279" s="162">
        <v>9</v>
      </c>
      <c r="H279" s="63" t="s">
        <v>244</v>
      </c>
      <c r="I279" s="72">
        <v>3.1</v>
      </c>
      <c r="J279" s="76">
        <v>0</v>
      </c>
      <c r="K279" s="76">
        <v>0</v>
      </c>
    </row>
    <row r="280" spans="1:11" x14ac:dyDescent="0.35">
      <c r="A280" s="79"/>
      <c r="B280" s="79"/>
      <c r="C280" s="161" t="s">
        <v>115</v>
      </c>
      <c r="D280" s="171">
        <v>150</v>
      </c>
      <c r="E280" s="67">
        <v>12</v>
      </c>
      <c r="F280" s="78" t="s">
        <v>264</v>
      </c>
      <c r="G280" s="162">
        <v>9</v>
      </c>
      <c r="H280" s="63" t="s">
        <v>244</v>
      </c>
      <c r="I280" s="72">
        <v>3.1</v>
      </c>
      <c r="J280" s="76">
        <v>0</v>
      </c>
      <c r="K280" s="76">
        <v>0</v>
      </c>
    </row>
    <row r="281" spans="1:11" x14ac:dyDescent="0.35">
      <c r="A281" s="79"/>
      <c r="B281" s="79">
        <v>47481</v>
      </c>
      <c r="C281" s="161" t="s">
        <v>117</v>
      </c>
      <c r="D281" s="171">
        <v>220</v>
      </c>
      <c r="E281" s="67">
        <v>20</v>
      </c>
      <c r="F281" s="78" t="s">
        <v>455</v>
      </c>
      <c r="G281" s="162">
        <v>9</v>
      </c>
      <c r="H281" s="63" t="s">
        <v>244</v>
      </c>
      <c r="I281" s="72">
        <v>3.1</v>
      </c>
      <c r="J281" s="76">
        <v>0</v>
      </c>
      <c r="K281" s="76">
        <v>0</v>
      </c>
    </row>
    <row r="282" spans="1:11" x14ac:dyDescent="0.35">
      <c r="A282" s="79"/>
      <c r="B282" s="79">
        <v>3669</v>
      </c>
      <c r="C282" s="161" t="s">
        <v>116</v>
      </c>
      <c r="D282" s="171">
        <v>110</v>
      </c>
      <c r="E282" s="67">
        <v>20</v>
      </c>
      <c r="F282" s="78" t="s">
        <v>455</v>
      </c>
      <c r="G282" s="162">
        <v>9</v>
      </c>
      <c r="H282" s="63" t="s">
        <v>244</v>
      </c>
      <c r="I282" s="72">
        <v>3.1</v>
      </c>
      <c r="J282" s="76">
        <v>0</v>
      </c>
      <c r="K282" s="76">
        <v>0</v>
      </c>
    </row>
    <row r="283" spans="1:11" x14ac:dyDescent="0.35">
      <c r="A283" s="79">
        <v>16111</v>
      </c>
      <c r="B283" s="79">
        <v>52807</v>
      </c>
      <c r="C283" s="161" t="s">
        <v>118</v>
      </c>
      <c r="D283" s="171">
        <v>14</v>
      </c>
      <c r="E283" s="67">
        <v>1</v>
      </c>
      <c r="F283" s="78" t="s">
        <v>267</v>
      </c>
      <c r="G283" s="162">
        <v>9</v>
      </c>
      <c r="H283" s="63" t="s">
        <v>244</v>
      </c>
      <c r="I283" s="72">
        <v>3.1</v>
      </c>
      <c r="J283" s="76">
        <v>0</v>
      </c>
      <c r="K283" s="76">
        <v>2</v>
      </c>
    </row>
    <row r="284" spans="1:11" x14ac:dyDescent="0.35">
      <c r="A284" s="79"/>
      <c r="B284" s="79">
        <v>31043</v>
      </c>
      <c r="C284" s="161" t="s">
        <v>119</v>
      </c>
      <c r="D284" s="171">
        <v>114</v>
      </c>
      <c r="E284" s="67">
        <v>15</v>
      </c>
      <c r="F284" s="78" t="s">
        <v>455</v>
      </c>
      <c r="G284" s="162">
        <v>9</v>
      </c>
      <c r="H284" s="63" t="s">
        <v>244</v>
      </c>
      <c r="I284" s="72">
        <v>3.5</v>
      </c>
      <c r="J284" s="76">
        <v>0</v>
      </c>
      <c r="K284" s="76">
        <v>0</v>
      </c>
    </row>
    <row r="285" spans="1:11" x14ac:dyDescent="0.35">
      <c r="A285" s="79"/>
      <c r="B285" s="79"/>
      <c r="C285" s="134" t="s">
        <v>120</v>
      </c>
      <c r="D285" s="171" t="s">
        <v>235</v>
      </c>
      <c r="E285" s="67">
        <v>20</v>
      </c>
      <c r="F285" s="78" t="s">
        <v>455</v>
      </c>
      <c r="G285" s="162">
        <v>9</v>
      </c>
      <c r="H285" s="63" t="s">
        <v>244</v>
      </c>
      <c r="I285" s="72">
        <v>3.1</v>
      </c>
      <c r="J285" s="76">
        <v>0</v>
      </c>
      <c r="K285" s="76">
        <v>0</v>
      </c>
    </row>
    <row r="286" spans="1:11" x14ac:dyDescent="0.35">
      <c r="A286" s="79"/>
      <c r="B286" s="79"/>
      <c r="C286" s="161" t="s">
        <v>121</v>
      </c>
      <c r="D286" s="171">
        <v>210</v>
      </c>
      <c r="E286" s="67">
        <v>30</v>
      </c>
      <c r="F286" s="78" t="s">
        <v>455</v>
      </c>
      <c r="G286" s="162">
        <v>9</v>
      </c>
      <c r="H286" s="63" t="s">
        <v>244</v>
      </c>
      <c r="I286" s="72">
        <v>3.1</v>
      </c>
      <c r="J286" s="76">
        <v>0</v>
      </c>
      <c r="K286" s="76">
        <v>0</v>
      </c>
    </row>
    <row r="287" spans="1:11" x14ac:dyDescent="0.35">
      <c r="A287" s="79"/>
      <c r="B287" s="79"/>
      <c r="C287" s="161" t="s">
        <v>554</v>
      </c>
      <c r="D287" s="171">
        <v>180</v>
      </c>
      <c r="E287" s="67">
        <v>10</v>
      </c>
      <c r="F287" s="78" t="s">
        <v>264</v>
      </c>
      <c r="G287" s="162">
        <v>9</v>
      </c>
      <c r="H287" s="63" t="s">
        <v>244</v>
      </c>
      <c r="I287" s="72">
        <v>3.1</v>
      </c>
      <c r="J287" s="76">
        <v>0</v>
      </c>
      <c r="K287" s="76">
        <v>0</v>
      </c>
    </row>
    <row r="288" spans="1:11" x14ac:dyDescent="0.35">
      <c r="A288" s="79"/>
      <c r="B288" s="79"/>
      <c r="C288" s="134" t="s">
        <v>122</v>
      </c>
      <c r="D288" s="171">
        <v>260</v>
      </c>
      <c r="E288" s="67">
        <v>10</v>
      </c>
      <c r="F288" s="78" t="s">
        <v>264</v>
      </c>
      <c r="G288" s="162">
        <v>9</v>
      </c>
      <c r="H288" s="63" t="s">
        <v>244</v>
      </c>
      <c r="I288" s="72">
        <v>3.1</v>
      </c>
      <c r="J288" s="76">
        <v>0</v>
      </c>
      <c r="K288" s="76">
        <v>0</v>
      </c>
    </row>
    <row r="289" spans="1:11" x14ac:dyDescent="0.35">
      <c r="A289" s="79"/>
      <c r="B289" s="79">
        <v>61625</v>
      </c>
      <c r="C289" s="134" t="s">
        <v>123</v>
      </c>
      <c r="D289" s="171" t="s">
        <v>235</v>
      </c>
      <c r="E289" s="67">
        <v>1</v>
      </c>
      <c r="F289" s="78" t="s">
        <v>455</v>
      </c>
      <c r="G289" s="162">
        <v>9</v>
      </c>
      <c r="H289" s="63" t="s">
        <v>244</v>
      </c>
      <c r="I289" s="72">
        <v>3.1</v>
      </c>
      <c r="J289" s="76">
        <v>0</v>
      </c>
      <c r="K289" s="76">
        <v>0</v>
      </c>
    </row>
    <row r="290" spans="1:11" x14ac:dyDescent="0.35">
      <c r="A290" s="79"/>
      <c r="B290" s="79">
        <v>60051</v>
      </c>
      <c r="C290" s="134" t="s">
        <v>124</v>
      </c>
      <c r="D290" s="171">
        <v>140</v>
      </c>
      <c r="E290" s="67">
        <v>1</v>
      </c>
      <c r="F290" s="78" t="s">
        <v>455</v>
      </c>
      <c r="G290" s="162">
        <v>9</v>
      </c>
      <c r="H290" s="63" t="s">
        <v>244</v>
      </c>
      <c r="I290" s="72">
        <v>3.1</v>
      </c>
      <c r="J290" s="76">
        <v>0</v>
      </c>
      <c r="K290" s="76">
        <v>0</v>
      </c>
    </row>
    <row r="291" spans="1:11" x14ac:dyDescent="0.35">
      <c r="A291" s="79"/>
      <c r="B291" s="79">
        <v>61432</v>
      </c>
      <c r="C291" s="134" t="s">
        <v>125</v>
      </c>
      <c r="D291" s="171" t="s">
        <v>235</v>
      </c>
      <c r="E291" s="67">
        <v>1</v>
      </c>
      <c r="F291" s="78" t="s">
        <v>455</v>
      </c>
      <c r="G291" s="162">
        <v>9</v>
      </c>
      <c r="H291" s="63" t="s">
        <v>244</v>
      </c>
      <c r="I291" s="72">
        <v>3.1</v>
      </c>
      <c r="J291" s="76">
        <v>0</v>
      </c>
      <c r="K291" s="76">
        <v>0</v>
      </c>
    </row>
    <row r="292" spans="1:11" x14ac:dyDescent="0.35">
      <c r="A292" s="79"/>
      <c r="B292" s="79">
        <v>60048</v>
      </c>
      <c r="C292" s="134" t="s">
        <v>126</v>
      </c>
      <c r="D292" s="171" t="s">
        <v>235</v>
      </c>
      <c r="E292" s="67">
        <v>1</v>
      </c>
      <c r="F292" s="78" t="s">
        <v>455</v>
      </c>
      <c r="G292" s="162">
        <v>9</v>
      </c>
      <c r="H292" s="63" t="s">
        <v>244</v>
      </c>
      <c r="I292" s="72">
        <v>3.1</v>
      </c>
      <c r="J292" s="76">
        <v>0</v>
      </c>
      <c r="K292" s="76">
        <v>0</v>
      </c>
    </row>
    <row r="293" spans="1:11" x14ac:dyDescent="0.35">
      <c r="A293" s="79"/>
      <c r="B293" s="79">
        <v>52807</v>
      </c>
      <c r="C293" s="134" t="s">
        <v>127</v>
      </c>
      <c r="D293" s="171">
        <v>14</v>
      </c>
      <c r="E293" s="67">
        <v>1</v>
      </c>
      <c r="F293" s="78" t="s">
        <v>267</v>
      </c>
      <c r="G293" s="162">
        <v>9</v>
      </c>
      <c r="H293" s="63" t="s">
        <v>244</v>
      </c>
      <c r="I293" s="72">
        <v>0.3</v>
      </c>
      <c r="J293" s="76">
        <v>0</v>
      </c>
      <c r="K293" s="76">
        <v>0</v>
      </c>
    </row>
    <row r="294" spans="1:11" x14ac:dyDescent="0.35">
      <c r="A294" s="79"/>
      <c r="B294" s="79">
        <v>29539</v>
      </c>
      <c r="C294" s="161" t="s">
        <v>128</v>
      </c>
      <c r="D294" s="171">
        <v>300</v>
      </c>
      <c r="E294" s="67">
        <v>30</v>
      </c>
      <c r="F294" s="78" t="s">
        <v>455</v>
      </c>
      <c r="G294" s="162">
        <v>9</v>
      </c>
      <c r="H294" s="63" t="s">
        <v>244</v>
      </c>
      <c r="I294" s="72">
        <v>3.1</v>
      </c>
      <c r="J294" s="76">
        <v>0</v>
      </c>
      <c r="K294" s="76">
        <v>0</v>
      </c>
    </row>
    <row r="295" spans="1:11" x14ac:dyDescent="0.35">
      <c r="A295" s="79"/>
      <c r="B295" s="79">
        <v>61355</v>
      </c>
      <c r="C295" s="134" t="s">
        <v>129</v>
      </c>
      <c r="D295" s="171">
        <v>13</v>
      </c>
      <c r="E295" s="67">
        <v>1</v>
      </c>
      <c r="F295" s="78" t="s">
        <v>265</v>
      </c>
      <c r="G295" s="162">
        <v>9</v>
      </c>
      <c r="H295" s="63" t="s">
        <v>244</v>
      </c>
      <c r="I295" s="72">
        <v>0.3</v>
      </c>
      <c r="J295" s="76">
        <v>0</v>
      </c>
      <c r="K295" s="76">
        <v>0</v>
      </c>
    </row>
    <row r="296" spans="1:11" x14ac:dyDescent="0.35">
      <c r="A296" s="79"/>
      <c r="B296" s="79">
        <v>1734</v>
      </c>
      <c r="C296" s="161" t="s">
        <v>130</v>
      </c>
      <c r="D296" s="171">
        <v>20</v>
      </c>
      <c r="E296" s="67">
        <v>18</v>
      </c>
      <c r="F296" s="78" t="s">
        <v>263</v>
      </c>
      <c r="G296" s="162">
        <v>5</v>
      </c>
      <c r="H296" s="71" t="s">
        <v>241</v>
      </c>
      <c r="I296" s="72">
        <v>3.5</v>
      </c>
      <c r="J296" s="76">
        <v>0</v>
      </c>
      <c r="K296" s="76">
        <v>5</v>
      </c>
    </row>
    <row r="297" spans="1:11" x14ac:dyDescent="0.35">
      <c r="A297" s="79"/>
      <c r="B297" s="79">
        <v>4270</v>
      </c>
      <c r="C297" s="161" t="s">
        <v>131</v>
      </c>
      <c r="D297" s="171">
        <v>45</v>
      </c>
      <c r="E297" s="67">
        <v>18</v>
      </c>
      <c r="F297" s="78" t="s">
        <v>263</v>
      </c>
      <c r="G297" s="162">
        <v>5</v>
      </c>
      <c r="H297" s="71" t="s">
        <v>241</v>
      </c>
      <c r="I297" s="72">
        <v>3.5</v>
      </c>
      <c r="J297" s="76">
        <v>0</v>
      </c>
      <c r="K297" s="76">
        <v>5</v>
      </c>
    </row>
    <row r="298" spans="1:11" x14ac:dyDescent="0.35">
      <c r="A298" s="79"/>
      <c r="B298" s="79"/>
      <c r="C298" s="134" t="s">
        <v>387</v>
      </c>
      <c r="D298" s="147">
        <f>IFERROR(_xlfn.XLOOKUP("PEPINO JAPONES",T_Custos[Produto],T_Custos[Custo])/_xlfn.XLOOKUP("PEPINO JAPONES",T_Custos[Produto],T_Custos[Peso])*0.4,"Em falta")</f>
        <v>1</v>
      </c>
      <c r="E298" s="68">
        <v>1</v>
      </c>
      <c r="F298" s="80" t="s">
        <v>363</v>
      </c>
      <c r="G298" s="166">
        <v>5</v>
      </c>
      <c r="H298" s="71" t="s">
        <v>241</v>
      </c>
      <c r="I298" s="72">
        <v>0.3</v>
      </c>
      <c r="J298" s="77">
        <v>0</v>
      </c>
      <c r="K298" s="77">
        <v>0.1</v>
      </c>
    </row>
    <row r="299" spans="1:11" x14ac:dyDescent="0.35">
      <c r="A299" s="79"/>
      <c r="B299" s="79">
        <v>31517</v>
      </c>
      <c r="C299" s="134" t="s">
        <v>132</v>
      </c>
      <c r="D299" s="171" t="s">
        <v>235</v>
      </c>
      <c r="E299" s="67">
        <v>10</v>
      </c>
      <c r="F299" s="78" t="s">
        <v>263</v>
      </c>
      <c r="G299" s="162">
        <v>7</v>
      </c>
      <c r="H299" s="63" t="s">
        <v>240</v>
      </c>
      <c r="I299" s="72">
        <v>3</v>
      </c>
      <c r="J299" s="76">
        <v>0</v>
      </c>
      <c r="K299" s="76">
        <v>3</v>
      </c>
    </row>
    <row r="300" spans="1:11" x14ac:dyDescent="0.35">
      <c r="A300" s="79"/>
      <c r="B300" s="79"/>
      <c r="C300" s="134" t="s">
        <v>468</v>
      </c>
      <c r="D300" s="171" t="s">
        <v>235</v>
      </c>
      <c r="E300" s="87">
        <v>1</v>
      </c>
      <c r="F300" s="78" t="s">
        <v>263</v>
      </c>
      <c r="G300" s="162">
        <v>7</v>
      </c>
      <c r="H300" s="63" t="s">
        <v>240</v>
      </c>
      <c r="I300" s="89">
        <v>0.3</v>
      </c>
      <c r="J300" s="77">
        <v>0</v>
      </c>
      <c r="K300" s="77">
        <v>2</v>
      </c>
    </row>
    <row r="301" spans="1:11" x14ac:dyDescent="0.35">
      <c r="A301" s="79"/>
      <c r="B301" s="79"/>
      <c r="C301" s="134" t="s">
        <v>467</v>
      </c>
      <c r="D301" s="171" t="s">
        <v>235</v>
      </c>
      <c r="E301" s="87">
        <v>18</v>
      </c>
      <c r="F301" s="78" t="s">
        <v>263</v>
      </c>
      <c r="G301" s="162">
        <v>7</v>
      </c>
      <c r="H301" s="63" t="s">
        <v>240</v>
      </c>
      <c r="I301" s="89">
        <v>3.5</v>
      </c>
      <c r="J301" s="77">
        <v>0</v>
      </c>
      <c r="K301" s="77">
        <v>5</v>
      </c>
    </row>
    <row r="302" spans="1:11" x14ac:dyDescent="0.35">
      <c r="A302" s="79"/>
      <c r="B302" s="79">
        <v>1735</v>
      </c>
      <c r="C302" s="161" t="s">
        <v>133</v>
      </c>
      <c r="D302" s="171">
        <v>141.24</v>
      </c>
      <c r="E302" s="67">
        <v>9</v>
      </c>
      <c r="F302" s="78" t="s">
        <v>263</v>
      </c>
      <c r="G302" s="162">
        <v>7</v>
      </c>
      <c r="H302" s="63" t="s">
        <v>240</v>
      </c>
      <c r="I302" s="72">
        <v>2.1</v>
      </c>
      <c r="J302" s="76">
        <v>0</v>
      </c>
      <c r="K302" s="76">
        <v>3</v>
      </c>
    </row>
    <row r="303" spans="1:11" x14ac:dyDescent="0.35">
      <c r="A303" s="79"/>
      <c r="B303" s="79"/>
      <c r="C303" s="134" t="s">
        <v>388</v>
      </c>
      <c r="D303" s="147">
        <f>IFERROR(_xlfn.XLOOKUP("PERA PORTUGUESA",T_Custos[Produto],T_Custos[Custo])/_xlfn.XLOOKUP("PERA PORTUGUESA",T_Custos[Produto],T_Custos[Peso])*0.2,"Em falta")</f>
        <v>3.1386666666666674</v>
      </c>
      <c r="E303" s="68">
        <v>1</v>
      </c>
      <c r="F303" s="80" t="s">
        <v>363</v>
      </c>
      <c r="G303" s="162">
        <v>7</v>
      </c>
      <c r="H303" s="63" t="s">
        <v>240</v>
      </c>
      <c r="I303" s="72">
        <v>0.3</v>
      </c>
      <c r="J303" s="77">
        <v>0</v>
      </c>
      <c r="K303" s="77">
        <v>0.1</v>
      </c>
    </row>
    <row r="304" spans="1:11" x14ac:dyDescent="0.35">
      <c r="A304" s="79"/>
      <c r="B304" s="79">
        <v>6924</v>
      </c>
      <c r="C304" s="134" t="s">
        <v>134</v>
      </c>
      <c r="D304" s="171" t="s">
        <v>235</v>
      </c>
      <c r="E304" s="67">
        <v>18</v>
      </c>
      <c r="F304" s="78" t="s">
        <v>263</v>
      </c>
      <c r="G304" s="162">
        <v>7</v>
      </c>
      <c r="H304" s="63" t="s">
        <v>240</v>
      </c>
      <c r="I304" s="72">
        <v>5.4</v>
      </c>
      <c r="J304" s="76">
        <v>0</v>
      </c>
      <c r="K304" s="76">
        <v>5</v>
      </c>
    </row>
    <row r="305" spans="1:11" x14ac:dyDescent="0.35">
      <c r="A305" s="79"/>
      <c r="B305" s="79">
        <v>1736</v>
      </c>
      <c r="C305" s="161" t="s">
        <v>135</v>
      </c>
      <c r="D305" s="171">
        <v>122</v>
      </c>
      <c r="E305" s="67">
        <v>18</v>
      </c>
      <c r="F305" s="78" t="s">
        <v>263</v>
      </c>
      <c r="G305" s="162">
        <v>7</v>
      </c>
      <c r="H305" s="63" t="s">
        <v>240</v>
      </c>
      <c r="I305" s="72">
        <v>3.5</v>
      </c>
      <c r="J305" s="76">
        <v>0</v>
      </c>
      <c r="K305" s="76">
        <v>5</v>
      </c>
    </row>
    <row r="306" spans="1:11" x14ac:dyDescent="0.35">
      <c r="A306" s="79"/>
      <c r="B306" s="79">
        <v>25944</v>
      </c>
      <c r="C306" s="134" t="s">
        <v>136</v>
      </c>
      <c r="D306" s="171" t="s">
        <v>235</v>
      </c>
      <c r="E306" s="67">
        <v>8</v>
      </c>
      <c r="F306" s="78" t="s">
        <v>263</v>
      </c>
      <c r="G306" s="162">
        <v>7</v>
      </c>
      <c r="H306" s="63" t="s">
        <v>240</v>
      </c>
      <c r="I306" s="72">
        <v>2.5</v>
      </c>
      <c r="J306" s="76">
        <v>0</v>
      </c>
      <c r="K306" s="76">
        <v>3</v>
      </c>
    </row>
    <row r="307" spans="1:11" x14ac:dyDescent="0.35">
      <c r="A307" s="79"/>
      <c r="B307" s="79">
        <v>1737</v>
      </c>
      <c r="C307" s="134" t="s">
        <v>137</v>
      </c>
      <c r="D307" s="171" t="s">
        <v>235</v>
      </c>
      <c r="E307" s="67">
        <v>6</v>
      </c>
      <c r="F307" s="78" t="s">
        <v>263</v>
      </c>
      <c r="G307" s="162">
        <v>7</v>
      </c>
      <c r="H307" s="63" t="s">
        <v>240</v>
      </c>
      <c r="I307" s="72">
        <v>2.5</v>
      </c>
      <c r="J307" s="76">
        <v>0</v>
      </c>
      <c r="K307" s="76">
        <v>3</v>
      </c>
    </row>
    <row r="308" spans="1:11" x14ac:dyDescent="0.35">
      <c r="A308" s="79"/>
      <c r="B308" s="79"/>
      <c r="C308" s="134" t="s">
        <v>501</v>
      </c>
      <c r="D308" s="147" t="str">
        <f>IFERROR(_xlfn.XLOOKUP("PESSEGO NACIONAL",T_Custos[Produto],T_Custos[Custo])/_xlfn.XLOOKUP("PESSEGO NACIONAL",T_Custos[Produto],T_Custos[Peso])*0.5,"Em falta")</f>
        <v>Em falta</v>
      </c>
      <c r="E308" s="87">
        <v>1</v>
      </c>
      <c r="F308" s="88" t="s">
        <v>265</v>
      </c>
      <c r="G308" s="162">
        <v>7</v>
      </c>
      <c r="H308" s="63" t="s">
        <v>240</v>
      </c>
      <c r="I308" s="89">
        <v>0.4</v>
      </c>
      <c r="J308" s="77">
        <v>1.8</v>
      </c>
      <c r="K308" s="77">
        <v>0</v>
      </c>
    </row>
    <row r="309" spans="1:11" x14ac:dyDescent="0.35">
      <c r="A309" s="139"/>
      <c r="B309" s="139"/>
      <c r="C309" s="161" t="s">
        <v>547</v>
      </c>
      <c r="D309" s="171">
        <v>53.3</v>
      </c>
      <c r="E309" s="143">
        <v>8</v>
      </c>
      <c r="F309" s="88" t="s">
        <v>265</v>
      </c>
      <c r="G309" s="162">
        <v>7</v>
      </c>
      <c r="H309" s="63" t="s">
        <v>240</v>
      </c>
      <c r="I309" s="72">
        <v>1.4</v>
      </c>
      <c r="J309" s="142">
        <v>0</v>
      </c>
      <c r="K309" s="142">
        <v>0</v>
      </c>
    </row>
    <row r="310" spans="1:11" x14ac:dyDescent="0.35">
      <c r="A310" s="79"/>
      <c r="B310" s="79">
        <v>29044</v>
      </c>
      <c r="C310" s="134" t="s">
        <v>138</v>
      </c>
      <c r="D310" s="171" t="s">
        <v>235</v>
      </c>
      <c r="E310" s="67">
        <v>1</v>
      </c>
      <c r="F310" s="78" t="s">
        <v>263</v>
      </c>
      <c r="G310" s="162">
        <v>9</v>
      </c>
      <c r="H310" s="63" t="s">
        <v>244</v>
      </c>
      <c r="I310" s="72">
        <v>0.3</v>
      </c>
      <c r="J310" s="76">
        <v>0</v>
      </c>
      <c r="K310" s="76">
        <v>2</v>
      </c>
    </row>
    <row r="311" spans="1:11" x14ac:dyDescent="0.35">
      <c r="A311" s="79"/>
      <c r="B311" s="79">
        <v>3562</v>
      </c>
      <c r="C311" s="134" t="s">
        <v>139</v>
      </c>
      <c r="D311" s="171" t="s">
        <v>235</v>
      </c>
      <c r="E311" s="67">
        <v>1</v>
      </c>
      <c r="F311" s="78" t="s">
        <v>263</v>
      </c>
      <c r="G311" s="162">
        <v>9</v>
      </c>
      <c r="H311" s="63" t="s">
        <v>244</v>
      </c>
      <c r="I311" s="72">
        <v>0.3</v>
      </c>
      <c r="J311" s="76">
        <v>0</v>
      </c>
      <c r="K311" s="76">
        <v>2</v>
      </c>
    </row>
    <row r="312" spans="1:11" x14ac:dyDescent="0.35">
      <c r="A312" s="79"/>
      <c r="B312" s="79">
        <v>3543</v>
      </c>
      <c r="C312" s="134" t="s">
        <v>140</v>
      </c>
      <c r="D312" s="171" t="s">
        <v>235</v>
      </c>
      <c r="E312" s="67">
        <v>1</v>
      </c>
      <c r="F312" s="78" t="s">
        <v>263</v>
      </c>
      <c r="G312" s="162">
        <v>9</v>
      </c>
      <c r="H312" s="63" t="s">
        <v>244</v>
      </c>
      <c r="I312" s="72">
        <v>0.3</v>
      </c>
      <c r="J312" s="76">
        <v>0</v>
      </c>
      <c r="K312" s="76">
        <v>2</v>
      </c>
    </row>
    <row r="313" spans="1:11" x14ac:dyDescent="0.35">
      <c r="A313" s="79"/>
      <c r="B313" s="79">
        <v>49976</v>
      </c>
      <c r="C313" s="161" t="s">
        <v>141</v>
      </c>
      <c r="D313" s="171">
        <v>20</v>
      </c>
      <c r="E313" s="67">
        <v>1</v>
      </c>
      <c r="F313" s="78" t="s">
        <v>263</v>
      </c>
      <c r="G313" s="162">
        <v>9</v>
      </c>
      <c r="H313" s="63" t="s">
        <v>244</v>
      </c>
      <c r="I313" s="72">
        <v>0.3</v>
      </c>
      <c r="J313" s="76">
        <v>0</v>
      </c>
      <c r="K313" s="76">
        <v>2</v>
      </c>
    </row>
    <row r="314" spans="1:11" x14ac:dyDescent="0.35">
      <c r="A314" s="79">
        <v>372</v>
      </c>
      <c r="B314" s="79"/>
      <c r="C314" s="134" t="s">
        <v>429</v>
      </c>
      <c r="D314" s="147">
        <f>IFERROR(_xlfn.XLOOKUP("PIMENTA DE CHEIRO",T_Custos[Produto],T_Custos[Custo])/_xlfn.XLOOKUP("PIMENTA DE CHEIRO",T_Custos[Produto],T_Custos[Peso])*0.1,"Em falta")</f>
        <v>2</v>
      </c>
      <c r="E314" s="67">
        <v>1</v>
      </c>
      <c r="F314" s="78" t="s">
        <v>265</v>
      </c>
      <c r="G314" s="162">
        <v>9</v>
      </c>
      <c r="H314" s="74" t="s">
        <v>244</v>
      </c>
      <c r="I314" s="83">
        <v>0.3</v>
      </c>
      <c r="J314" s="76">
        <v>1.8</v>
      </c>
      <c r="K314" s="77">
        <v>0.1</v>
      </c>
    </row>
    <row r="315" spans="1:11" x14ac:dyDescent="0.35">
      <c r="A315" s="79"/>
      <c r="B315" s="79">
        <v>1738</v>
      </c>
      <c r="C315" s="161" t="s">
        <v>142</v>
      </c>
      <c r="D315" s="171">
        <v>15</v>
      </c>
      <c r="E315" s="67">
        <v>1</v>
      </c>
      <c r="F315" s="78" t="s">
        <v>263</v>
      </c>
      <c r="G315" s="162">
        <v>9</v>
      </c>
      <c r="H315" s="63" t="s">
        <v>244</v>
      </c>
      <c r="I315" s="72">
        <v>0.35</v>
      </c>
      <c r="J315" s="76">
        <v>0</v>
      </c>
      <c r="K315" s="76">
        <v>2</v>
      </c>
    </row>
    <row r="316" spans="1:11" x14ac:dyDescent="0.35">
      <c r="A316" s="79">
        <v>370</v>
      </c>
      <c r="B316" s="79"/>
      <c r="C316" s="134" t="s">
        <v>430</v>
      </c>
      <c r="D316" s="147">
        <f>IFERROR(_xlfn.XLOOKUP("PIMENTA DEDO DE MOCA",T_Custos[Produto],T_Custos[Custo])/_xlfn.XLOOKUP("PIMENTA DEDO DE MOCA",T_Custos[Produto],T_Custos[Peso])*0.1,"Em falta")</f>
        <v>1.5</v>
      </c>
      <c r="E316" s="67">
        <v>1</v>
      </c>
      <c r="F316" s="78" t="s">
        <v>265</v>
      </c>
      <c r="G316" s="162">
        <v>9</v>
      </c>
      <c r="H316" s="74" t="s">
        <v>244</v>
      </c>
      <c r="I316" s="83">
        <v>0.3</v>
      </c>
      <c r="J316" s="76">
        <v>1.8</v>
      </c>
      <c r="K316" s="77">
        <v>0.1</v>
      </c>
    </row>
    <row r="317" spans="1:11" x14ac:dyDescent="0.35">
      <c r="A317" s="79"/>
      <c r="B317" s="79">
        <v>65099</v>
      </c>
      <c r="C317" s="134" t="s">
        <v>143</v>
      </c>
      <c r="D317" s="171">
        <v>35</v>
      </c>
      <c r="E317" s="67">
        <v>1</v>
      </c>
      <c r="F317" s="78" t="s">
        <v>263</v>
      </c>
      <c r="G317" s="162">
        <v>9</v>
      </c>
      <c r="H317" s="63" t="s">
        <v>244</v>
      </c>
      <c r="I317" s="72">
        <v>0.3</v>
      </c>
      <c r="J317" s="76">
        <v>0</v>
      </c>
      <c r="K317" s="76">
        <v>2</v>
      </c>
    </row>
    <row r="318" spans="1:11" x14ac:dyDescent="0.35">
      <c r="A318" s="79"/>
      <c r="B318" s="79">
        <v>7730</v>
      </c>
      <c r="C318" s="134" t="s">
        <v>144</v>
      </c>
      <c r="D318" s="171">
        <v>25</v>
      </c>
      <c r="E318" s="67">
        <v>1</v>
      </c>
      <c r="F318" s="78" t="s">
        <v>263</v>
      </c>
      <c r="G318" s="162">
        <v>9</v>
      </c>
      <c r="H318" s="63" t="s">
        <v>244</v>
      </c>
      <c r="I318" s="72">
        <v>0.3</v>
      </c>
      <c r="J318" s="76">
        <v>0</v>
      </c>
      <c r="K318" s="76">
        <v>2</v>
      </c>
    </row>
    <row r="319" spans="1:11" x14ac:dyDescent="0.35">
      <c r="A319" s="79"/>
      <c r="B319" s="79">
        <v>1739</v>
      </c>
      <c r="C319" s="161" t="s">
        <v>145</v>
      </c>
      <c r="D319" s="171">
        <v>25</v>
      </c>
      <c r="E319" s="67">
        <v>1</v>
      </c>
      <c r="F319" s="78" t="s">
        <v>263</v>
      </c>
      <c r="G319" s="162">
        <v>9</v>
      </c>
      <c r="H319" s="63" t="s">
        <v>244</v>
      </c>
      <c r="I319" s="72">
        <v>0.35</v>
      </c>
      <c r="J319" s="76">
        <v>0</v>
      </c>
      <c r="K319" s="76">
        <v>2</v>
      </c>
    </row>
    <row r="320" spans="1:11" x14ac:dyDescent="0.35">
      <c r="A320" s="79">
        <v>371</v>
      </c>
      <c r="B320" s="79"/>
      <c r="C320" s="134" t="s">
        <v>431</v>
      </c>
      <c r="D320" s="147">
        <f>IFERROR(_xlfn.XLOOKUP("PIMENTA MALAGUETA",T_Custos[Produto],T_Custos[Custo])/_xlfn.XLOOKUP("PIMENTA MALAGUETA",T_Custos[Produto],T_Custos[Peso])*0.1,"Em falta")</f>
        <v>2.5</v>
      </c>
      <c r="E320" s="67">
        <v>1</v>
      </c>
      <c r="F320" s="78" t="s">
        <v>265</v>
      </c>
      <c r="G320" s="162">
        <v>9</v>
      </c>
      <c r="H320" s="74" t="s">
        <v>244</v>
      </c>
      <c r="I320" s="83">
        <v>0.3</v>
      </c>
      <c r="J320" s="76">
        <v>1.8</v>
      </c>
      <c r="K320" s="77">
        <v>0.1</v>
      </c>
    </row>
    <row r="321" spans="1:11" x14ac:dyDescent="0.35">
      <c r="A321" s="79"/>
      <c r="B321" s="79">
        <v>1740</v>
      </c>
      <c r="C321" s="161" t="s">
        <v>146</v>
      </c>
      <c r="D321" s="171">
        <v>90</v>
      </c>
      <c r="E321" s="67">
        <v>10</v>
      </c>
      <c r="F321" s="78" t="s">
        <v>263</v>
      </c>
      <c r="G321" s="162">
        <v>9</v>
      </c>
      <c r="H321" s="63" t="s">
        <v>244</v>
      </c>
      <c r="I321" s="72">
        <v>3.5</v>
      </c>
      <c r="J321" s="76">
        <v>0</v>
      </c>
      <c r="K321" s="76">
        <v>3</v>
      </c>
    </row>
    <row r="322" spans="1:11" x14ac:dyDescent="0.35">
      <c r="A322" s="79"/>
      <c r="B322" s="79"/>
      <c r="C322" s="134" t="s">
        <v>389</v>
      </c>
      <c r="D322" s="147">
        <f>IFERROR(_xlfn.XLOOKUP("PIMENTAO AMARELO",T_Custos[Produto],T_Custos[Custo])/_xlfn.XLOOKUP("PIMENTAO AMARELO",T_Custos[Produto],T_Custos[Peso])*0.25,"Em falta")</f>
        <v>2.25</v>
      </c>
      <c r="E322" s="68">
        <v>1</v>
      </c>
      <c r="F322" s="80" t="s">
        <v>363</v>
      </c>
      <c r="G322" s="166">
        <v>9</v>
      </c>
      <c r="H322" s="71" t="s">
        <v>244</v>
      </c>
      <c r="I322" s="72">
        <v>0.3</v>
      </c>
      <c r="J322" s="77">
        <v>0</v>
      </c>
      <c r="K322" s="77">
        <v>0.1</v>
      </c>
    </row>
    <row r="323" spans="1:11" x14ac:dyDescent="0.35">
      <c r="A323" s="79"/>
      <c r="B323" s="79">
        <v>1741</v>
      </c>
      <c r="C323" s="161" t="s">
        <v>147</v>
      </c>
      <c r="D323" s="171">
        <v>40</v>
      </c>
      <c r="E323" s="67">
        <v>10</v>
      </c>
      <c r="F323" s="78" t="s">
        <v>263</v>
      </c>
      <c r="G323" s="162">
        <v>5</v>
      </c>
      <c r="H323" s="71" t="s">
        <v>241</v>
      </c>
      <c r="I323" s="72">
        <v>3.5</v>
      </c>
      <c r="J323" s="76">
        <v>0</v>
      </c>
      <c r="K323" s="76">
        <v>5</v>
      </c>
    </row>
    <row r="324" spans="1:11" x14ac:dyDescent="0.35">
      <c r="A324" s="79"/>
      <c r="B324" s="79"/>
      <c r="C324" s="134" t="s">
        <v>390</v>
      </c>
      <c r="D324" s="147">
        <f>IFERROR(_xlfn.XLOOKUP("PIMENTAO VERDE",T_Custos[Produto],T_Custos[Custo])/_xlfn.XLOOKUP("PIMENTAO VERDE",T_Custos[Produto],T_Custos[Peso])*0.22,"Em falta")</f>
        <v>0.88</v>
      </c>
      <c r="E324" s="68">
        <v>1</v>
      </c>
      <c r="F324" s="80" t="s">
        <v>363</v>
      </c>
      <c r="G324" s="166">
        <v>5</v>
      </c>
      <c r="H324" s="71" t="s">
        <v>241</v>
      </c>
      <c r="I324" s="72">
        <v>0.3</v>
      </c>
      <c r="J324" s="77">
        <v>0</v>
      </c>
      <c r="K324" s="77">
        <v>0.1</v>
      </c>
    </row>
    <row r="325" spans="1:11" x14ac:dyDescent="0.35">
      <c r="A325" s="79"/>
      <c r="B325" s="79">
        <v>1742</v>
      </c>
      <c r="C325" s="161" t="s">
        <v>148</v>
      </c>
      <c r="D325" s="171">
        <v>90</v>
      </c>
      <c r="E325" s="67">
        <v>10</v>
      </c>
      <c r="F325" s="78" t="s">
        <v>263</v>
      </c>
      <c r="G325" s="162">
        <v>9</v>
      </c>
      <c r="H325" s="63" t="s">
        <v>244</v>
      </c>
      <c r="I325" s="72">
        <v>3.5</v>
      </c>
      <c r="J325" s="76">
        <v>0</v>
      </c>
      <c r="K325" s="76">
        <v>3</v>
      </c>
    </row>
    <row r="326" spans="1:11" x14ac:dyDescent="0.35">
      <c r="A326" s="79"/>
      <c r="B326" s="79"/>
      <c r="C326" s="134" t="s">
        <v>391</v>
      </c>
      <c r="D326" s="147">
        <f>IFERROR(_xlfn.XLOOKUP("PIMENTAO VERMELHO",T_Custos[Produto],T_Custos[Custo])/_xlfn.XLOOKUP("PIMENTAO VERMELHO",T_Custos[Produto],T_Custos[Peso])*0.25,"Em falta")</f>
        <v>2.25</v>
      </c>
      <c r="E326" s="68">
        <v>1</v>
      </c>
      <c r="F326" s="80" t="s">
        <v>363</v>
      </c>
      <c r="G326" s="166">
        <v>9</v>
      </c>
      <c r="H326" s="71" t="s">
        <v>244</v>
      </c>
      <c r="I326" s="72">
        <v>0.3</v>
      </c>
      <c r="J326" s="77">
        <v>0</v>
      </c>
      <c r="K326" s="77">
        <v>0.1</v>
      </c>
    </row>
    <row r="327" spans="1:11" x14ac:dyDescent="0.35">
      <c r="A327" s="79"/>
      <c r="B327" s="79">
        <v>63386</v>
      </c>
      <c r="C327" s="161" t="s">
        <v>149</v>
      </c>
      <c r="D327" s="171">
        <v>10</v>
      </c>
      <c r="E327" s="67">
        <v>1</v>
      </c>
      <c r="F327" s="78" t="s">
        <v>263</v>
      </c>
      <c r="G327" s="162">
        <v>6</v>
      </c>
      <c r="H327" s="63" t="s">
        <v>239</v>
      </c>
      <c r="I327" s="72">
        <v>0.6</v>
      </c>
      <c r="J327" s="76">
        <v>0</v>
      </c>
      <c r="K327" s="76">
        <v>2</v>
      </c>
    </row>
    <row r="328" spans="1:11" x14ac:dyDescent="0.35">
      <c r="A328" s="79"/>
      <c r="B328" s="79">
        <v>29651</v>
      </c>
      <c r="C328" s="134" t="s">
        <v>150</v>
      </c>
      <c r="D328" s="171" t="s">
        <v>235</v>
      </c>
      <c r="E328" s="67">
        <v>20</v>
      </c>
      <c r="F328" s="78" t="s">
        <v>263</v>
      </c>
      <c r="G328" s="162">
        <v>7</v>
      </c>
      <c r="H328" s="63" t="s">
        <v>240</v>
      </c>
      <c r="I328" s="72">
        <v>6</v>
      </c>
      <c r="J328" s="76">
        <v>0</v>
      </c>
      <c r="K328" s="76">
        <v>5</v>
      </c>
    </row>
    <row r="329" spans="1:11" x14ac:dyDescent="0.35">
      <c r="A329" s="79"/>
      <c r="B329" s="79">
        <v>16449</v>
      </c>
      <c r="C329" s="161" t="s">
        <v>497</v>
      </c>
      <c r="D329" s="171">
        <v>29.69</v>
      </c>
      <c r="E329" s="67">
        <v>4</v>
      </c>
      <c r="F329" s="78" t="s">
        <v>263</v>
      </c>
      <c r="G329" s="162">
        <v>7</v>
      </c>
      <c r="H329" s="63" t="s">
        <v>240</v>
      </c>
      <c r="I329" s="72">
        <v>2.4</v>
      </c>
      <c r="J329" s="76">
        <v>0</v>
      </c>
      <c r="K329" s="76">
        <v>2</v>
      </c>
    </row>
    <row r="330" spans="1:11" x14ac:dyDescent="0.35">
      <c r="A330" s="79"/>
      <c r="B330" s="79"/>
      <c r="C330" s="57" t="s">
        <v>217</v>
      </c>
      <c r="D330" s="171">
        <v>4.5</v>
      </c>
      <c r="E330" s="67">
        <v>1</v>
      </c>
      <c r="F330" s="78" t="s">
        <v>264</v>
      </c>
      <c r="G330" s="162"/>
      <c r="H330" s="74"/>
      <c r="I330" s="72">
        <v>0.4</v>
      </c>
      <c r="J330" s="76">
        <v>0</v>
      </c>
      <c r="K330" s="76">
        <v>0</v>
      </c>
    </row>
    <row r="331" spans="1:11" x14ac:dyDescent="0.35">
      <c r="A331" s="120"/>
      <c r="B331" s="120"/>
      <c r="C331" s="57" t="s">
        <v>511</v>
      </c>
      <c r="D331" s="171" t="s">
        <v>235</v>
      </c>
      <c r="E331" s="121">
        <v>1</v>
      </c>
      <c r="F331" s="88" t="s">
        <v>267</v>
      </c>
      <c r="G331" s="167"/>
      <c r="H331" s="122"/>
      <c r="I331" s="123">
        <v>0.4</v>
      </c>
      <c r="J331" s="76">
        <v>0</v>
      </c>
      <c r="K331" s="76">
        <v>0</v>
      </c>
    </row>
    <row r="332" spans="1:11" x14ac:dyDescent="0.35">
      <c r="A332" s="79"/>
      <c r="B332" s="79">
        <v>1750</v>
      </c>
      <c r="C332" s="134" t="s">
        <v>152</v>
      </c>
      <c r="D332" s="171">
        <v>50</v>
      </c>
      <c r="E332" s="67">
        <v>9</v>
      </c>
      <c r="F332" s="78" t="s">
        <v>263</v>
      </c>
      <c r="G332" s="162">
        <v>6</v>
      </c>
      <c r="H332" s="63" t="s">
        <v>239</v>
      </c>
      <c r="I332" s="72">
        <v>3.5</v>
      </c>
      <c r="J332" s="76">
        <v>0</v>
      </c>
      <c r="K332" s="76">
        <v>3</v>
      </c>
    </row>
    <row r="333" spans="1:11" x14ac:dyDescent="0.35">
      <c r="A333" s="79"/>
      <c r="B333" s="79">
        <v>1750</v>
      </c>
      <c r="C333" s="134" t="s">
        <v>461</v>
      </c>
      <c r="D333" s="171" t="s">
        <v>235</v>
      </c>
      <c r="E333" s="67">
        <v>16</v>
      </c>
      <c r="F333" s="78" t="s">
        <v>263</v>
      </c>
      <c r="G333" s="162">
        <v>6</v>
      </c>
      <c r="H333" s="63" t="s">
        <v>239</v>
      </c>
      <c r="I333" s="72">
        <v>3.5</v>
      </c>
      <c r="J333" s="76">
        <v>0</v>
      </c>
      <c r="K333" s="76">
        <v>5</v>
      </c>
    </row>
    <row r="334" spans="1:11" x14ac:dyDescent="0.35">
      <c r="A334" s="79"/>
      <c r="B334" s="79"/>
      <c r="C334" s="134" t="s">
        <v>392</v>
      </c>
      <c r="D334" s="147">
        <f>IFERROR(_xlfn.XLOOKUP("PONKAN",T_Custos[Produto],T_Custos[Custo])/_xlfn.XLOOKUP("PONKAN",T_Custos[Produto],T_Custos[Peso])*0.2,"Em falta")</f>
        <v>1.1111111111111112</v>
      </c>
      <c r="E334" s="68">
        <v>1</v>
      </c>
      <c r="F334" s="80" t="s">
        <v>363</v>
      </c>
      <c r="G334" s="162">
        <v>6</v>
      </c>
      <c r="H334" s="63" t="s">
        <v>239</v>
      </c>
      <c r="I334" s="72">
        <v>0.3</v>
      </c>
      <c r="J334" s="77">
        <v>0</v>
      </c>
      <c r="K334" s="77">
        <v>0.1</v>
      </c>
    </row>
    <row r="335" spans="1:11" x14ac:dyDescent="0.35">
      <c r="A335" s="148"/>
      <c r="B335" s="148"/>
      <c r="C335" s="134" t="s">
        <v>555</v>
      </c>
      <c r="D335" s="171">
        <v>18</v>
      </c>
      <c r="E335" s="151">
        <v>1</v>
      </c>
      <c r="F335" s="88" t="s">
        <v>265</v>
      </c>
      <c r="G335" s="162">
        <v>9</v>
      </c>
      <c r="H335" s="63" t="s">
        <v>244</v>
      </c>
      <c r="I335" s="152">
        <v>0.3</v>
      </c>
      <c r="J335" s="153">
        <v>1.8</v>
      </c>
      <c r="K335" s="153">
        <v>0.1</v>
      </c>
    </row>
    <row r="336" spans="1:11" x14ac:dyDescent="0.35">
      <c r="A336" s="79"/>
      <c r="B336" s="79">
        <v>59772</v>
      </c>
      <c r="C336" s="134" t="s">
        <v>153</v>
      </c>
      <c r="D336" s="171" t="s">
        <v>235</v>
      </c>
      <c r="E336" s="67">
        <v>1</v>
      </c>
      <c r="F336" s="78" t="s">
        <v>265</v>
      </c>
      <c r="G336" s="162">
        <v>5</v>
      </c>
      <c r="H336" s="71" t="s">
        <v>241</v>
      </c>
      <c r="I336" s="72">
        <v>0.3</v>
      </c>
      <c r="J336" s="76">
        <v>0</v>
      </c>
      <c r="K336" s="76">
        <v>0</v>
      </c>
    </row>
    <row r="337" spans="1:11" x14ac:dyDescent="0.35">
      <c r="A337" s="79"/>
      <c r="B337" s="79">
        <v>1743</v>
      </c>
      <c r="C337" s="161" t="s">
        <v>154</v>
      </c>
      <c r="D337" s="171">
        <v>75</v>
      </c>
      <c r="E337" s="67">
        <v>20</v>
      </c>
      <c r="F337" s="78" t="s">
        <v>265</v>
      </c>
      <c r="G337" s="162">
        <v>5</v>
      </c>
      <c r="H337" s="71" t="s">
        <v>241</v>
      </c>
      <c r="I337" s="72">
        <v>3.5</v>
      </c>
      <c r="J337" s="76">
        <v>0</v>
      </c>
      <c r="K337" s="76">
        <v>5</v>
      </c>
    </row>
    <row r="338" spans="1:11" x14ac:dyDescent="0.35">
      <c r="A338" s="79"/>
      <c r="B338" s="79"/>
      <c r="C338" s="161" t="s">
        <v>155</v>
      </c>
      <c r="D338" s="171">
        <v>80</v>
      </c>
      <c r="E338" s="67">
        <v>10</v>
      </c>
      <c r="F338" s="78" t="s">
        <v>263</v>
      </c>
      <c r="G338" s="162">
        <v>5</v>
      </c>
      <c r="H338" s="71" t="s">
        <v>241</v>
      </c>
      <c r="I338" s="72">
        <v>3.5</v>
      </c>
      <c r="J338" s="76">
        <v>0</v>
      </c>
      <c r="K338" s="76">
        <v>5</v>
      </c>
    </row>
    <row r="339" spans="1:11" x14ac:dyDescent="0.35">
      <c r="A339" s="79"/>
      <c r="B339" s="79"/>
      <c r="C339" s="57" t="s">
        <v>208</v>
      </c>
      <c r="D339" s="171">
        <v>4</v>
      </c>
      <c r="E339" s="67">
        <v>1</v>
      </c>
      <c r="F339" s="78" t="s">
        <v>264</v>
      </c>
      <c r="G339" s="162"/>
      <c r="H339" s="74" t="s">
        <v>595</v>
      </c>
      <c r="I339" s="72">
        <v>0.4</v>
      </c>
      <c r="J339" s="76">
        <v>0</v>
      </c>
      <c r="K339" s="76">
        <v>0</v>
      </c>
    </row>
    <row r="340" spans="1:11" x14ac:dyDescent="0.35">
      <c r="A340" s="148"/>
      <c r="B340" s="148"/>
      <c r="C340" s="57" t="s">
        <v>584</v>
      </c>
      <c r="D340" s="172">
        <f>_xlfn.XLOOKUP(T_Custos[[#This Row],[Produto]],T_Assumpnutry[PRODUTO],T_Assumpnutry[PREÇO KG])</f>
        <v>12</v>
      </c>
      <c r="E340" s="156">
        <v>1</v>
      </c>
      <c r="F340" s="78" t="s">
        <v>263</v>
      </c>
      <c r="G340" s="162"/>
      <c r="H340" s="73" t="s">
        <v>592</v>
      </c>
      <c r="I340" s="157">
        <v>0.4</v>
      </c>
      <c r="J340" s="153">
        <v>0</v>
      </c>
      <c r="K340" s="153">
        <v>0</v>
      </c>
    </row>
    <row r="341" spans="1:11" x14ac:dyDescent="0.35">
      <c r="A341" s="79"/>
      <c r="B341" s="79"/>
      <c r="C341" s="57" t="s">
        <v>232</v>
      </c>
      <c r="D341" s="171">
        <v>3.5</v>
      </c>
      <c r="E341" s="67">
        <v>1</v>
      </c>
      <c r="F341" s="78" t="s">
        <v>264</v>
      </c>
      <c r="G341" s="162"/>
      <c r="H341" s="74"/>
      <c r="I341" s="72">
        <v>0.4</v>
      </c>
      <c r="J341" s="76">
        <v>0</v>
      </c>
      <c r="K341" s="76">
        <v>0</v>
      </c>
    </row>
    <row r="342" spans="1:11" x14ac:dyDescent="0.35">
      <c r="A342" s="79"/>
      <c r="B342" s="79">
        <v>1746</v>
      </c>
      <c r="C342" s="161" t="s">
        <v>156</v>
      </c>
      <c r="D342" s="171">
        <v>55</v>
      </c>
      <c r="E342" s="67">
        <v>15</v>
      </c>
      <c r="F342" s="78" t="s">
        <v>263</v>
      </c>
      <c r="G342" s="162">
        <v>5</v>
      </c>
      <c r="H342" s="71" t="s">
        <v>241</v>
      </c>
      <c r="I342" s="72">
        <v>3.5</v>
      </c>
      <c r="J342" s="76">
        <v>0</v>
      </c>
      <c r="K342" s="76">
        <v>5</v>
      </c>
    </row>
    <row r="343" spans="1:11" x14ac:dyDescent="0.35">
      <c r="A343" s="148"/>
      <c r="B343" s="148"/>
      <c r="C343" s="57" t="s">
        <v>585</v>
      </c>
      <c r="D343" s="172">
        <f>_xlfn.XLOOKUP(T_Custos[[#This Row],[Produto]],T_Assumpnutry[PRODUTO],T_Assumpnutry[PREÇO KG])</f>
        <v>8.5</v>
      </c>
      <c r="E343" s="156">
        <v>1</v>
      </c>
      <c r="F343" s="78" t="s">
        <v>263</v>
      </c>
      <c r="G343" s="162"/>
      <c r="H343" s="73" t="s">
        <v>592</v>
      </c>
      <c r="I343" s="157">
        <v>0.4</v>
      </c>
      <c r="J343" s="153">
        <v>0</v>
      </c>
      <c r="K343" s="153">
        <v>0</v>
      </c>
    </row>
    <row r="344" spans="1:11" x14ac:dyDescent="0.35">
      <c r="A344" s="79"/>
      <c r="B344" s="79">
        <v>1745</v>
      </c>
      <c r="C344" s="161" t="s">
        <v>157</v>
      </c>
      <c r="D344" s="175">
        <v>25</v>
      </c>
      <c r="E344" s="67">
        <v>15</v>
      </c>
      <c r="F344" s="78" t="s">
        <v>263</v>
      </c>
      <c r="G344" s="162">
        <v>5</v>
      </c>
      <c r="H344" s="71" t="s">
        <v>241</v>
      </c>
      <c r="I344" s="72">
        <v>3.5</v>
      </c>
      <c r="J344" s="76">
        <v>0</v>
      </c>
      <c r="K344" s="76">
        <v>5</v>
      </c>
    </row>
    <row r="345" spans="1:11" x14ac:dyDescent="0.35">
      <c r="A345" s="148"/>
      <c r="B345" s="148"/>
      <c r="C345" s="57" t="s">
        <v>586</v>
      </c>
      <c r="D345" s="172">
        <f>_xlfn.XLOOKUP(T_Custos[[#This Row],[Produto]],T_Assumpnutry[PRODUTO],T_Assumpnutry[PREÇO KG])</f>
        <v>9</v>
      </c>
      <c r="E345" s="156">
        <v>1</v>
      </c>
      <c r="F345" s="78" t="s">
        <v>263</v>
      </c>
      <c r="G345" s="162"/>
      <c r="H345" s="73" t="s">
        <v>592</v>
      </c>
      <c r="I345" s="157">
        <v>0.4</v>
      </c>
      <c r="J345" s="153">
        <v>0</v>
      </c>
      <c r="K345" s="153">
        <v>0</v>
      </c>
    </row>
    <row r="346" spans="1:11" x14ac:dyDescent="0.35">
      <c r="A346" s="79"/>
      <c r="B346" s="79">
        <v>17612</v>
      </c>
      <c r="C346" s="134" t="s">
        <v>158</v>
      </c>
      <c r="D346" s="171" t="s">
        <v>235</v>
      </c>
      <c r="E346" s="67">
        <v>3</v>
      </c>
      <c r="F346" s="78" t="s">
        <v>263</v>
      </c>
      <c r="G346" s="162">
        <v>7</v>
      </c>
      <c r="H346" s="63" t="s">
        <v>240</v>
      </c>
      <c r="I346" s="72">
        <v>0.9</v>
      </c>
      <c r="J346" s="76">
        <v>0</v>
      </c>
      <c r="K346" s="76">
        <v>2</v>
      </c>
    </row>
    <row r="347" spans="1:11" x14ac:dyDescent="0.35">
      <c r="A347" s="126"/>
      <c r="B347" s="126"/>
      <c r="C347" s="161" t="s">
        <v>530</v>
      </c>
      <c r="D347" s="171">
        <v>90</v>
      </c>
      <c r="E347" s="127">
        <v>4</v>
      </c>
      <c r="F347" s="78" t="s">
        <v>263</v>
      </c>
      <c r="G347" s="162">
        <v>7</v>
      </c>
      <c r="H347" s="63" t="s">
        <v>240</v>
      </c>
      <c r="I347" s="72">
        <v>0.9</v>
      </c>
      <c r="J347" s="76">
        <v>0</v>
      </c>
      <c r="K347" s="76">
        <v>2</v>
      </c>
    </row>
    <row r="348" spans="1:11" x14ac:dyDescent="0.35">
      <c r="A348" s="79"/>
      <c r="B348" s="79"/>
      <c r="C348" s="57" t="s">
        <v>209</v>
      </c>
      <c r="D348" s="171">
        <v>2</v>
      </c>
      <c r="E348" s="67">
        <v>1</v>
      </c>
      <c r="F348" s="78" t="s">
        <v>264</v>
      </c>
      <c r="G348" s="162"/>
      <c r="H348" s="74" t="s">
        <v>595</v>
      </c>
      <c r="I348" s="72">
        <v>0.4</v>
      </c>
      <c r="J348" s="76">
        <v>0</v>
      </c>
      <c r="K348" s="76">
        <v>0</v>
      </c>
    </row>
    <row r="349" spans="1:11" x14ac:dyDescent="0.35">
      <c r="A349" s="79">
        <v>523</v>
      </c>
      <c r="B349" s="115"/>
      <c r="C349" s="57" t="s">
        <v>432</v>
      </c>
      <c r="D349" s="173">
        <v>2.99</v>
      </c>
      <c r="E349" s="69">
        <v>1</v>
      </c>
      <c r="F349" s="82" t="s">
        <v>267</v>
      </c>
      <c r="G349" s="165"/>
      <c r="H349" s="75"/>
      <c r="I349" s="83">
        <v>0.3</v>
      </c>
      <c r="J349" s="76">
        <v>1.8</v>
      </c>
      <c r="K349" s="77">
        <v>0.1</v>
      </c>
    </row>
    <row r="350" spans="1:11" x14ac:dyDescent="0.35">
      <c r="A350" s="79"/>
      <c r="B350" s="79"/>
      <c r="C350" s="57" t="s">
        <v>222</v>
      </c>
      <c r="D350" s="171">
        <v>2.5</v>
      </c>
      <c r="E350" s="67">
        <v>1</v>
      </c>
      <c r="F350" s="78" t="s">
        <v>264</v>
      </c>
      <c r="G350" s="162"/>
      <c r="H350" s="74"/>
      <c r="I350" s="72">
        <v>0.4</v>
      </c>
      <c r="J350" s="76">
        <v>0</v>
      </c>
      <c r="K350" s="76">
        <v>0</v>
      </c>
    </row>
    <row r="351" spans="1:11" x14ac:dyDescent="0.35">
      <c r="A351" s="148"/>
      <c r="B351" s="148"/>
      <c r="C351" s="57" t="s">
        <v>587</v>
      </c>
      <c r="D351" s="172">
        <f>_xlfn.XLOOKUP(T_Custos[[#This Row],[Produto]],T_Assumpnutry[PRODUTO],T_Assumpnutry[PREÇO KG])</f>
        <v>16</v>
      </c>
      <c r="E351" s="156">
        <v>1</v>
      </c>
      <c r="F351" s="78" t="s">
        <v>263</v>
      </c>
      <c r="G351" s="162"/>
      <c r="H351" s="73" t="s">
        <v>592</v>
      </c>
      <c r="I351" s="157">
        <v>0.4</v>
      </c>
      <c r="J351" s="153">
        <v>0</v>
      </c>
      <c r="K351" s="153">
        <v>0</v>
      </c>
    </row>
    <row r="352" spans="1:11" x14ac:dyDescent="0.35">
      <c r="A352" s="79"/>
      <c r="B352" s="79"/>
      <c r="C352" s="57" t="s">
        <v>211</v>
      </c>
      <c r="D352" s="171">
        <v>4</v>
      </c>
      <c r="E352" s="67">
        <v>1</v>
      </c>
      <c r="F352" s="78" t="s">
        <v>264</v>
      </c>
      <c r="G352" s="162"/>
      <c r="H352" s="74" t="s">
        <v>595</v>
      </c>
      <c r="I352" s="72">
        <v>0.4</v>
      </c>
      <c r="J352" s="76">
        <v>0</v>
      </c>
      <c r="K352" s="76">
        <v>0</v>
      </c>
    </row>
    <row r="353" spans="1:11" x14ac:dyDescent="0.35">
      <c r="A353" s="79"/>
      <c r="B353" s="79"/>
      <c r="C353" s="57" t="s">
        <v>210</v>
      </c>
      <c r="D353" s="171">
        <v>3</v>
      </c>
      <c r="E353" s="67">
        <v>1</v>
      </c>
      <c r="F353" s="78" t="s">
        <v>264</v>
      </c>
      <c r="G353" s="162"/>
      <c r="H353" s="74" t="s">
        <v>595</v>
      </c>
      <c r="I353" s="72">
        <v>0.4</v>
      </c>
      <c r="J353" s="76">
        <v>0</v>
      </c>
      <c r="K353" s="76">
        <v>0</v>
      </c>
    </row>
    <row r="354" spans="1:11" x14ac:dyDescent="0.35">
      <c r="A354" s="148"/>
      <c r="B354" s="148"/>
      <c r="C354" s="57" t="s">
        <v>588</v>
      </c>
      <c r="D354" s="172">
        <f>_xlfn.XLOOKUP(T_Custos[[#This Row],[Produto]],T_Assumpnutry[PRODUTO],T_Assumpnutry[PREÇO KG])</f>
        <v>13</v>
      </c>
      <c r="E354" s="156">
        <v>1</v>
      </c>
      <c r="F354" s="78" t="s">
        <v>263</v>
      </c>
      <c r="G354" s="162"/>
      <c r="H354" s="73" t="s">
        <v>592</v>
      </c>
      <c r="I354" s="157">
        <v>0.4</v>
      </c>
      <c r="J354" s="153">
        <v>0</v>
      </c>
      <c r="K354" s="153">
        <v>0</v>
      </c>
    </row>
    <row r="355" spans="1:11" x14ac:dyDescent="0.35">
      <c r="A355" s="79"/>
      <c r="B355" s="79"/>
      <c r="C355" s="57" t="s">
        <v>212</v>
      </c>
      <c r="D355" s="171">
        <v>3</v>
      </c>
      <c r="E355" s="67">
        <v>1</v>
      </c>
      <c r="F355" s="78" t="s">
        <v>264</v>
      </c>
      <c r="G355" s="162"/>
      <c r="H355" s="74" t="s">
        <v>595</v>
      </c>
      <c r="I355" s="72">
        <v>0.4</v>
      </c>
      <c r="J355" s="76">
        <v>0</v>
      </c>
      <c r="K355" s="76">
        <v>0</v>
      </c>
    </row>
    <row r="356" spans="1:11" x14ac:dyDescent="0.35">
      <c r="A356" s="79"/>
      <c r="B356" s="79"/>
      <c r="C356" s="57" t="s">
        <v>219</v>
      </c>
      <c r="D356" s="171">
        <v>3</v>
      </c>
      <c r="E356" s="67">
        <v>1</v>
      </c>
      <c r="F356" s="78" t="s">
        <v>264</v>
      </c>
      <c r="G356" s="162"/>
      <c r="H356" s="74" t="s">
        <v>595</v>
      </c>
      <c r="I356" s="72">
        <v>0.4</v>
      </c>
      <c r="J356" s="76">
        <v>0</v>
      </c>
      <c r="K356" s="76">
        <v>0</v>
      </c>
    </row>
    <row r="357" spans="1:11" x14ac:dyDescent="0.35">
      <c r="A357" s="148"/>
      <c r="B357" s="148"/>
      <c r="C357" s="57" t="s">
        <v>589</v>
      </c>
      <c r="D357" s="172">
        <f>_xlfn.XLOOKUP(T_Custos[[#This Row],[Produto]],T_Assumpnutry[PRODUTO],T_Assumpnutry[PREÇO KG])</f>
        <v>30</v>
      </c>
      <c r="E357" s="156">
        <v>1</v>
      </c>
      <c r="F357" s="78" t="s">
        <v>263</v>
      </c>
      <c r="G357" s="162"/>
      <c r="H357" s="73" t="s">
        <v>592</v>
      </c>
      <c r="I357" s="157">
        <v>0.4</v>
      </c>
      <c r="J357" s="153">
        <v>0</v>
      </c>
      <c r="K357" s="153">
        <v>0</v>
      </c>
    </row>
    <row r="358" spans="1:11" x14ac:dyDescent="0.35">
      <c r="A358" s="79"/>
      <c r="B358" s="79">
        <v>29446</v>
      </c>
      <c r="C358" s="161" t="s">
        <v>159</v>
      </c>
      <c r="D358" s="171">
        <v>36.729999999999997</v>
      </c>
      <c r="E358" s="67">
        <v>1</v>
      </c>
      <c r="F358" s="78" t="s">
        <v>263</v>
      </c>
      <c r="G358" s="162">
        <v>7</v>
      </c>
      <c r="H358" s="63" t="s">
        <v>240</v>
      </c>
      <c r="I358" s="72">
        <v>0.3</v>
      </c>
      <c r="J358" s="76">
        <v>0</v>
      </c>
      <c r="K358" s="76">
        <v>2</v>
      </c>
    </row>
    <row r="359" spans="1:11" x14ac:dyDescent="0.35">
      <c r="A359" s="79"/>
      <c r="B359" s="79">
        <v>1749</v>
      </c>
      <c r="C359" s="134" t="s">
        <v>160</v>
      </c>
      <c r="D359" s="171">
        <v>100</v>
      </c>
      <c r="E359" s="67">
        <v>9</v>
      </c>
      <c r="F359" s="78" t="s">
        <v>263</v>
      </c>
      <c r="G359" s="162">
        <v>6</v>
      </c>
      <c r="H359" s="63" t="s">
        <v>239</v>
      </c>
      <c r="I359" s="72">
        <v>2.7</v>
      </c>
      <c r="J359" s="76">
        <v>0</v>
      </c>
      <c r="K359" s="76">
        <v>3</v>
      </c>
    </row>
    <row r="360" spans="1:11" x14ac:dyDescent="0.35">
      <c r="A360" s="79"/>
      <c r="B360" s="79"/>
      <c r="C360" s="134" t="s">
        <v>477</v>
      </c>
      <c r="D360" s="171" t="s">
        <v>235</v>
      </c>
      <c r="E360" s="87">
        <v>9</v>
      </c>
      <c r="F360" s="88" t="s">
        <v>263</v>
      </c>
      <c r="G360" s="162">
        <v>6</v>
      </c>
      <c r="H360" s="63" t="s">
        <v>239</v>
      </c>
      <c r="I360" s="72">
        <v>3.5</v>
      </c>
      <c r="J360" s="76">
        <v>0</v>
      </c>
      <c r="K360" s="76">
        <v>5</v>
      </c>
    </row>
    <row r="361" spans="1:11" x14ac:dyDescent="0.35">
      <c r="A361" s="79"/>
      <c r="B361" s="79"/>
      <c r="C361" s="134" t="s">
        <v>161</v>
      </c>
      <c r="D361" s="171" t="s">
        <v>235</v>
      </c>
      <c r="E361" s="67">
        <v>20</v>
      </c>
      <c r="F361" s="78" t="s">
        <v>263</v>
      </c>
      <c r="G361" s="162">
        <v>6</v>
      </c>
      <c r="H361" s="63" t="s">
        <v>239</v>
      </c>
      <c r="I361" s="72">
        <v>3.5</v>
      </c>
      <c r="J361" s="76">
        <v>0</v>
      </c>
      <c r="K361" s="76">
        <v>5</v>
      </c>
    </row>
    <row r="362" spans="1:11" x14ac:dyDescent="0.35">
      <c r="A362" s="79"/>
      <c r="B362" s="79">
        <v>1751</v>
      </c>
      <c r="C362" s="161" t="s">
        <v>162</v>
      </c>
      <c r="D362" s="171">
        <v>150</v>
      </c>
      <c r="E362" s="67">
        <v>20</v>
      </c>
      <c r="F362" s="78" t="s">
        <v>263</v>
      </c>
      <c r="G362" s="162">
        <v>5</v>
      </c>
      <c r="H362" s="71" t="s">
        <v>241</v>
      </c>
      <c r="I362" s="72">
        <v>3.5</v>
      </c>
      <c r="J362" s="76">
        <v>0</v>
      </c>
      <c r="K362" s="76">
        <v>5</v>
      </c>
    </row>
    <row r="363" spans="1:11" x14ac:dyDescent="0.35">
      <c r="A363" s="79"/>
      <c r="B363" s="79"/>
      <c r="C363" s="161" t="s">
        <v>163</v>
      </c>
      <c r="D363" s="171">
        <v>75</v>
      </c>
      <c r="E363" s="67">
        <v>20</v>
      </c>
      <c r="F363" s="78" t="s">
        <v>263</v>
      </c>
      <c r="G363" s="162">
        <v>5</v>
      </c>
      <c r="H363" s="71" t="s">
        <v>241</v>
      </c>
      <c r="I363" s="72">
        <v>3.5</v>
      </c>
      <c r="J363" s="76">
        <v>0</v>
      </c>
      <c r="K363" s="76">
        <v>5</v>
      </c>
    </row>
    <row r="364" spans="1:11" x14ac:dyDescent="0.35">
      <c r="A364" s="79">
        <v>513</v>
      </c>
      <c r="B364" s="79"/>
      <c r="C364" s="57" t="s">
        <v>433</v>
      </c>
      <c r="D364" s="147">
        <f>IFERROR(_xlfn.XLOOKUP("TOMATE",T_Custos[Produto],T_Custos[Custo])/_xlfn.XLOOKUP("TOMATE",T_Custos[Produto],T_Custos[Peso])*0.5,"Em falta")</f>
        <v>3.75</v>
      </c>
      <c r="E364" s="67">
        <v>1</v>
      </c>
      <c r="F364" s="78" t="s">
        <v>265</v>
      </c>
      <c r="G364" s="162"/>
      <c r="H364" s="74"/>
      <c r="I364" s="83">
        <v>0.3</v>
      </c>
      <c r="J364" s="76">
        <v>1.8</v>
      </c>
      <c r="K364" s="77">
        <v>0.1</v>
      </c>
    </row>
    <row r="365" spans="1:11" x14ac:dyDescent="0.35">
      <c r="A365" s="79"/>
      <c r="B365" s="79">
        <v>1752</v>
      </c>
      <c r="C365" s="134" t="s">
        <v>164</v>
      </c>
      <c r="D365" s="171">
        <v>16</v>
      </c>
      <c r="E365" s="67">
        <v>1</v>
      </c>
      <c r="F365" s="78" t="s">
        <v>263</v>
      </c>
      <c r="G365" s="162">
        <v>5</v>
      </c>
      <c r="H365" s="71" t="s">
        <v>241</v>
      </c>
      <c r="I365" s="72">
        <v>2</v>
      </c>
      <c r="J365" s="76">
        <v>0</v>
      </c>
      <c r="K365" s="76">
        <v>2</v>
      </c>
    </row>
    <row r="366" spans="1:11" x14ac:dyDescent="0.35">
      <c r="A366" s="79">
        <v>199</v>
      </c>
      <c r="B366" s="79">
        <v>26857</v>
      </c>
      <c r="C366" s="161" t="s">
        <v>165</v>
      </c>
      <c r="D366" s="171">
        <v>4.1100000000000003</v>
      </c>
      <c r="E366" s="67">
        <v>1</v>
      </c>
      <c r="F366" s="78" t="s">
        <v>265</v>
      </c>
      <c r="G366" s="162">
        <v>5</v>
      </c>
      <c r="H366" s="71" t="s">
        <v>241</v>
      </c>
      <c r="I366" s="72">
        <v>0.3</v>
      </c>
      <c r="J366" s="76">
        <v>0</v>
      </c>
      <c r="K366" s="76">
        <v>0</v>
      </c>
    </row>
    <row r="367" spans="1:11" x14ac:dyDescent="0.35">
      <c r="A367" s="79">
        <v>197</v>
      </c>
      <c r="B367" s="79">
        <v>3668</v>
      </c>
      <c r="C367" s="134" t="s">
        <v>166</v>
      </c>
      <c r="D367" s="171">
        <v>4.5</v>
      </c>
      <c r="E367" s="67">
        <v>1</v>
      </c>
      <c r="F367" s="78" t="s">
        <v>265</v>
      </c>
      <c r="G367" s="162">
        <v>5</v>
      </c>
      <c r="H367" s="71" t="s">
        <v>241</v>
      </c>
      <c r="I367" s="72">
        <v>0.3</v>
      </c>
      <c r="J367" s="76">
        <v>0</v>
      </c>
      <c r="K367" s="76">
        <v>0</v>
      </c>
    </row>
    <row r="368" spans="1:11" x14ac:dyDescent="0.35">
      <c r="A368" s="79"/>
      <c r="B368" s="79"/>
      <c r="C368" s="134" t="s">
        <v>167</v>
      </c>
      <c r="D368" s="171" t="s">
        <v>235</v>
      </c>
      <c r="E368" s="67">
        <v>1</v>
      </c>
      <c r="F368" s="78" t="s">
        <v>265</v>
      </c>
      <c r="G368" s="162">
        <v>5</v>
      </c>
      <c r="H368" s="71" t="s">
        <v>241</v>
      </c>
      <c r="I368" s="72">
        <v>0.3</v>
      </c>
      <c r="J368" s="76">
        <v>0</v>
      </c>
      <c r="K368" s="76">
        <v>0</v>
      </c>
    </row>
    <row r="369" spans="1:11" x14ac:dyDescent="0.35">
      <c r="A369" s="79"/>
      <c r="B369" s="79"/>
      <c r="C369" s="134" t="s">
        <v>168</v>
      </c>
      <c r="D369" s="171">
        <v>4.0999999999999996</v>
      </c>
      <c r="E369" s="67">
        <v>1</v>
      </c>
      <c r="F369" s="78" t="s">
        <v>265</v>
      </c>
      <c r="G369" s="162">
        <v>5</v>
      </c>
      <c r="H369" s="71" t="s">
        <v>241</v>
      </c>
      <c r="I369" s="72">
        <v>0.3</v>
      </c>
      <c r="J369" s="76">
        <v>0</v>
      </c>
      <c r="K369" s="76">
        <v>0</v>
      </c>
    </row>
    <row r="370" spans="1:11" x14ac:dyDescent="0.35">
      <c r="A370" s="79">
        <v>7526</v>
      </c>
      <c r="B370" s="79"/>
      <c r="C370" s="57" t="s">
        <v>434</v>
      </c>
      <c r="D370" s="147">
        <f>IFERROR(_xlfn.XLOOKUP("TOMATE GRAPE 180G",T_Custos[Produto],T_Custos[Custo])/_xlfn.XLOOKUP("TOMATE GRAPE 180G",T_Custos[Produto],T_Custos[Peso])*1,"Em falta")</f>
        <v>4.0999999999999996</v>
      </c>
      <c r="E370" s="67">
        <v>1</v>
      </c>
      <c r="F370" s="78" t="s">
        <v>265</v>
      </c>
      <c r="G370" s="162"/>
      <c r="H370" s="74"/>
      <c r="I370" s="83">
        <v>0.3</v>
      </c>
      <c r="J370" s="76">
        <v>1.8</v>
      </c>
      <c r="K370" s="77">
        <v>0.1</v>
      </c>
    </row>
    <row r="371" spans="1:11" x14ac:dyDescent="0.35">
      <c r="A371" s="79">
        <v>515</v>
      </c>
      <c r="B371" s="79"/>
      <c r="C371" s="57" t="s">
        <v>435</v>
      </c>
      <c r="D371" s="174">
        <v>4</v>
      </c>
      <c r="E371" s="67">
        <v>1</v>
      </c>
      <c r="F371" s="78" t="s">
        <v>265</v>
      </c>
      <c r="G371" s="162"/>
      <c r="H371" s="74"/>
      <c r="I371" s="83">
        <v>0.3</v>
      </c>
      <c r="J371" s="76">
        <v>1.8</v>
      </c>
      <c r="K371" s="77">
        <v>0.1</v>
      </c>
    </row>
    <row r="372" spans="1:11" x14ac:dyDescent="0.35">
      <c r="A372" s="79"/>
      <c r="B372" s="79">
        <v>25234</v>
      </c>
      <c r="C372" s="161" t="s">
        <v>169</v>
      </c>
      <c r="D372" s="171">
        <v>150</v>
      </c>
      <c r="E372" s="67">
        <v>20</v>
      </c>
      <c r="F372" s="78" t="s">
        <v>263</v>
      </c>
      <c r="G372" s="162">
        <v>5</v>
      </c>
      <c r="H372" s="71" t="s">
        <v>241</v>
      </c>
      <c r="I372" s="72">
        <v>3.5</v>
      </c>
      <c r="J372" s="76">
        <v>0</v>
      </c>
      <c r="K372" s="76">
        <v>5</v>
      </c>
    </row>
    <row r="373" spans="1:11" x14ac:dyDescent="0.35">
      <c r="A373" s="79">
        <v>514</v>
      </c>
      <c r="B373" s="79"/>
      <c r="C373" s="57" t="s">
        <v>436</v>
      </c>
      <c r="D373" s="147">
        <f>IFERROR(_xlfn.XLOOKUP("TOMATE ITALIANO",T_Custos[Produto],T_Custos[Custo])/_xlfn.XLOOKUP("TOMATE ITALIANO",T_Custos[Produto],T_Custos[Peso])*0.5,"Em falta")</f>
        <v>3.75</v>
      </c>
      <c r="E373" s="67">
        <v>1</v>
      </c>
      <c r="F373" s="78" t="s">
        <v>265</v>
      </c>
      <c r="G373" s="162"/>
      <c r="H373" s="74"/>
      <c r="I373" s="83">
        <v>0.3</v>
      </c>
      <c r="J373" s="76">
        <v>1.8</v>
      </c>
      <c r="K373" s="77">
        <v>0.1</v>
      </c>
    </row>
    <row r="374" spans="1:11" x14ac:dyDescent="0.35">
      <c r="A374" s="79"/>
      <c r="B374" s="79"/>
      <c r="C374" s="134" t="s">
        <v>394</v>
      </c>
      <c r="D374" s="147">
        <f>IFERROR(_xlfn.XLOOKUP("TOMATE ITALIANO",T_Custos[Produto],T_Custos[Custo])/_xlfn.XLOOKUP("TOMATE ITALIANO",T_Custos[Produto],T_Custos[Peso])*0.143,"Em falta")</f>
        <v>1.0725</v>
      </c>
      <c r="E374" s="68">
        <v>1</v>
      </c>
      <c r="F374" s="80" t="s">
        <v>363</v>
      </c>
      <c r="G374" s="166">
        <v>5</v>
      </c>
      <c r="H374" s="71" t="s">
        <v>241</v>
      </c>
      <c r="I374" s="72">
        <v>0.3</v>
      </c>
      <c r="J374" s="77">
        <v>0</v>
      </c>
      <c r="K374" s="77">
        <v>0.1</v>
      </c>
    </row>
    <row r="375" spans="1:11" x14ac:dyDescent="0.35">
      <c r="A375" s="79"/>
      <c r="B375" s="79"/>
      <c r="C375" s="134" t="s">
        <v>393</v>
      </c>
      <c r="D375" s="147">
        <f>IFERROR(_xlfn.XLOOKUP("TOMATE",T_Custos[Produto],T_Custos[Custo])/_xlfn.XLOOKUP("TOMATE",T_Custos[Produto],T_Custos[Peso])*0.3,"Em falta")</f>
        <v>2.25</v>
      </c>
      <c r="E375" s="68">
        <v>1</v>
      </c>
      <c r="F375" s="80" t="s">
        <v>363</v>
      </c>
      <c r="G375" s="166">
        <v>5</v>
      </c>
      <c r="H375" s="71" t="s">
        <v>241</v>
      </c>
      <c r="I375" s="72">
        <v>0.3</v>
      </c>
      <c r="J375" s="77">
        <v>0</v>
      </c>
      <c r="K375" s="77">
        <v>0.1</v>
      </c>
    </row>
    <row r="376" spans="1:11" x14ac:dyDescent="0.35">
      <c r="A376" s="79"/>
      <c r="B376" s="79"/>
      <c r="C376" s="57" t="s">
        <v>220</v>
      </c>
      <c r="D376" s="171">
        <v>3</v>
      </c>
      <c r="E376" s="67">
        <v>1</v>
      </c>
      <c r="F376" s="78" t="s">
        <v>264</v>
      </c>
      <c r="G376" s="162"/>
      <c r="H376" s="74" t="s">
        <v>595</v>
      </c>
      <c r="I376" s="72">
        <v>0.4</v>
      </c>
      <c r="J376" s="76">
        <v>0</v>
      </c>
      <c r="K376" s="76">
        <v>0</v>
      </c>
    </row>
    <row r="377" spans="1:11" x14ac:dyDescent="0.35">
      <c r="A377" s="148"/>
      <c r="B377" s="148"/>
      <c r="C377" s="57" t="s">
        <v>590</v>
      </c>
      <c r="D377" s="172">
        <f>_xlfn.XLOOKUP(T_Custos[[#This Row],[Produto]],T_Assumpnutry[PRODUTO],T_Assumpnutry[PREÇO KG])</f>
        <v>40</v>
      </c>
      <c r="E377" s="156">
        <v>1</v>
      </c>
      <c r="F377" s="78" t="s">
        <v>263</v>
      </c>
      <c r="G377" s="162"/>
      <c r="H377" s="73" t="s">
        <v>592</v>
      </c>
      <c r="I377" s="157">
        <v>0.4</v>
      </c>
      <c r="J377" s="153">
        <v>0</v>
      </c>
      <c r="K377" s="153">
        <v>0</v>
      </c>
    </row>
    <row r="378" spans="1:11" x14ac:dyDescent="0.35">
      <c r="A378" s="148"/>
      <c r="B378" s="148"/>
      <c r="C378" s="134" t="s">
        <v>549</v>
      </c>
      <c r="D378" s="147">
        <v>54.62</v>
      </c>
      <c r="E378" s="67">
        <v>10</v>
      </c>
      <c r="F378" s="78" t="s">
        <v>265</v>
      </c>
      <c r="G378" s="162">
        <v>6</v>
      </c>
      <c r="H378" s="63" t="s">
        <v>239</v>
      </c>
      <c r="I378" s="72">
        <v>2.2000000000000002</v>
      </c>
      <c r="J378" s="76">
        <v>0</v>
      </c>
      <c r="K378" s="76">
        <v>0</v>
      </c>
    </row>
    <row r="379" spans="1:11" x14ac:dyDescent="0.35">
      <c r="A379" s="79"/>
      <c r="B379" s="79">
        <v>1756</v>
      </c>
      <c r="C379" s="134" t="s">
        <v>170</v>
      </c>
      <c r="D379" s="171" t="s">
        <v>235</v>
      </c>
      <c r="E379" s="67">
        <v>10</v>
      </c>
      <c r="F379" s="78" t="s">
        <v>265</v>
      </c>
      <c r="G379" s="162">
        <v>6</v>
      </c>
      <c r="H379" s="63" t="s">
        <v>239</v>
      </c>
      <c r="I379" s="72">
        <v>2.2000000000000002</v>
      </c>
      <c r="J379" s="76">
        <v>0</v>
      </c>
      <c r="K379" s="76">
        <v>0</v>
      </c>
    </row>
    <row r="380" spans="1:11" x14ac:dyDescent="0.35">
      <c r="A380" s="79"/>
      <c r="B380" s="79">
        <v>56240</v>
      </c>
      <c r="C380" s="134" t="s">
        <v>171</v>
      </c>
      <c r="D380" s="171">
        <v>69</v>
      </c>
      <c r="E380" s="67">
        <v>10</v>
      </c>
      <c r="F380" s="78" t="s">
        <v>265</v>
      </c>
      <c r="G380" s="162">
        <v>6</v>
      </c>
      <c r="H380" s="63" t="s">
        <v>239</v>
      </c>
      <c r="I380" s="72">
        <v>3</v>
      </c>
      <c r="J380" s="76">
        <v>0</v>
      </c>
      <c r="K380" s="76">
        <v>0</v>
      </c>
    </row>
    <row r="381" spans="1:11" x14ac:dyDescent="0.35">
      <c r="A381" s="79"/>
      <c r="B381" s="79">
        <v>1753</v>
      </c>
      <c r="C381" s="134" t="s">
        <v>172</v>
      </c>
      <c r="D381" s="171">
        <v>60.46</v>
      </c>
      <c r="E381" s="67">
        <v>10</v>
      </c>
      <c r="F381" s="78" t="s">
        <v>265</v>
      </c>
      <c r="G381" s="162">
        <v>6</v>
      </c>
      <c r="H381" s="63" t="s">
        <v>239</v>
      </c>
      <c r="I381" s="72">
        <v>2.2000000000000002</v>
      </c>
      <c r="J381" s="76">
        <v>0</v>
      </c>
      <c r="K381" s="76">
        <v>0</v>
      </c>
    </row>
    <row r="382" spans="1:11" x14ac:dyDescent="0.35">
      <c r="A382" s="79"/>
      <c r="B382" s="79">
        <v>1754</v>
      </c>
      <c r="C382" s="134" t="s">
        <v>173</v>
      </c>
      <c r="D382" s="171">
        <v>69</v>
      </c>
      <c r="E382" s="67">
        <v>10</v>
      </c>
      <c r="F382" s="78" t="s">
        <v>265</v>
      </c>
      <c r="G382" s="162">
        <v>6</v>
      </c>
      <c r="H382" s="63" t="s">
        <v>239</v>
      </c>
      <c r="I382" s="72">
        <v>2.2000000000000002</v>
      </c>
      <c r="J382" s="76">
        <v>0</v>
      </c>
      <c r="K382" s="76">
        <v>0</v>
      </c>
    </row>
    <row r="383" spans="1:11" x14ac:dyDescent="0.35">
      <c r="A383" s="79"/>
      <c r="B383" s="79">
        <v>59155</v>
      </c>
      <c r="C383" s="134" t="s">
        <v>174</v>
      </c>
      <c r="D383" s="147">
        <f>IFERROR(_xlfn.XLOOKUP("UVA VITORIA( MELODIA) - crimson",T_Custos[Produto],T_Custos[Custo])/_xlfn.XLOOKUP("UVA VITORIA( MELODIA) - crimson",T_Custos[Produto],T_Custos[Peso])*10,"Em falta")</f>
        <v>60.16</v>
      </c>
      <c r="E383" s="67">
        <v>10</v>
      </c>
      <c r="F383" s="78" t="s">
        <v>265</v>
      </c>
      <c r="G383" s="162">
        <v>6</v>
      </c>
      <c r="H383" s="63" t="s">
        <v>239</v>
      </c>
      <c r="I383" s="72">
        <v>3</v>
      </c>
      <c r="J383" s="76">
        <v>0</v>
      </c>
      <c r="K383" s="76">
        <v>0</v>
      </c>
    </row>
    <row r="384" spans="1:11" x14ac:dyDescent="0.35">
      <c r="A384" s="79"/>
      <c r="B384" s="79">
        <v>3755</v>
      </c>
      <c r="C384" s="134" t="s">
        <v>175</v>
      </c>
      <c r="D384" s="171">
        <v>80</v>
      </c>
      <c r="E384" s="67">
        <v>10</v>
      </c>
      <c r="F384" s="78" t="s">
        <v>265</v>
      </c>
      <c r="G384" s="162">
        <v>6</v>
      </c>
      <c r="H384" s="63" t="s">
        <v>239</v>
      </c>
      <c r="I384" s="72">
        <v>2.2000000000000002</v>
      </c>
      <c r="J384" s="76">
        <v>0</v>
      </c>
      <c r="K384" s="76">
        <v>0</v>
      </c>
    </row>
    <row r="385" spans="1:11" x14ac:dyDescent="0.35">
      <c r="A385" s="79"/>
      <c r="B385" s="79"/>
      <c r="C385" s="134" t="s">
        <v>176</v>
      </c>
      <c r="D385" s="168">
        <v>55</v>
      </c>
      <c r="E385" s="67">
        <v>10</v>
      </c>
      <c r="F385" s="78" t="s">
        <v>265</v>
      </c>
      <c r="G385" s="162">
        <v>6</v>
      </c>
      <c r="H385" s="63" t="s">
        <v>239</v>
      </c>
      <c r="I385" s="72">
        <v>2.2000000000000002</v>
      </c>
      <c r="J385" s="76">
        <v>0</v>
      </c>
      <c r="K385" s="76">
        <v>0</v>
      </c>
    </row>
    <row r="386" spans="1:11" x14ac:dyDescent="0.35">
      <c r="A386" s="79"/>
      <c r="B386" s="79">
        <v>1754</v>
      </c>
      <c r="C386" s="161" t="s">
        <v>506</v>
      </c>
      <c r="D386" s="176">
        <v>60</v>
      </c>
      <c r="E386" s="67">
        <v>10</v>
      </c>
      <c r="F386" s="78" t="s">
        <v>265</v>
      </c>
      <c r="G386" s="162">
        <v>6</v>
      </c>
      <c r="H386" s="63" t="s">
        <v>239</v>
      </c>
      <c r="I386" s="72">
        <v>2.2000000000000002</v>
      </c>
      <c r="J386" s="76">
        <v>0</v>
      </c>
      <c r="K386" s="76">
        <v>0</v>
      </c>
    </row>
    <row r="387" spans="1:11" x14ac:dyDescent="0.35">
      <c r="A387" s="79"/>
      <c r="B387" s="79">
        <v>1755</v>
      </c>
      <c r="C387" s="134" t="s">
        <v>177</v>
      </c>
      <c r="D387" s="171">
        <v>64.55</v>
      </c>
      <c r="E387" s="67">
        <v>10</v>
      </c>
      <c r="F387" s="78" t="s">
        <v>265</v>
      </c>
      <c r="G387" s="162">
        <v>6</v>
      </c>
      <c r="H387" s="63" t="s">
        <v>239</v>
      </c>
      <c r="I387" s="72">
        <v>2.2000000000000002</v>
      </c>
      <c r="J387" s="76">
        <v>0</v>
      </c>
      <c r="K387" s="76">
        <v>0</v>
      </c>
    </row>
    <row r="388" spans="1:11" x14ac:dyDescent="0.35">
      <c r="A388" s="79"/>
      <c r="B388" s="79"/>
      <c r="C388" s="134" t="s">
        <v>179</v>
      </c>
      <c r="D388" s="147">
        <f>IFERROR(_xlfn.XLOOKUP("UVA ITALIA",T_Custos[Produto],T_Custos[Custo])/_xlfn.XLOOKUP("UVA ITALIA",T_Custos[Produto],T_Custos[Peso])*10,"Em falta")</f>
        <v>60.46</v>
      </c>
      <c r="E388" s="67">
        <v>10</v>
      </c>
      <c r="F388" s="78" t="s">
        <v>265</v>
      </c>
      <c r="G388" s="162">
        <v>6</v>
      </c>
      <c r="H388" s="63" t="s">
        <v>239</v>
      </c>
      <c r="I388" s="72">
        <v>2.2000000000000002</v>
      </c>
      <c r="J388" s="76">
        <v>0</v>
      </c>
      <c r="K388" s="76">
        <v>0</v>
      </c>
    </row>
    <row r="389" spans="1:11" x14ac:dyDescent="0.35">
      <c r="A389" s="79"/>
      <c r="B389" s="79"/>
      <c r="C389" s="134" t="s">
        <v>180</v>
      </c>
      <c r="D389" s="147">
        <f>IFERROR(_xlfn.XLOOKUP("UVA THOMPSON",T_Custos[Produto],T_Custos[Custo])/_xlfn.XLOOKUP("UVA THOMPSON",T_Custos[Produto],T_Custos[Peso])*10,"Em falta")</f>
        <v>64.55</v>
      </c>
      <c r="E389" s="67">
        <v>10</v>
      </c>
      <c r="F389" s="78" t="s">
        <v>265</v>
      </c>
      <c r="G389" s="162">
        <v>6</v>
      </c>
      <c r="H389" s="63" t="s">
        <v>239</v>
      </c>
      <c r="I389" s="72">
        <v>2.2000000000000002</v>
      </c>
      <c r="J389" s="76">
        <v>0</v>
      </c>
      <c r="K389" s="76">
        <v>0</v>
      </c>
    </row>
    <row r="390" spans="1:11" x14ac:dyDescent="0.35">
      <c r="A390" s="79"/>
      <c r="B390" s="79"/>
      <c r="C390" s="134" t="s">
        <v>181</v>
      </c>
      <c r="D390" s="147">
        <f>IFERROR(_xlfn.XLOOKUP("UVA RED GLOBE",T_Custos[Produto],T_Custos[Custo])/_xlfn.XLOOKUP("UVA RED GLOBE",T_Custos[Produto],T_Custos[Peso])*10,"Em falta")</f>
        <v>80</v>
      </c>
      <c r="E390" s="67">
        <v>10</v>
      </c>
      <c r="F390" s="88" t="s">
        <v>265</v>
      </c>
      <c r="G390" s="162">
        <v>6</v>
      </c>
      <c r="H390" s="63" t="s">
        <v>239</v>
      </c>
      <c r="I390" s="72">
        <v>3.5</v>
      </c>
      <c r="J390" s="76">
        <v>0</v>
      </c>
      <c r="K390" s="76">
        <v>3</v>
      </c>
    </row>
    <row r="391" spans="1:11" x14ac:dyDescent="0.35">
      <c r="A391" s="79"/>
      <c r="B391" s="79"/>
      <c r="C391" s="134" t="s">
        <v>182</v>
      </c>
      <c r="D391" s="147">
        <f>IFERROR(_xlfn.XLOOKUP("UVA VITORIA( MELODIA) - crimson",T_Custos[Produto],T_Custos[Custo])/_xlfn.XLOOKUP("UVA VITORIA( MELODIA) - crimson",T_Custos[Produto],T_Custos[Peso])*10,"Em falta")</f>
        <v>60.16</v>
      </c>
      <c r="E391" s="67">
        <v>10</v>
      </c>
      <c r="F391" s="78" t="s">
        <v>265</v>
      </c>
      <c r="G391" s="162">
        <v>6</v>
      </c>
      <c r="H391" s="63" t="s">
        <v>239</v>
      </c>
      <c r="I391" s="72">
        <v>2.2000000000000002</v>
      </c>
      <c r="J391" s="76">
        <v>0</v>
      </c>
      <c r="K391" s="76">
        <v>0</v>
      </c>
    </row>
    <row r="392" spans="1:11" x14ac:dyDescent="0.35">
      <c r="A392" s="79"/>
      <c r="B392" s="79">
        <v>28521</v>
      </c>
      <c r="C392" s="134" t="s">
        <v>178</v>
      </c>
      <c r="D392" s="171">
        <v>60.16</v>
      </c>
      <c r="E392" s="67">
        <v>10</v>
      </c>
      <c r="F392" s="78" t="s">
        <v>265</v>
      </c>
      <c r="G392" s="162">
        <v>6</v>
      </c>
      <c r="H392" s="63" t="s">
        <v>239</v>
      </c>
      <c r="I392" s="72">
        <v>2.2000000000000002</v>
      </c>
      <c r="J392" s="76">
        <v>0</v>
      </c>
      <c r="K392" s="76">
        <v>0</v>
      </c>
    </row>
    <row r="393" spans="1:11" x14ac:dyDescent="0.35">
      <c r="A393" s="79">
        <v>5721</v>
      </c>
      <c r="B393" s="79">
        <v>1759</v>
      </c>
      <c r="C393" s="57" t="s">
        <v>437</v>
      </c>
      <c r="D393" s="147">
        <v>2</v>
      </c>
      <c r="E393" s="67">
        <v>1</v>
      </c>
      <c r="F393" s="78" t="s">
        <v>265</v>
      </c>
      <c r="G393" s="162"/>
      <c r="H393" s="74"/>
      <c r="I393" s="83">
        <v>0.3</v>
      </c>
      <c r="J393" s="76">
        <v>1.8</v>
      </c>
      <c r="K393" s="77">
        <v>0.1</v>
      </c>
    </row>
    <row r="394" spans="1:11" x14ac:dyDescent="0.35">
      <c r="A394" s="79"/>
      <c r="B394" s="79"/>
      <c r="C394" s="161" t="s">
        <v>183</v>
      </c>
      <c r="D394" s="171">
        <v>4.5</v>
      </c>
      <c r="E394" s="67">
        <v>1</v>
      </c>
      <c r="F394" s="78" t="s">
        <v>265</v>
      </c>
      <c r="G394" s="162">
        <v>5</v>
      </c>
      <c r="H394" s="71" t="s">
        <v>241</v>
      </c>
      <c r="I394" s="72">
        <v>0.3</v>
      </c>
      <c r="J394" s="76">
        <v>0</v>
      </c>
      <c r="K394" s="76">
        <v>1</v>
      </c>
    </row>
    <row r="395" spans="1:11" x14ac:dyDescent="0.35">
      <c r="A395" s="79"/>
      <c r="B395" s="79">
        <v>1758</v>
      </c>
      <c r="C395" s="161" t="s">
        <v>184</v>
      </c>
      <c r="D395" s="171">
        <v>105</v>
      </c>
      <c r="E395" s="67">
        <v>12</v>
      </c>
      <c r="F395" s="78" t="s">
        <v>263</v>
      </c>
      <c r="G395" s="162">
        <v>5</v>
      </c>
      <c r="H395" s="71" t="s">
        <v>241</v>
      </c>
      <c r="I395" s="72">
        <v>3.5</v>
      </c>
      <c r="J395" s="76">
        <v>0</v>
      </c>
      <c r="K395" s="76">
        <v>5</v>
      </c>
    </row>
    <row r="396" spans="1:11" x14ac:dyDescent="0.35">
      <c r="A396" s="79"/>
      <c r="B396" s="79">
        <v>1757</v>
      </c>
      <c r="C396" s="161" t="s">
        <v>185</v>
      </c>
      <c r="D396" s="171">
        <v>60</v>
      </c>
      <c r="E396" s="67">
        <v>12</v>
      </c>
      <c r="F396" s="78" t="s">
        <v>263</v>
      </c>
      <c r="G396" s="162">
        <v>5</v>
      </c>
      <c r="H396" s="71" t="s">
        <v>241</v>
      </c>
      <c r="I396" s="72">
        <v>3.5</v>
      </c>
      <c r="J396" s="76">
        <v>0</v>
      </c>
      <c r="K396" s="76">
        <v>5</v>
      </c>
    </row>
    <row r="397" spans="1:11" x14ac:dyDescent="0.35">
      <c r="A397" s="79">
        <v>369</v>
      </c>
      <c r="B397" s="79"/>
      <c r="C397" s="57" t="s">
        <v>438</v>
      </c>
      <c r="D397" s="147">
        <f>IFERROR(_xlfn.XLOOKUP("VAGEM MANTEIGA",T_Custos[Produto],T_Custos[Custo])/_xlfn.XLOOKUP("VAGEM MANTEIGA",T_Custos[Produto],T_Custos[Peso])*0.25,"Em falta")</f>
        <v>1.25</v>
      </c>
      <c r="E397" s="67">
        <v>1</v>
      </c>
      <c r="F397" s="78" t="s">
        <v>265</v>
      </c>
      <c r="G397" s="162"/>
      <c r="H397" s="74"/>
      <c r="I397" s="83">
        <v>0.3</v>
      </c>
      <c r="J397" s="76">
        <v>1.8</v>
      </c>
      <c r="K397" s="77">
        <v>0.1</v>
      </c>
    </row>
  </sheetData>
  <sheetProtection formatCells="0" autoFilter="0"/>
  <phoneticPr fontId="5" type="noConversion"/>
  <conditionalFormatting sqref="C2:C397">
    <cfRule type="duplicateValues" dxfId="9" priority="21"/>
  </conditionalFormatting>
  <dataValidations count="1">
    <dataValidation type="custom" allowBlank="1" showInputMessage="1" showErrorMessage="1" errorTitle="Valor inválido" error="Digite apenas um número, &quot;Em falta&quot; ou &quot;falta&quot;." sqref="D2:D397" xr:uid="{601F9B4B-F3E9-4611-B6C8-49CC7DB9E1A5}">
      <formula1>OR(D2="falta",D2="Em falta",ISNUMBER(D2))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3">
    <tabColor theme="0" tint="-0.499984740745262"/>
  </sheetPr>
  <dimension ref="A1:AQ397"/>
  <sheetViews>
    <sheetView showGridLines="0" topLeftCell="A122" workbookViewId="0">
      <pane xSplit="1" topLeftCell="B1" activePane="topRight" state="frozen"/>
      <selection pane="topRight" activeCell="A129" sqref="A129"/>
    </sheetView>
  </sheetViews>
  <sheetFormatPr defaultRowHeight="14.5" x14ac:dyDescent="0.35"/>
  <cols>
    <col min="1" max="1" width="48.81640625" bestFit="1" customWidth="1"/>
    <col min="2" max="2" width="9.81640625" bestFit="1" customWidth="1"/>
    <col min="3" max="3" width="9.1796875" bestFit="1" customWidth="1"/>
    <col min="4" max="4" width="11.81640625" customWidth="1"/>
    <col min="5" max="6" width="12.81640625" customWidth="1"/>
    <col min="7" max="7" width="13.1796875" customWidth="1"/>
    <col min="8" max="8" width="12.81640625" customWidth="1"/>
    <col min="9" max="9" width="14.81640625" customWidth="1"/>
    <col min="10" max="11" width="12.81640625" customWidth="1"/>
    <col min="12" max="12" width="13.81640625" customWidth="1"/>
    <col min="13" max="14" width="12.81640625" customWidth="1"/>
    <col min="15" max="16" width="13.81640625" customWidth="1"/>
    <col min="17" max="17" width="14.81640625" customWidth="1"/>
    <col min="18" max="18" width="18" customWidth="1"/>
    <col min="19" max="19" width="13.81640625" customWidth="1"/>
    <col min="20" max="24" width="9.1796875" customWidth="1"/>
    <col min="25" max="25" width="16.81640625" customWidth="1"/>
    <col min="26" max="26" width="9.1796875" customWidth="1"/>
    <col min="27" max="27" width="13.453125" customWidth="1"/>
    <col min="28" max="30" width="13.1796875" customWidth="1"/>
    <col min="31" max="32" width="13.81640625" customWidth="1"/>
    <col min="33" max="41" width="9.1796875" customWidth="1"/>
  </cols>
  <sheetData>
    <row r="1" spans="1:43" s="7" customFormat="1" x14ac:dyDescent="0.35">
      <c r="A1" s="59" t="s">
        <v>234</v>
      </c>
      <c r="B1" s="59" t="s">
        <v>237</v>
      </c>
      <c r="C1" s="59" t="s">
        <v>262</v>
      </c>
      <c r="D1" s="59" t="s">
        <v>348</v>
      </c>
      <c r="E1" s="59" t="s">
        <v>349</v>
      </c>
      <c r="F1" s="59" t="s">
        <v>350</v>
      </c>
      <c r="G1" s="59" t="s">
        <v>351</v>
      </c>
      <c r="H1" s="59" t="s">
        <v>352</v>
      </c>
      <c r="I1" s="59" t="s">
        <v>353</v>
      </c>
      <c r="J1" s="59" t="s">
        <v>354</v>
      </c>
      <c r="K1" s="59" t="s">
        <v>355</v>
      </c>
      <c r="L1" s="59" t="s">
        <v>356</v>
      </c>
      <c r="M1" s="59" t="s">
        <v>357</v>
      </c>
      <c r="N1" s="59" t="s">
        <v>358</v>
      </c>
      <c r="O1" s="59" t="s">
        <v>359</v>
      </c>
      <c r="P1" s="59" t="s">
        <v>360</v>
      </c>
      <c r="Q1" s="59" t="s">
        <v>361</v>
      </c>
      <c r="R1" s="59" t="s">
        <v>447</v>
      </c>
      <c r="S1" s="59" t="s">
        <v>448</v>
      </c>
      <c r="T1" s="59" t="s">
        <v>449</v>
      </c>
      <c r="U1" s="59" t="s">
        <v>450</v>
      </c>
      <c r="V1" s="59" t="s">
        <v>451</v>
      </c>
      <c r="W1" s="59" t="s">
        <v>453</v>
      </c>
      <c r="X1" s="59" t="s">
        <v>464</v>
      </c>
      <c r="Y1" s="59" t="s">
        <v>466</v>
      </c>
      <c r="Z1" s="59" t="s">
        <v>473</v>
      </c>
      <c r="AA1" s="59" t="s">
        <v>486</v>
      </c>
      <c r="AB1" s="59" t="s">
        <v>502</v>
      </c>
      <c r="AC1" s="59" t="s">
        <v>508</v>
      </c>
      <c r="AD1" s="59" t="s">
        <v>510</v>
      </c>
      <c r="AE1" s="59" t="s">
        <v>522</v>
      </c>
      <c r="AF1" s="59" t="s">
        <v>523</v>
      </c>
      <c r="AG1" s="59" t="s">
        <v>524</v>
      </c>
      <c r="AH1" s="59" t="s">
        <v>525</v>
      </c>
      <c r="AI1" s="59" t="s">
        <v>526</v>
      </c>
      <c r="AJ1" s="59" t="s">
        <v>527</v>
      </c>
      <c r="AK1" s="59" t="s">
        <v>528</v>
      </c>
      <c r="AL1" s="59" t="s">
        <v>539</v>
      </c>
      <c r="AM1" s="59" t="s">
        <v>540</v>
      </c>
      <c r="AN1" s="59" t="s">
        <v>551</v>
      </c>
      <c r="AO1" s="155" t="s">
        <v>560</v>
      </c>
      <c r="AP1" s="59" t="s">
        <v>593</v>
      </c>
      <c r="AQ1" s="170" t="s">
        <v>598</v>
      </c>
    </row>
    <row r="2" spans="1:43" x14ac:dyDescent="0.35">
      <c r="A2" s="134" t="s">
        <v>0</v>
      </c>
      <c r="B2" s="48">
        <f>_xlfn.XLOOKUP(A2,T_Custos[Produto],T_Custos[Peso])</f>
        <v>15</v>
      </c>
      <c r="C2" s="49" t="str">
        <f>_xlfn.XLOOKUP(A2,T_Custos[Produto],T_Custos[Und])</f>
        <v>kg</v>
      </c>
      <c r="D2" s="1" t="s">
        <v>252</v>
      </c>
      <c r="E2" s="1" t="s">
        <v>261</v>
      </c>
      <c r="F2" s="1" t="s">
        <v>248</v>
      </c>
      <c r="G2" s="1" t="s">
        <v>255</v>
      </c>
      <c r="H2" s="1" t="s">
        <v>258</v>
      </c>
      <c r="I2" s="1" t="s">
        <v>260</v>
      </c>
      <c r="J2" s="1" t="s">
        <v>492</v>
      </c>
      <c r="K2" s="85" t="s">
        <v>552</v>
      </c>
      <c r="L2" s="1" t="s">
        <v>259</v>
      </c>
      <c r="M2" s="1" t="s">
        <v>251</v>
      </c>
      <c r="N2" s="1" t="s">
        <v>257</v>
      </c>
      <c r="O2" s="1" t="s">
        <v>247</v>
      </c>
      <c r="P2" s="1"/>
      <c r="Q2" s="1"/>
      <c r="R2" s="1" t="s">
        <v>256</v>
      </c>
      <c r="S2" s="85" t="s">
        <v>442</v>
      </c>
      <c r="T2" s="85" t="s">
        <v>443</v>
      </c>
      <c r="U2" s="85" t="s">
        <v>444</v>
      </c>
      <c r="V2" s="85" t="s">
        <v>445</v>
      </c>
      <c r="W2" s="85" t="s">
        <v>446</v>
      </c>
      <c r="X2" s="85" t="s">
        <v>452</v>
      </c>
      <c r="Y2" s="85"/>
      <c r="Z2" s="85" t="s">
        <v>465</v>
      </c>
      <c r="AA2" s="85" t="s">
        <v>489</v>
      </c>
      <c r="AB2" s="85" t="s">
        <v>490</v>
      </c>
      <c r="AC2" s="85"/>
      <c r="AD2" s="85"/>
      <c r="AE2" s="85" t="s">
        <v>509</v>
      </c>
      <c r="AF2" s="85"/>
      <c r="AG2" s="85"/>
      <c r="AH2" s="85"/>
      <c r="AI2" s="85"/>
      <c r="AJ2" s="85"/>
      <c r="AK2" s="85"/>
      <c r="AL2" s="85"/>
      <c r="AM2" s="85"/>
      <c r="AN2" s="85"/>
      <c r="AO2" s="1" t="s">
        <v>559</v>
      </c>
      <c r="AP2" s="85" t="s">
        <v>591</v>
      </c>
      <c r="AQ2" s="85" t="s">
        <v>597</v>
      </c>
    </row>
    <row r="3" spans="1:43" x14ac:dyDescent="0.35">
      <c r="A3" s="134" t="s">
        <v>1</v>
      </c>
      <c r="B3" s="48">
        <f>_xlfn.XLOOKUP(A3,T_Custos[Produto],T_Custos[Peso])</f>
        <v>10</v>
      </c>
      <c r="C3" s="49" t="str">
        <f>_xlfn.XLOOKUP(A3,T_Custos[Produto],T_Custos[Und])</f>
        <v>un</v>
      </c>
      <c r="D3" s="1" t="s">
        <v>252</v>
      </c>
      <c r="E3" s="1" t="s">
        <v>261</v>
      </c>
      <c r="F3" s="1" t="s">
        <v>248</v>
      </c>
      <c r="G3" s="1" t="s">
        <v>255</v>
      </c>
      <c r="H3" s="1" t="s">
        <v>258</v>
      </c>
      <c r="I3" s="1" t="s">
        <v>260</v>
      </c>
      <c r="J3" s="1" t="s">
        <v>492</v>
      </c>
      <c r="K3" s="85" t="s">
        <v>552</v>
      </c>
      <c r="L3" s="1" t="s">
        <v>259</v>
      </c>
      <c r="M3" s="1" t="s">
        <v>251</v>
      </c>
      <c r="N3" s="1" t="s">
        <v>257</v>
      </c>
      <c r="O3" s="1" t="s">
        <v>247</v>
      </c>
      <c r="P3" s="47" t="s">
        <v>253</v>
      </c>
      <c r="Q3" s="47" t="s">
        <v>254</v>
      </c>
      <c r="R3" s="1" t="s">
        <v>256</v>
      </c>
      <c r="S3" s="85" t="s">
        <v>442</v>
      </c>
      <c r="T3" s="85" t="s">
        <v>443</v>
      </c>
      <c r="U3" s="85" t="s">
        <v>444</v>
      </c>
      <c r="V3" s="85" t="s">
        <v>445</v>
      </c>
      <c r="W3" s="85" t="s">
        <v>446</v>
      </c>
      <c r="X3" s="85" t="s">
        <v>452</v>
      </c>
      <c r="Y3" s="85" t="s">
        <v>463</v>
      </c>
      <c r="Z3" s="85" t="s">
        <v>465</v>
      </c>
      <c r="AA3" s="85" t="s">
        <v>489</v>
      </c>
      <c r="AB3" s="85" t="s">
        <v>490</v>
      </c>
      <c r="AC3" s="85"/>
      <c r="AD3" s="85" t="s">
        <v>507</v>
      </c>
      <c r="AE3" s="85" t="s">
        <v>509</v>
      </c>
      <c r="AF3" s="85" t="s">
        <v>515</v>
      </c>
      <c r="AG3" s="85" t="s">
        <v>516</v>
      </c>
      <c r="AH3" s="85" t="s">
        <v>517</v>
      </c>
      <c r="AI3" s="85" t="s">
        <v>518</v>
      </c>
      <c r="AJ3" s="85" t="s">
        <v>519</v>
      </c>
      <c r="AK3" s="85" t="s">
        <v>520</v>
      </c>
      <c r="AL3" s="85" t="s">
        <v>521</v>
      </c>
      <c r="AM3" s="85" t="s">
        <v>537</v>
      </c>
      <c r="AN3" s="85" t="s">
        <v>538</v>
      </c>
      <c r="AO3" s="1" t="s">
        <v>559</v>
      </c>
      <c r="AP3" s="85" t="s">
        <v>591</v>
      </c>
      <c r="AQ3" s="85" t="s">
        <v>597</v>
      </c>
    </row>
    <row r="4" spans="1:43" x14ac:dyDescent="0.35">
      <c r="A4" s="134" t="s">
        <v>2</v>
      </c>
      <c r="B4" s="48">
        <f>_xlfn.XLOOKUP(A4,T_Custos[Produto],T_Custos[Peso])</f>
        <v>1</v>
      </c>
      <c r="C4" s="49" t="str">
        <f>_xlfn.XLOOKUP(A4,T_Custos[Produto],T_Custos[Und])</f>
        <v>kg</v>
      </c>
      <c r="D4" s="1" t="s">
        <v>252</v>
      </c>
      <c r="E4" s="1" t="s">
        <v>261</v>
      </c>
      <c r="F4" s="1" t="s">
        <v>248</v>
      </c>
      <c r="G4" s="1" t="s">
        <v>255</v>
      </c>
      <c r="H4" s="1" t="s">
        <v>258</v>
      </c>
      <c r="I4" s="1" t="s">
        <v>260</v>
      </c>
      <c r="J4" s="1" t="s">
        <v>492</v>
      </c>
      <c r="K4" s="85" t="s">
        <v>552</v>
      </c>
      <c r="L4" s="1" t="s">
        <v>259</v>
      </c>
      <c r="M4" s="1" t="s">
        <v>251</v>
      </c>
      <c r="N4" s="1" t="s">
        <v>257</v>
      </c>
      <c r="O4" s="1" t="s">
        <v>247</v>
      </c>
      <c r="P4" s="1"/>
      <c r="Q4" s="1"/>
      <c r="R4" s="1" t="s">
        <v>256</v>
      </c>
      <c r="S4" s="85" t="s">
        <v>442</v>
      </c>
      <c r="T4" s="85" t="s">
        <v>443</v>
      </c>
      <c r="U4" s="85" t="s">
        <v>444</v>
      </c>
      <c r="V4" s="85" t="s">
        <v>445</v>
      </c>
      <c r="W4" s="85" t="s">
        <v>446</v>
      </c>
      <c r="X4" s="85" t="s">
        <v>452</v>
      </c>
      <c r="Y4" s="85"/>
      <c r="Z4" s="85" t="s">
        <v>465</v>
      </c>
      <c r="AA4" s="85" t="s">
        <v>489</v>
      </c>
      <c r="AB4" s="85" t="s">
        <v>490</v>
      </c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 t="s">
        <v>537</v>
      </c>
      <c r="AN4" s="85" t="s">
        <v>538</v>
      </c>
      <c r="AO4" s="1" t="s">
        <v>559</v>
      </c>
      <c r="AP4" s="85" t="s">
        <v>591</v>
      </c>
      <c r="AQ4" s="85" t="s">
        <v>597</v>
      </c>
    </row>
    <row r="5" spans="1:43" x14ac:dyDescent="0.35">
      <c r="A5" s="134" t="s">
        <v>3</v>
      </c>
      <c r="B5" s="48">
        <f>_xlfn.XLOOKUP(A5,T_Custos[Produto],T_Custos[Peso])</f>
        <v>15</v>
      </c>
      <c r="C5" s="49" t="str">
        <f>_xlfn.XLOOKUP(A5,T_Custos[Produto],T_Custos[Und])</f>
        <v>kg</v>
      </c>
      <c r="D5" s="1" t="s">
        <v>252</v>
      </c>
      <c r="E5" s="1" t="s">
        <v>261</v>
      </c>
      <c r="F5" s="1" t="s">
        <v>248</v>
      </c>
      <c r="G5" s="1" t="s">
        <v>255</v>
      </c>
      <c r="H5" s="1" t="s">
        <v>258</v>
      </c>
      <c r="I5" s="1" t="s">
        <v>260</v>
      </c>
      <c r="J5" s="1" t="s">
        <v>492</v>
      </c>
      <c r="K5" s="85" t="s">
        <v>552</v>
      </c>
      <c r="L5" s="1" t="s">
        <v>259</v>
      </c>
      <c r="M5" s="1" t="s">
        <v>251</v>
      </c>
      <c r="N5" s="1" t="s">
        <v>257</v>
      </c>
      <c r="O5" s="1" t="s">
        <v>247</v>
      </c>
      <c r="P5" s="1"/>
      <c r="Q5" s="1"/>
      <c r="R5" s="1" t="s">
        <v>256</v>
      </c>
      <c r="S5" s="85" t="s">
        <v>442</v>
      </c>
      <c r="T5" s="85" t="s">
        <v>443</v>
      </c>
      <c r="U5" s="85" t="s">
        <v>444</v>
      </c>
      <c r="V5" s="85" t="s">
        <v>445</v>
      </c>
      <c r="W5" s="85" t="s">
        <v>446</v>
      </c>
      <c r="X5" s="85" t="s">
        <v>452</v>
      </c>
      <c r="Y5" s="85"/>
      <c r="Z5" s="85"/>
      <c r="AA5" s="85" t="s">
        <v>489</v>
      </c>
      <c r="AB5" s="85" t="s">
        <v>490</v>
      </c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1" t="s">
        <v>559</v>
      </c>
      <c r="AP5" s="85" t="s">
        <v>591</v>
      </c>
      <c r="AQ5" s="85" t="s">
        <v>597</v>
      </c>
    </row>
    <row r="6" spans="1:43" x14ac:dyDescent="0.35">
      <c r="A6" s="134" t="s">
        <v>4</v>
      </c>
      <c r="B6" s="48">
        <f>_xlfn.XLOOKUP(A6,T_Custos[Produto],T_Custos[Peso])</f>
        <v>1</v>
      </c>
      <c r="C6" s="49" t="str">
        <f>_xlfn.XLOOKUP(A6,T_Custos[Produto],T_Custos[Und])</f>
        <v>kg</v>
      </c>
      <c r="D6" s="1" t="s">
        <v>252</v>
      </c>
      <c r="E6" s="1" t="s">
        <v>261</v>
      </c>
      <c r="F6" s="1" t="s">
        <v>248</v>
      </c>
      <c r="G6" s="1" t="s">
        <v>255</v>
      </c>
      <c r="H6" s="1" t="s">
        <v>258</v>
      </c>
      <c r="I6" s="1" t="s">
        <v>260</v>
      </c>
      <c r="J6" s="1" t="s">
        <v>492</v>
      </c>
      <c r="K6" s="85" t="s">
        <v>552</v>
      </c>
      <c r="L6" s="1" t="s">
        <v>259</v>
      </c>
      <c r="M6" s="1" t="s">
        <v>251</v>
      </c>
      <c r="N6" s="1" t="s">
        <v>257</v>
      </c>
      <c r="O6" s="1" t="s">
        <v>247</v>
      </c>
      <c r="P6" s="1"/>
      <c r="Q6" s="1"/>
      <c r="R6" s="1" t="s">
        <v>256</v>
      </c>
      <c r="S6" s="85" t="s">
        <v>442</v>
      </c>
      <c r="T6" s="85" t="s">
        <v>443</v>
      </c>
      <c r="U6" s="85" t="s">
        <v>444</v>
      </c>
      <c r="V6" s="85" t="s">
        <v>445</v>
      </c>
      <c r="W6" s="85" t="s">
        <v>446</v>
      </c>
      <c r="X6" s="85" t="s">
        <v>452</v>
      </c>
      <c r="Y6" s="85"/>
      <c r="Z6" s="85"/>
      <c r="AA6" s="85" t="s">
        <v>489</v>
      </c>
      <c r="AB6" s="85" t="s">
        <v>490</v>
      </c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 t="s">
        <v>537</v>
      </c>
      <c r="AN6" s="85" t="s">
        <v>538</v>
      </c>
      <c r="AO6" s="1" t="s">
        <v>559</v>
      </c>
      <c r="AP6" s="85" t="s">
        <v>591</v>
      </c>
      <c r="AQ6" s="85" t="s">
        <v>597</v>
      </c>
    </row>
    <row r="7" spans="1:43" x14ac:dyDescent="0.35">
      <c r="A7" s="134" t="s">
        <v>5</v>
      </c>
      <c r="B7" s="48">
        <f>_xlfn.XLOOKUP(A7,T_Custos[Produto],T_Custos[Peso])</f>
        <v>1</v>
      </c>
      <c r="C7" s="49" t="str">
        <f>_xlfn.XLOOKUP(A7,T_Custos[Produto],T_Custos[Und])</f>
        <v>kg</v>
      </c>
      <c r="D7" s="1" t="s">
        <v>252</v>
      </c>
      <c r="E7" s="1" t="s">
        <v>261</v>
      </c>
      <c r="F7" s="1" t="s">
        <v>248</v>
      </c>
      <c r="G7" s="1" t="s">
        <v>255</v>
      </c>
      <c r="H7" s="1" t="s">
        <v>258</v>
      </c>
      <c r="I7" s="1" t="s">
        <v>260</v>
      </c>
      <c r="J7" s="1" t="s">
        <v>492</v>
      </c>
      <c r="K7" s="85" t="s">
        <v>552</v>
      </c>
      <c r="L7" s="1" t="s">
        <v>259</v>
      </c>
      <c r="M7" s="1" t="s">
        <v>251</v>
      </c>
      <c r="N7" s="1" t="s">
        <v>257</v>
      </c>
      <c r="O7" s="1" t="s">
        <v>247</v>
      </c>
      <c r="P7" s="1"/>
      <c r="Q7" s="1"/>
      <c r="R7" s="1" t="s">
        <v>256</v>
      </c>
      <c r="S7" s="85" t="s">
        <v>442</v>
      </c>
      <c r="T7" s="85" t="s">
        <v>443</v>
      </c>
      <c r="U7" s="85" t="s">
        <v>444</v>
      </c>
      <c r="V7" s="85" t="s">
        <v>445</v>
      </c>
      <c r="W7" s="85" t="s">
        <v>446</v>
      </c>
      <c r="X7" s="85" t="s">
        <v>452</v>
      </c>
      <c r="Y7" s="85"/>
      <c r="Z7" s="85"/>
      <c r="AA7" s="85" t="s">
        <v>489</v>
      </c>
      <c r="AB7" s="85" t="s">
        <v>490</v>
      </c>
      <c r="AC7" s="85"/>
      <c r="AD7" s="85" t="s">
        <v>507</v>
      </c>
      <c r="AE7" s="85"/>
      <c r="AF7" s="85"/>
      <c r="AG7" s="85"/>
      <c r="AH7" s="85"/>
      <c r="AI7" s="85"/>
      <c r="AJ7" s="85"/>
      <c r="AK7" s="85"/>
      <c r="AL7" s="85"/>
      <c r="AM7" s="85" t="s">
        <v>537</v>
      </c>
      <c r="AN7" s="85" t="s">
        <v>538</v>
      </c>
      <c r="AO7" s="1" t="s">
        <v>559</v>
      </c>
      <c r="AP7" s="85" t="s">
        <v>591</v>
      </c>
      <c r="AQ7" s="85" t="s">
        <v>597</v>
      </c>
    </row>
    <row r="8" spans="1:43" x14ac:dyDescent="0.35">
      <c r="A8" s="134" t="s">
        <v>6</v>
      </c>
      <c r="B8" s="48">
        <f>_xlfn.XLOOKUP(A8,T_Custos[Produto],T_Custos[Peso])</f>
        <v>1</v>
      </c>
      <c r="C8" s="49" t="str">
        <f>_xlfn.XLOOKUP(A8,T_Custos[Produto],T_Custos[Und])</f>
        <v>kg</v>
      </c>
      <c r="D8" s="1" t="s">
        <v>252</v>
      </c>
      <c r="E8" s="1" t="s">
        <v>261</v>
      </c>
      <c r="F8" s="1" t="s">
        <v>248</v>
      </c>
      <c r="G8" s="1" t="s">
        <v>255</v>
      </c>
      <c r="H8" s="1" t="s">
        <v>258</v>
      </c>
      <c r="I8" s="1" t="s">
        <v>260</v>
      </c>
      <c r="J8" s="1" t="s">
        <v>492</v>
      </c>
      <c r="K8" s="85" t="s">
        <v>552</v>
      </c>
      <c r="L8" s="1" t="s">
        <v>259</v>
      </c>
      <c r="M8" s="1" t="s">
        <v>251</v>
      </c>
      <c r="N8" s="1" t="s">
        <v>257</v>
      </c>
      <c r="O8" s="1" t="s">
        <v>247</v>
      </c>
      <c r="P8" s="1"/>
      <c r="Q8" s="1"/>
      <c r="R8" s="1" t="s">
        <v>256</v>
      </c>
      <c r="S8" s="85" t="s">
        <v>442</v>
      </c>
      <c r="T8" s="85" t="s">
        <v>443</v>
      </c>
      <c r="U8" s="85" t="s">
        <v>444</v>
      </c>
      <c r="V8" s="85" t="s">
        <v>445</v>
      </c>
      <c r="W8" s="85" t="s">
        <v>446</v>
      </c>
      <c r="X8" s="85" t="s">
        <v>452</v>
      </c>
      <c r="Y8" s="85"/>
      <c r="Z8" s="85"/>
      <c r="AA8" s="85" t="s">
        <v>489</v>
      </c>
      <c r="AB8" s="85" t="s">
        <v>490</v>
      </c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 t="s">
        <v>537</v>
      </c>
      <c r="AN8" s="85" t="s">
        <v>538</v>
      </c>
      <c r="AO8" s="1" t="s">
        <v>559</v>
      </c>
      <c r="AP8" s="85" t="s">
        <v>591</v>
      </c>
      <c r="AQ8" s="85" t="s">
        <v>597</v>
      </c>
    </row>
    <row r="9" spans="1:43" x14ac:dyDescent="0.35">
      <c r="A9" s="134" t="s">
        <v>7</v>
      </c>
      <c r="B9" s="48">
        <f>_xlfn.XLOOKUP(A9,T_Custos[Produto],T_Custos[Peso])</f>
        <v>1</v>
      </c>
      <c r="C9" s="49" t="str">
        <f>_xlfn.XLOOKUP(A9,T_Custos[Produto],T_Custos[Und])</f>
        <v>kg</v>
      </c>
      <c r="D9" s="1" t="s">
        <v>252</v>
      </c>
      <c r="E9" s="1" t="s">
        <v>261</v>
      </c>
      <c r="F9" s="1" t="s">
        <v>248</v>
      </c>
      <c r="G9" s="1" t="s">
        <v>255</v>
      </c>
      <c r="H9" s="1" t="s">
        <v>258</v>
      </c>
      <c r="I9" s="1" t="s">
        <v>260</v>
      </c>
      <c r="J9" s="1" t="s">
        <v>492</v>
      </c>
      <c r="K9" s="85" t="s">
        <v>552</v>
      </c>
      <c r="L9" s="1" t="s">
        <v>259</v>
      </c>
      <c r="M9" s="1" t="s">
        <v>251</v>
      </c>
      <c r="N9" s="1" t="s">
        <v>257</v>
      </c>
      <c r="O9" s="1" t="s">
        <v>247</v>
      </c>
      <c r="P9" s="1"/>
      <c r="Q9" s="1"/>
      <c r="R9" s="1" t="s">
        <v>256</v>
      </c>
      <c r="S9" s="85" t="s">
        <v>442</v>
      </c>
      <c r="T9" s="85" t="s">
        <v>443</v>
      </c>
      <c r="U9" s="85" t="s">
        <v>444</v>
      </c>
      <c r="V9" s="85" t="s">
        <v>445</v>
      </c>
      <c r="W9" s="85" t="s">
        <v>446</v>
      </c>
      <c r="X9" s="85" t="s">
        <v>452</v>
      </c>
      <c r="Y9" s="85"/>
      <c r="Z9" s="85"/>
      <c r="AA9" s="85" t="s">
        <v>489</v>
      </c>
      <c r="AB9" s="85" t="s">
        <v>490</v>
      </c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 t="s">
        <v>537</v>
      </c>
      <c r="AN9" s="85" t="s">
        <v>538</v>
      </c>
      <c r="AO9" s="1" t="s">
        <v>559</v>
      </c>
      <c r="AP9" s="85" t="s">
        <v>591</v>
      </c>
      <c r="AQ9" s="85" t="s">
        <v>597</v>
      </c>
    </row>
    <row r="10" spans="1:43" x14ac:dyDescent="0.35">
      <c r="A10" s="85" t="s">
        <v>8</v>
      </c>
      <c r="B10" s="48">
        <f>_xlfn.XLOOKUP(A10,T_Custos[Produto],T_Custos[Peso])</f>
        <v>1</v>
      </c>
      <c r="C10" s="49" t="str">
        <f>_xlfn.XLOOKUP(A10,T_Custos[Produto],T_Custos[Und])</f>
        <v>kg</v>
      </c>
      <c r="D10" s="1" t="s">
        <v>252</v>
      </c>
      <c r="E10" s="1" t="s">
        <v>261</v>
      </c>
      <c r="F10" s="1" t="s">
        <v>248</v>
      </c>
      <c r="G10" s="1" t="s">
        <v>255</v>
      </c>
      <c r="H10" s="1" t="s">
        <v>258</v>
      </c>
      <c r="I10" s="1" t="s">
        <v>260</v>
      </c>
      <c r="J10" s="1" t="s">
        <v>492</v>
      </c>
      <c r="K10" s="85" t="s">
        <v>552</v>
      </c>
      <c r="L10" s="1" t="s">
        <v>259</v>
      </c>
      <c r="M10" s="1" t="s">
        <v>251</v>
      </c>
      <c r="N10" s="1" t="s">
        <v>257</v>
      </c>
      <c r="O10" s="1" t="s">
        <v>247</v>
      </c>
      <c r="P10" s="1"/>
      <c r="Q10" s="1"/>
      <c r="R10" s="1" t="s">
        <v>256</v>
      </c>
      <c r="S10" s="85" t="s">
        <v>442</v>
      </c>
      <c r="T10" s="85" t="s">
        <v>443</v>
      </c>
      <c r="U10" s="85" t="s">
        <v>444</v>
      </c>
      <c r="V10" s="85" t="s">
        <v>445</v>
      </c>
      <c r="W10" s="85" t="s">
        <v>446</v>
      </c>
      <c r="X10" s="85" t="s">
        <v>452</v>
      </c>
      <c r="Y10" s="85"/>
      <c r="Z10" s="85"/>
      <c r="AA10" s="85" t="s">
        <v>489</v>
      </c>
      <c r="AB10" s="85" t="s">
        <v>490</v>
      </c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 t="s">
        <v>537</v>
      </c>
      <c r="AN10" s="85" t="s">
        <v>538</v>
      </c>
      <c r="AO10" s="1" t="s">
        <v>559</v>
      </c>
      <c r="AP10" s="85" t="s">
        <v>591</v>
      </c>
      <c r="AQ10" s="85" t="s">
        <v>597</v>
      </c>
    </row>
    <row r="11" spans="1:43" x14ac:dyDescent="0.35">
      <c r="A11" s="85" t="s">
        <v>9</v>
      </c>
      <c r="B11" s="48">
        <f>_xlfn.XLOOKUP(A11,T_Custos[Produto],T_Custos[Peso])</f>
        <v>1</v>
      </c>
      <c r="C11" s="49" t="str">
        <f>_xlfn.XLOOKUP(A11,T_Custos[Produto],T_Custos[Und])</f>
        <v>kg</v>
      </c>
      <c r="D11" s="1" t="s">
        <v>252</v>
      </c>
      <c r="E11" s="1" t="s">
        <v>261</v>
      </c>
      <c r="F11" s="1" t="s">
        <v>248</v>
      </c>
      <c r="G11" s="1" t="s">
        <v>255</v>
      </c>
      <c r="H11" s="1" t="s">
        <v>258</v>
      </c>
      <c r="I11" s="1" t="s">
        <v>260</v>
      </c>
      <c r="J11" s="1" t="s">
        <v>492</v>
      </c>
      <c r="K11" s="85" t="s">
        <v>552</v>
      </c>
      <c r="L11" s="1" t="s">
        <v>259</v>
      </c>
      <c r="M11" s="1" t="s">
        <v>251</v>
      </c>
      <c r="N11" s="1" t="s">
        <v>257</v>
      </c>
      <c r="O11" s="1" t="s">
        <v>247</v>
      </c>
      <c r="P11" s="1"/>
      <c r="Q11" s="1"/>
      <c r="R11" s="1" t="s">
        <v>256</v>
      </c>
      <c r="S11" s="85" t="s">
        <v>442</v>
      </c>
      <c r="T11" s="85" t="s">
        <v>443</v>
      </c>
      <c r="U11" s="85" t="s">
        <v>444</v>
      </c>
      <c r="V11" s="85" t="s">
        <v>445</v>
      </c>
      <c r="W11" s="85" t="s">
        <v>446</v>
      </c>
      <c r="X11" s="85" t="s">
        <v>452</v>
      </c>
      <c r="Y11" s="85"/>
      <c r="Z11" s="85"/>
      <c r="AA11" s="85" t="s">
        <v>489</v>
      </c>
      <c r="AB11" s="85" t="s">
        <v>490</v>
      </c>
      <c r="AC11" s="85"/>
      <c r="AD11" s="85"/>
      <c r="AE11" s="85"/>
      <c r="AF11" s="85"/>
      <c r="AG11" s="85"/>
      <c r="AH11" s="85"/>
      <c r="AI11" s="85"/>
      <c r="AJ11" s="85"/>
      <c r="AK11" s="85"/>
      <c r="AL11" s="85"/>
      <c r="AM11" s="85" t="s">
        <v>537</v>
      </c>
      <c r="AN11" s="85" t="s">
        <v>538</v>
      </c>
      <c r="AO11" s="1" t="s">
        <v>559</v>
      </c>
      <c r="AP11" s="85" t="s">
        <v>591</v>
      </c>
      <c r="AQ11" s="85" t="s">
        <v>597</v>
      </c>
    </row>
    <row r="12" spans="1:43" x14ac:dyDescent="0.35">
      <c r="A12" s="134" t="s">
        <v>10</v>
      </c>
      <c r="B12" s="48">
        <f>_xlfn.XLOOKUP(A12,T_Custos[Produto],T_Custos[Peso])</f>
        <v>1</v>
      </c>
      <c r="C12" s="49" t="str">
        <f>_xlfn.XLOOKUP(A12,T_Custos[Produto],T_Custos[Und])</f>
        <v>kg</v>
      </c>
      <c r="D12" s="1" t="s">
        <v>252</v>
      </c>
      <c r="E12" s="1" t="s">
        <v>261</v>
      </c>
      <c r="F12" s="1" t="s">
        <v>248</v>
      </c>
      <c r="G12" s="1" t="s">
        <v>255</v>
      </c>
      <c r="H12" s="1" t="s">
        <v>258</v>
      </c>
      <c r="I12" s="1" t="s">
        <v>260</v>
      </c>
      <c r="J12" s="1" t="s">
        <v>492</v>
      </c>
      <c r="K12" s="85" t="s">
        <v>552</v>
      </c>
      <c r="L12" s="1" t="s">
        <v>259</v>
      </c>
      <c r="M12" s="1" t="s">
        <v>251</v>
      </c>
      <c r="N12" s="1" t="s">
        <v>257</v>
      </c>
      <c r="O12" s="1" t="s">
        <v>247</v>
      </c>
      <c r="P12" s="1"/>
      <c r="Q12" s="1"/>
      <c r="R12" s="1" t="s">
        <v>256</v>
      </c>
      <c r="S12" s="85" t="s">
        <v>442</v>
      </c>
      <c r="T12" s="85" t="s">
        <v>443</v>
      </c>
      <c r="U12" s="85" t="s">
        <v>444</v>
      </c>
      <c r="V12" s="85" t="s">
        <v>445</v>
      </c>
      <c r="W12" s="85" t="s">
        <v>446</v>
      </c>
      <c r="X12" s="85" t="s">
        <v>452</v>
      </c>
      <c r="Y12" s="85"/>
      <c r="Z12" s="85"/>
      <c r="AA12" s="85" t="s">
        <v>489</v>
      </c>
      <c r="AB12" s="85" t="s">
        <v>490</v>
      </c>
      <c r="AC12" s="85"/>
      <c r="AD12" s="85" t="s">
        <v>507</v>
      </c>
      <c r="AE12" s="85"/>
      <c r="AF12" s="85" t="s">
        <v>515</v>
      </c>
      <c r="AG12" s="85"/>
      <c r="AH12" s="85"/>
      <c r="AI12" s="85"/>
      <c r="AJ12" s="85"/>
      <c r="AK12" s="85"/>
      <c r="AL12" s="85"/>
      <c r="AM12" s="85" t="s">
        <v>537</v>
      </c>
      <c r="AN12" s="85" t="s">
        <v>538</v>
      </c>
      <c r="AO12" s="1" t="s">
        <v>559</v>
      </c>
      <c r="AP12" s="85" t="s">
        <v>591</v>
      </c>
      <c r="AQ12" s="85" t="s">
        <v>597</v>
      </c>
    </row>
    <row r="13" spans="1:43" x14ac:dyDescent="0.35">
      <c r="A13" s="134" t="s">
        <v>11</v>
      </c>
      <c r="B13" s="48">
        <f>_xlfn.XLOOKUP(A13,T_Custos[Produto],T_Custos[Peso])</f>
        <v>17</v>
      </c>
      <c r="C13" s="49" t="str">
        <f>_xlfn.XLOOKUP(A13,T_Custos[Produto],T_Custos[Und])</f>
        <v>kg</v>
      </c>
      <c r="D13" s="1" t="s">
        <v>252</v>
      </c>
      <c r="E13" s="1" t="s">
        <v>261</v>
      </c>
      <c r="F13" s="1" t="s">
        <v>248</v>
      </c>
      <c r="G13" s="1" t="s">
        <v>255</v>
      </c>
      <c r="H13" s="1" t="s">
        <v>258</v>
      </c>
      <c r="I13" s="1" t="s">
        <v>260</v>
      </c>
      <c r="J13" s="1" t="s">
        <v>492</v>
      </c>
      <c r="K13" s="85" t="s">
        <v>552</v>
      </c>
      <c r="L13" s="1" t="s">
        <v>259</v>
      </c>
      <c r="M13" s="1" t="s">
        <v>251</v>
      </c>
      <c r="N13" s="1" t="s">
        <v>257</v>
      </c>
      <c r="O13" s="1" t="s">
        <v>247</v>
      </c>
      <c r="P13" s="1"/>
      <c r="Q13" s="1"/>
      <c r="R13" s="1" t="s">
        <v>256</v>
      </c>
      <c r="S13" s="85" t="s">
        <v>442</v>
      </c>
      <c r="T13" s="85" t="s">
        <v>443</v>
      </c>
      <c r="U13" s="85" t="s">
        <v>444</v>
      </c>
      <c r="V13" s="85" t="s">
        <v>445</v>
      </c>
      <c r="W13" s="85" t="s">
        <v>446</v>
      </c>
      <c r="X13" s="85" t="s">
        <v>452</v>
      </c>
      <c r="Y13" s="85" t="s">
        <v>463</v>
      </c>
      <c r="Z13" s="85" t="s">
        <v>465</v>
      </c>
      <c r="AA13" s="85"/>
      <c r="AB13" s="85"/>
      <c r="AC13" s="85"/>
      <c r="AD13" s="85" t="s">
        <v>507</v>
      </c>
      <c r="AE13" s="85" t="s">
        <v>509</v>
      </c>
      <c r="AF13" s="85" t="s">
        <v>515</v>
      </c>
      <c r="AG13" s="85" t="s">
        <v>516</v>
      </c>
      <c r="AH13" s="85" t="s">
        <v>517</v>
      </c>
      <c r="AI13" s="85"/>
      <c r="AJ13" s="85"/>
      <c r="AK13" s="85"/>
      <c r="AL13" s="85"/>
      <c r="AM13" s="85" t="s">
        <v>537</v>
      </c>
      <c r="AN13" s="85" t="s">
        <v>538</v>
      </c>
      <c r="AO13" s="1" t="s">
        <v>559</v>
      </c>
      <c r="AP13" s="85" t="s">
        <v>591</v>
      </c>
      <c r="AQ13" s="85" t="s">
        <v>597</v>
      </c>
    </row>
    <row r="14" spans="1:43" x14ac:dyDescent="0.35">
      <c r="A14" s="134" t="s">
        <v>364</v>
      </c>
      <c r="B14" s="48">
        <f>_xlfn.XLOOKUP(A14,T_Custos[Produto],T_Custos[Peso])</f>
        <v>1</v>
      </c>
      <c r="C14" s="49" t="str">
        <f>_xlfn.XLOOKUP(A14,T_Custos[Produto],T_Custos[Und])</f>
        <v>und</v>
      </c>
      <c r="D14" s="1"/>
      <c r="E14" s="1"/>
      <c r="F14" s="1"/>
      <c r="G14" s="1"/>
      <c r="H14" s="1"/>
      <c r="I14" s="1"/>
      <c r="J14" s="1"/>
      <c r="K14" s="85"/>
      <c r="L14" s="1"/>
      <c r="M14" s="1"/>
      <c r="N14" s="1"/>
      <c r="O14" s="1"/>
      <c r="P14" s="47" t="s">
        <v>253</v>
      </c>
      <c r="Q14" s="47" t="s">
        <v>254</v>
      </c>
      <c r="R14" s="1"/>
      <c r="S14" s="85" t="s">
        <v>442</v>
      </c>
      <c r="T14" s="85" t="s">
        <v>443</v>
      </c>
      <c r="U14" s="85" t="s">
        <v>444</v>
      </c>
      <c r="V14" s="85" t="s">
        <v>445</v>
      </c>
      <c r="W14" s="85" t="s">
        <v>446</v>
      </c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1"/>
      <c r="AP14" s="85"/>
      <c r="AQ14" s="85"/>
    </row>
    <row r="15" spans="1:43" x14ac:dyDescent="0.35">
      <c r="A15" s="85" t="s">
        <v>12</v>
      </c>
      <c r="B15" s="48">
        <f>_xlfn.XLOOKUP(A15,T_Custos[Produto],T_Custos[Peso])</f>
        <v>18</v>
      </c>
      <c r="C15" s="49" t="str">
        <f>_xlfn.XLOOKUP(A15,T_Custos[Produto],T_Custos[Und])</f>
        <v>kg</v>
      </c>
      <c r="D15" s="1" t="s">
        <v>252</v>
      </c>
      <c r="E15" s="1" t="s">
        <v>261</v>
      </c>
      <c r="F15" s="1" t="s">
        <v>248</v>
      </c>
      <c r="G15" s="1" t="s">
        <v>255</v>
      </c>
      <c r="H15" s="1" t="s">
        <v>258</v>
      </c>
      <c r="I15" s="1" t="s">
        <v>260</v>
      </c>
      <c r="J15" s="1" t="s">
        <v>492</v>
      </c>
      <c r="K15" s="85" t="s">
        <v>552</v>
      </c>
      <c r="L15" s="1" t="s">
        <v>259</v>
      </c>
      <c r="M15" s="1" t="s">
        <v>251</v>
      </c>
      <c r="N15" s="1" t="s">
        <v>257</v>
      </c>
      <c r="O15" s="1" t="s">
        <v>247</v>
      </c>
      <c r="P15" s="1"/>
      <c r="Q15" s="1"/>
      <c r="R15" s="1" t="s">
        <v>256</v>
      </c>
      <c r="S15" s="85" t="s">
        <v>442</v>
      </c>
      <c r="T15" s="85" t="s">
        <v>443</v>
      </c>
      <c r="U15" s="85" t="s">
        <v>444</v>
      </c>
      <c r="V15" s="85" t="s">
        <v>445</v>
      </c>
      <c r="W15" s="85" t="s">
        <v>446</v>
      </c>
      <c r="X15" s="85" t="s">
        <v>452</v>
      </c>
      <c r="Y15" s="85"/>
      <c r="Z15" s="85"/>
      <c r="AA15" s="85" t="s">
        <v>489</v>
      </c>
      <c r="AB15" s="85" t="s">
        <v>490</v>
      </c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1" t="s">
        <v>559</v>
      </c>
      <c r="AP15" s="85" t="s">
        <v>591</v>
      </c>
      <c r="AQ15" s="85" t="s">
        <v>597</v>
      </c>
    </row>
    <row r="16" spans="1:43" x14ac:dyDescent="0.35">
      <c r="A16" s="134" t="s">
        <v>186</v>
      </c>
      <c r="B16" s="48">
        <f>_xlfn.XLOOKUP(A16,T_Custos[Produto],T_Custos[Peso])</f>
        <v>1</v>
      </c>
      <c r="C16" s="49" t="str">
        <f>_xlfn.XLOOKUP(A16,T_Custos[Produto],T_Custos[Und])</f>
        <v>un</v>
      </c>
      <c r="D16" s="1" t="s">
        <v>252</v>
      </c>
      <c r="E16" s="1" t="s">
        <v>261</v>
      </c>
      <c r="F16" s="1" t="s">
        <v>248</v>
      </c>
      <c r="G16" s="1" t="s">
        <v>255</v>
      </c>
      <c r="H16" s="1" t="s">
        <v>258</v>
      </c>
      <c r="I16" s="1" t="s">
        <v>260</v>
      </c>
      <c r="J16" s="1" t="s">
        <v>492</v>
      </c>
      <c r="K16" s="85" t="s">
        <v>552</v>
      </c>
      <c r="L16" s="1" t="s">
        <v>259</v>
      </c>
      <c r="M16" s="1" t="s">
        <v>251</v>
      </c>
      <c r="N16" s="1" t="s">
        <v>257</v>
      </c>
      <c r="O16" s="1" t="s">
        <v>247</v>
      </c>
      <c r="P16" s="1"/>
      <c r="Q16" s="1"/>
      <c r="R16" s="1" t="s">
        <v>256</v>
      </c>
      <c r="S16" s="85" t="s">
        <v>442</v>
      </c>
      <c r="T16" s="85" t="s">
        <v>443</v>
      </c>
      <c r="U16" s="85" t="s">
        <v>444</v>
      </c>
      <c r="V16" s="85" t="s">
        <v>445</v>
      </c>
      <c r="W16" s="85" t="s">
        <v>446</v>
      </c>
      <c r="X16" s="85"/>
      <c r="Y16" s="85"/>
      <c r="Z16" s="85" t="s">
        <v>465</v>
      </c>
      <c r="AA16" s="85" t="s">
        <v>489</v>
      </c>
      <c r="AB16" s="85" t="s">
        <v>490</v>
      </c>
      <c r="AC16" s="85"/>
      <c r="AD16" s="85" t="s">
        <v>507</v>
      </c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1" t="s">
        <v>559</v>
      </c>
      <c r="AP16" s="85"/>
      <c r="AQ16" s="85" t="s">
        <v>597</v>
      </c>
    </row>
    <row r="17" spans="1:43" x14ac:dyDescent="0.35">
      <c r="A17" s="134" t="s">
        <v>562</v>
      </c>
      <c r="B17" s="64">
        <f>_xlfn.XLOOKUP(A17,T_Custos[Produto],T_Custos[Peso])</f>
        <v>1</v>
      </c>
      <c r="C17" s="65" t="str">
        <f>_xlfn.XLOOKUP(A17,T_Custos[Produto],T_Custos[Und])</f>
        <v>kg</v>
      </c>
      <c r="D17" s="1"/>
      <c r="E17" s="1"/>
      <c r="F17" s="1"/>
      <c r="G17" s="1"/>
      <c r="H17" s="1"/>
      <c r="I17" s="1"/>
      <c r="J17" s="1"/>
      <c r="K17" s="85"/>
      <c r="L17" s="1"/>
      <c r="M17" s="1"/>
      <c r="N17" s="1"/>
      <c r="O17" s="1"/>
      <c r="P17" s="1"/>
      <c r="Q17" s="1"/>
      <c r="R17" s="1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 t="s">
        <v>591</v>
      </c>
      <c r="AQ17" s="85"/>
    </row>
    <row r="18" spans="1:43" x14ac:dyDescent="0.35">
      <c r="A18" s="134" t="s">
        <v>188</v>
      </c>
      <c r="B18" s="48">
        <f>_xlfn.XLOOKUP(A18,T_Custos[Produto],T_Custos[Peso])</f>
        <v>1</v>
      </c>
      <c r="C18" s="49" t="str">
        <f>_xlfn.XLOOKUP(A18,T_Custos[Produto],T_Custos[Und])</f>
        <v>un</v>
      </c>
      <c r="D18" s="1" t="s">
        <v>252</v>
      </c>
      <c r="E18" s="1" t="s">
        <v>261</v>
      </c>
      <c r="F18" s="1" t="s">
        <v>248</v>
      </c>
      <c r="G18" s="1" t="s">
        <v>255</v>
      </c>
      <c r="H18" s="1" t="s">
        <v>258</v>
      </c>
      <c r="I18" s="1" t="s">
        <v>260</v>
      </c>
      <c r="J18" s="1" t="s">
        <v>492</v>
      </c>
      <c r="K18" s="85" t="s">
        <v>552</v>
      </c>
      <c r="L18" s="1" t="s">
        <v>259</v>
      </c>
      <c r="M18" s="1" t="s">
        <v>251</v>
      </c>
      <c r="N18" s="1" t="s">
        <v>257</v>
      </c>
      <c r="O18" s="1" t="s">
        <v>247</v>
      </c>
      <c r="P18" s="1"/>
      <c r="Q18" s="1"/>
      <c r="R18" s="1" t="s">
        <v>256</v>
      </c>
      <c r="S18" s="85" t="s">
        <v>442</v>
      </c>
      <c r="T18" s="85" t="s">
        <v>443</v>
      </c>
      <c r="U18" s="85" t="s">
        <v>444</v>
      </c>
      <c r="V18" s="85" t="s">
        <v>445</v>
      </c>
      <c r="W18" s="85" t="s">
        <v>446</v>
      </c>
      <c r="X18" s="85"/>
      <c r="Y18" s="85" t="s">
        <v>463</v>
      </c>
      <c r="Z18" s="85" t="s">
        <v>465</v>
      </c>
      <c r="AA18" s="85" t="s">
        <v>489</v>
      </c>
      <c r="AB18" s="85" t="s">
        <v>490</v>
      </c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1" t="s">
        <v>559</v>
      </c>
      <c r="AP18" s="85"/>
      <c r="AQ18" s="85" t="s">
        <v>597</v>
      </c>
    </row>
    <row r="19" spans="1:43" x14ac:dyDescent="0.35">
      <c r="A19" s="134" t="s">
        <v>397</v>
      </c>
      <c r="B19" s="48">
        <f>_xlfn.XLOOKUP(A19,T_Custos[Produto],T_Custos[Peso])</f>
        <v>1</v>
      </c>
      <c r="C19" s="49" t="str">
        <f>_xlfn.XLOOKUP(A19,T_Custos[Produto],T_Custos[Und])</f>
        <v>pc</v>
      </c>
      <c r="D19" s="1"/>
      <c r="E19" s="1"/>
      <c r="F19" s="1"/>
      <c r="G19" s="1"/>
      <c r="H19" s="1"/>
      <c r="I19" s="1"/>
      <c r="J19" s="1"/>
      <c r="K19" s="85"/>
      <c r="L19" s="1"/>
      <c r="M19" s="1"/>
      <c r="N19" s="1"/>
      <c r="O19" s="1"/>
      <c r="P19" s="47" t="s">
        <v>253</v>
      </c>
      <c r="Q19" s="47" t="s">
        <v>254</v>
      </c>
      <c r="R19" s="1"/>
      <c r="S19" s="85" t="s">
        <v>442</v>
      </c>
      <c r="T19" s="85" t="s">
        <v>443</v>
      </c>
      <c r="U19" s="85" t="s">
        <v>444</v>
      </c>
      <c r="V19" s="85" t="s">
        <v>445</v>
      </c>
      <c r="W19" s="85" t="s">
        <v>446</v>
      </c>
      <c r="X19" s="85" t="s">
        <v>452</v>
      </c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1"/>
      <c r="AP19" s="85"/>
      <c r="AQ19" s="85"/>
    </row>
    <row r="20" spans="1:43" x14ac:dyDescent="0.35">
      <c r="A20" s="134" t="s">
        <v>223</v>
      </c>
      <c r="B20" s="48">
        <f>_xlfn.XLOOKUP(A20,T_Custos[Produto],T_Custos[Peso])</f>
        <v>1</v>
      </c>
      <c r="C20" s="49" t="str">
        <f>_xlfn.XLOOKUP(A20,T_Custos[Produto],T_Custos[Und])</f>
        <v>un</v>
      </c>
      <c r="D20" s="1" t="s">
        <v>252</v>
      </c>
      <c r="E20" s="1" t="s">
        <v>261</v>
      </c>
      <c r="F20" s="1" t="s">
        <v>248</v>
      </c>
      <c r="G20" s="1" t="s">
        <v>255</v>
      </c>
      <c r="H20" s="1" t="s">
        <v>258</v>
      </c>
      <c r="I20" s="1" t="s">
        <v>260</v>
      </c>
      <c r="J20" s="1" t="s">
        <v>492</v>
      </c>
      <c r="K20" s="85" t="s">
        <v>552</v>
      </c>
      <c r="L20" s="1" t="s">
        <v>259</v>
      </c>
      <c r="M20" s="1" t="s">
        <v>251</v>
      </c>
      <c r="N20" s="1" t="s">
        <v>257</v>
      </c>
      <c r="O20" s="1" t="s">
        <v>247</v>
      </c>
      <c r="P20" s="1"/>
      <c r="Q20" s="1"/>
      <c r="R20" s="1" t="s">
        <v>256</v>
      </c>
      <c r="S20" s="85" t="s">
        <v>442</v>
      </c>
      <c r="T20" s="85" t="s">
        <v>443</v>
      </c>
      <c r="U20" s="85" t="s">
        <v>444</v>
      </c>
      <c r="V20" s="85" t="s">
        <v>445</v>
      </c>
      <c r="W20" s="85" t="s">
        <v>446</v>
      </c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1" t="s">
        <v>559</v>
      </c>
      <c r="AP20" s="85"/>
      <c r="AQ20" s="85" t="s">
        <v>597</v>
      </c>
    </row>
    <row r="21" spans="1:43" x14ac:dyDescent="0.35">
      <c r="A21" s="134" t="s">
        <v>563</v>
      </c>
      <c r="B21" s="64">
        <f>_xlfn.XLOOKUP(A21,T_Custos[Produto],T_Custos[Peso])</f>
        <v>1</v>
      </c>
      <c r="C21" s="65" t="str">
        <f>_xlfn.XLOOKUP(A21,T_Custos[Produto],T_Custos[Und])</f>
        <v>kg</v>
      </c>
      <c r="D21" s="1"/>
      <c r="E21" s="1"/>
      <c r="F21" s="1"/>
      <c r="G21" s="1"/>
      <c r="H21" s="1"/>
      <c r="I21" s="1"/>
      <c r="J21" s="1"/>
      <c r="K21" s="85"/>
      <c r="L21" s="1"/>
      <c r="M21" s="1"/>
      <c r="N21" s="1"/>
      <c r="O21" s="1"/>
      <c r="P21" s="1"/>
      <c r="Q21" s="1"/>
      <c r="R21" s="1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 t="s">
        <v>591</v>
      </c>
      <c r="AQ21" s="85"/>
    </row>
    <row r="22" spans="1:43" x14ac:dyDescent="0.35">
      <c r="A22" s="134" t="s">
        <v>13</v>
      </c>
      <c r="B22" s="48">
        <f>_xlfn.XLOOKUP(A22,T_Custos[Produto],T_Custos[Peso])</f>
        <v>20</v>
      </c>
      <c r="C22" s="49" t="str">
        <f>_xlfn.XLOOKUP(A22,T_Custos[Produto],T_Custos[Und])</f>
        <v>kg</v>
      </c>
      <c r="D22" s="1" t="s">
        <v>252</v>
      </c>
      <c r="E22" s="1" t="s">
        <v>261</v>
      </c>
      <c r="F22" s="1" t="s">
        <v>248</v>
      </c>
      <c r="G22" s="1" t="s">
        <v>255</v>
      </c>
      <c r="H22" s="1" t="s">
        <v>258</v>
      </c>
      <c r="I22" s="1" t="s">
        <v>260</v>
      </c>
      <c r="J22" s="1" t="s">
        <v>492</v>
      </c>
      <c r="K22" s="85" t="s">
        <v>552</v>
      </c>
      <c r="L22" s="1" t="s">
        <v>259</v>
      </c>
      <c r="M22" s="1" t="s">
        <v>251</v>
      </c>
      <c r="N22" s="1" t="s">
        <v>257</v>
      </c>
      <c r="O22" s="1" t="s">
        <v>247</v>
      </c>
      <c r="P22" s="1"/>
      <c r="Q22" s="1"/>
      <c r="R22" s="1" t="s">
        <v>256</v>
      </c>
      <c r="S22" s="85" t="s">
        <v>442</v>
      </c>
      <c r="T22" s="85" t="s">
        <v>443</v>
      </c>
      <c r="U22" s="85" t="s">
        <v>444</v>
      </c>
      <c r="V22" s="85" t="s">
        <v>445</v>
      </c>
      <c r="W22" s="85" t="s">
        <v>446</v>
      </c>
      <c r="X22" s="85" t="s">
        <v>452</v>
      </c>
      <c r="Y22" s="85" t="s">
        <v>463</v>
      </c>
      <c r="Z22" s="85" t="s">
        <v>465</v>
      </c>
      <c r="AA22" s="85" t="s">
        <v>489</v>
      </c>
      <c r="AB22" s="85" t="s">
        <v>490</v>
      </c>
      <c r="AC22" s="85"/>
      <c r="AD22" s="85"/>
      <c r="AE22" s="85"/>
      <c r="AF22" s="85" t="s">
        <v>515</v>
      </c>
      <c r="AG22" s="85" t="s">
        <v>516</v>
      </c>
      <c r="AH22" s="85"/>
      <c r="AI22" s="85"/>
      <c r="AJ22" s="85"/>
      <c r="AK22" s="85"/>
      <c r="AL22" s="85"/>
      <c r="AM22" s="85" t="s">
        <v>537</v>
      </c>
      <c r="AN22" s="85" t="s">
        <v>538</v>
      </c>
      <c r="AO22" s="1" t="s">
        <v>559</v>
      </c>
      <c r="AP22" s="85" t="s">
        <v>591</v>
      </c>
      <c r="AQ22" s="85" t="s">
        <v>597</v>
      </c>
    </row>
    <row r="23" spans="1:43" x14ac:dyDescent="0.35">
      <c r="A23" s="134" t="s">
        <v>15</v>
      </c>
      <c r="B23" s="48">
        <f>_xlfn.XLOOKUP(A23,T_Custos[Produto],T_Custos[Peso])</f>
        <v>20</v>
      </c>
      <c r="C23" s="49" t="str">
        <f>_xlfn.XLOOKUP(A23,T_Custos[Produto],T_Custos[Und])</f>
        <v>kg</v>
      </c>
      <c r="D23" s="1" t="s">
        <v>252</v>
      </c>
      <c r="E23" s="1" t="s">
        <v>261</v>
      </c>
      <c r="F23" s="1" t="s">
        <v>248</v>
      </c>
      <c r="G23" s="1" t="s">
        <v>255</v>
      </c>
      <c r="H23" s="1" t="s">
        <v>258</v>
      </c>
      <c r="I23" s="1" t="s">
        <v>260</v>
      </c>
      <c r="J23" s="1" t="s">
        <v>492</v>
      </c>
      <c r="K23" s="85" t="s">
        <v>552</v>
      </c>
      <c r="L23" s="1" t="s">
        <v>259</v>
      </c>
      <c r="M23" s="1" t="s">
        <v>251</v>
      </c>
      <c r="N23" s="1" t="s">
        <v>257</v>
      </c>
      <c r="O23" s="1" t="s">
        <v>247</v>
      </c>
      <c r="P23" s="1"/>
      <c r="Q23" s="1"/>
      <c r="R23" s="1" t="s">
        <v>256</v>
      </c>
      <c r="S23" s="85" t="s">
        <v>442</v>
      </c>
      <c r="T23" s="85" t="s">
        <v>443</v>
      </c>
      <c r="U23" s="85" t="s">
        <v>444</v>
      </c>
      <c r="V23" s="85" t="s">
        <v>445</v>
      </c>
      <c r="W23" s="85" t="s">
        <v>446</v>
      </c>
      <c r="X23" s="85" t="s">
        <v>452</v>
      </c>
      <c r="Y23" s="85"/>
      <c r="Z23" s="85"/>
      <c r="AA23" s="85" t="s">
        <v>489</v>
      </c>
      <c r="AB23" s="85" t="s">
        <v>490</v>
      </c>
      <c r="AC23" s="85"/>
      <c r="AD23" s="85"/>
      <c r="AE23" s="85" t="s">
        <v>509</v>
      </c>
      <c r="AF23" s="85" t="s">
        <v>515</v>
      </c>
      <c r="AG23" s="85" t="s">
        <v>516</v>
      </c>
      <c r="AH23" s="85"/>
      <c r="AI23" s="85"/>
      <c r="AJ23" s="85"/>
      <c r="AK23" s="85"/>
      <c r="AL23" s="85"/>
      <c r="AM23" s="85" t="s">
        <v>537</v>
      </c>
      <c r="AN23" s="85" t="s">
        <v>538</v>
      </c>
      <c r="AO23" s="1" t="s">
        <v>559</v>
      </c>
      <c r="AP23" s="85" t="s">
        <v>591</v>
      </c>
      <c r="AQ23" s="85" t="s">
        <v>597</v>
      </c>
    </row>
    <row r="24" spans="1:43" x14ac:dyDescent="0.35">
      <c r="A24" s="134" t="s">
        <v>14</v>
      </c>
      <c r="B24" s="48">
        <f>_xlfn.XLOOKUP(A24,T_Custos[Produto],T_Custos[Peso])</f>
        <v>20</v>
      </c>
      <c r="C24" s="49" t="str">
        <f>_xlfn.XLOOKUP(A24,T_Custos[Produto],T_Custos[Und])</f>
        <v>kg</v>
      </c>
      <c r="D24" s="1" t="s">
        <v>252</v>
      </c>
      <c r="E24" s="1" t="s">
        <v>261</v>
      </c>
      <c r="F24" s="1" t="s">
        <v>248</v>
      </c>
      <c r="G24" s="1" t="s">
        <v>255</v>
      </c>
      <c r="H24" s="1" t="s">
        <v>258</v>
      </c>
      <c r="I24" s="1" t="s">
        <v>260</v>
      </c>
      <c r="J24" s="1" t="s">
        <v>492</v>
      </c>
      <c r="K24" s="85" t="s">
        <v>552</v>
      </c>
      <c r="L24" s="1" t="s">
        <v>259</v>
      </c>
      <c r="M24" s="1" t="s">
        <v>251</v>
      </c>
      <c r="N24" s="1" t="s">
        <v>257</v>
      </c>
      <c r="O24" s="1" t="s">
        <v>247</v>
      </c>
      <c r="P24" s="1"/>
      <c r="Q24" s="1"/>
      <c r="R24" s="1" t="s">
        <v>256</v>
      </c>
      <c r="S24" s="85" t="s">
        <v>442</v>
      </c>
      <c r="T24" s="85" t="s">
        <v>443</v>
      </c>
      <c r="U24" s="85" t="s">
        <v>444</v>
      </c>
      <c r="V24" s="85" t="s">
        <v>445</v>
      </c>
      <c r="W24" s="85" t="s">
        <v>446</v>
      </c>
      <c r="X24" s="85" t="s">
        <v>452</v>
      </c>
      <c r="Y24" s="85"/>
      <c r="Z24" s="85"/>
      <c r="AA24" s="85" t="s">
        <v>489</v>
      </c>
      <c r="AB24" s="85" t="s">
        <v>490</v>
      </c>
      <c r="AC24" s="85"/>
      <c r="AD24" s="85"/>
      <c r="AE24" s="85"/>
      <c r="AF24" s="85" t="s">
        <v>515</v>
      </c>
      <c r="AG24" s="85" t="s">
        <v>516</v>
      </c>
      <c r="AH24" s="85"/>
      <c r="AI24" s="85"/>
      <c r="AJ24" s="85"/>
      <c r="AK24" s="85"/>
      <c r="AL24" s="85"/>
      <c r="AM24" s="85" t="s">
        <v>537</v>
      </c>
      <c r="AN24" s="85" t="s">
        <v>538</v>
      </c>
      <c r="AO24" s="1" t="s">
        <v>559</v>
      </c>
      <c r="AP24" s="85" t="s">
        <v>591</v>
      </c>
      <c r="AQ24" s="85" t="s">
        <v>597</v>
      </c>
    </row>
    <row r="25" spans="1:43" x14ac:dyDescent="0.35">
      <c r="A25" s="134" t="s">
        <v>189</v>
      </c>
      <c r="B25" s="48">
        <f>_xlfn.XLOOKUP(A25,T_Custos[Produto],T_Custos[Peso])</f>
        <v>1</v>
      </c>
      <c r="C25" s="49" t="str">
        <f>_xlfn.XLOOKUP(A25,T_Custos[Produto],T_Custos[Und])</f>
        <v>un</v>
      </c>
      <c r="D25" s="1" t="s">
        <v>252</v>
      </c>
      <c r="E25" s="1" t="s">
        <v>261</v>
      </c>
      <c r="F25" s="1" t="s">
        <v>248</v>
      </c>
      <c r="G25" s="1" t="s">
        <v>255</v>
      </c>
      <c r="H25" s="1" t="s">
        <v>258</v>
      </c>
      <c r="I25" s="1" t="s">
        <v>260</v>
      </c>
      <c r="J25" s="1" t="s">
        <v>492</v>
      </c>
      <c r="K25" s="85" t="s">
        <v>552</v>
      </c>
      <c r="L25" s="1" t="s">
        <v>259</v>
      </c>
      <c r="M25" s="1" t="s">
        <v>251</v>
      </c>
      <c r="N25" s="1" t="s">
        <v>257</v>
      </c>
      <c r="O25" s="1" t="s">
        <v>247</v>
      </c>
      <c r="P25" s="1"/>
      <c r="Q25" s="1"/>
      <c r="R25" s="1" t="s">
        <v>256</v>
      </c>
      <c r="S25" s="85" t="s">
        <v>442</v>
      </c>
      <c r="T25" s="85" t="s">
        <v>443</v>
      </c>
      <c r="U25" s="85" t="s">
        <v>444</v>
      </c>
      <c r="V25" s="85" t="s">
        <v>445</v>
      </c>
      <c r="W25" s="85" t="s">
        <v>446</v>
      </c>
      <c r="X25" s="85"/>
      <c r="Y25" s="85" t="s">
        <v>463</v>
      </c>
      <c r="Z25" s="85"/>
      <c r="AA25" s="85" t="s">
        <v>489</v>
      </c>
      <c r="AB25" s="85" t="s">
        <v>490</v>
      </c>
      <c r="AC25" s="85"/>
      <c r="AD25" s="85"/>
      <c r="AE25" s="85" t="s">
        <v>509</v>
      </c>
      <c r="AF25" s="85"/>
      <c r="AG25" s="85"/>
      <c r="AH25" s="85"/>
      <c r="AI25" s="85"/>
      <c r="AJ25" s="85"/>
      <c r="AK25" s="85"/>
      <c r="AL25" s="85"/>
      <c r="AM25" s="85"/>
      <c r="AN25" s="85"/>
      <c r="AO25" s="1" t="s">
        <v>559</v>
      </c>
      <c r="AP25" s="85"/>
      <c r="AQ25" s="85" t="s">
        <v>597</v>
      </c>
    </row>
    <row r="26" spans="1:43" x14ac:dyDescent="0.35">
      <c r="A26" s="134" t="s">
        <v>564</v>
      </c>
      <c r="B26" s="64">
        <f>_xlfn.XLOOKUP(A26,T_Custos[Produto],T_Custos[Peso])</f>
        <v>1</v>
      </c>
      <c r="C26" s="65" t="str">
        <f>_xlfn.XLOOKUP(A26,T_Custos[Produto],T_Custos[Und])</f>
        <v>kg</v>
      </c>
      <c r="D26" s="1"/>
      <c r="E26" s="1"/>
      <c r="F26" s="1"/>
      <c r="G26" s="1"/>
      <c r="H26" s="1"/>
      <c r="I26" s="1"/>
      <c r="J26" s="1"/>
      <c r="K26" s="85"/>
      <c r="L26" s="1"/>
      <c r="M26" s="1"/>
      <c r="N26" s="1"/>
      <c r="O26" s="1"/>
      <c r="P26" s="1"/>
      <c r="Q26" s="1"/>
      <c r="R26" s="1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5"/>
      <c r="AJ26" s="85"/>
      <c r="AK26" s="85"/>
      <c r="AL26" s="85"/>
      <c r="AM26" s="85"/>
      <c r="AN26" s="85"/>
      <c r="AO26" s="85"/>
      <c r="AP26" s="85" t="s">
        <v>591</v>
      </c>
      <c r="AQ26" s="85"/>
    </row>
    <row r="27" spans="1:43" x14ac:dyDescent="0.35">
      <c r="A27" s="134" t="s">
        <v>187</v>
      </c>
      <c r="B27" s="48">
        <f>_xlfn.XLOOKUP(A27,T_Custos[Produto],T_Custos[Peso])</f>
        <v>1</v>
      </c>
      <c r="C27" s="49" t="str">
        <f>_xlfn.XLOOKUP(A27,T_Custos[Produto],T_Custos[Und])</f>
        <v>un</v>
      </c>
      <c r="D27" s="1" t="s">
        <v>252</v>
      </c>
      <c r="E27" s="1" t="s">
        <v>261</v>
      </c>
      <c r="F27" s="1" t="s">
        <v>248</v>
      </c>
      <c r="G27" s="1" t="s">
        <v>255</v>
      </c>
      <c r="H27" s="1" t="s">
        <v>258</v>
      </c>
      <c r="I27" s="1" t="s">
        <v>260</v>
      </c>
      <c r="J27" s="1" t="s">
        <v>492</v>
      </c>
      <c r="K27" s="85" t="s">
        <v>552</v>
      </c>
      <c r="L27" s="1" t="s">
        <v>259</v>
      </c>
      <c r="M27" s="1" t="s">
        <v>251</v>
      </c>
      <c r="N27" s="1" t="s">
        <v>257</v>
      </c>
      <c r="O27" s="1" t="s">
        <v>247</v>
      </c>
      <c r="P27" s="1"/>
      <c r="Q27" s="1"/>
      <c r="R27" s="1" t="s">
        <v>256</v>
      </c>
      <c r="S27" s="85" t="s">
        <v>442</v>
      </c>
      <c r="T27" s="85" t="s">
        <v>443</v>
      </c>
      <c r="U27" s="85" t="s">
        <v>444</v>
      </c>
      <c r="V27" s="85" t="s">
        <v>445</v>
      </c>
      <c r="W27" s="85" t="s">
        <v>446</v>
      </c>
      <c r="X27" s="85"/>
      <c r="Y27" s="85" t="s">
        <v>463</v>
      </c>
      <c r="Z27" s="85" t="s">
        <v>465</v>
      </c>
      <c r="AA27" s="85" t="s">
        <v>489</v>
      </c>
      <c r="AB27" s="85" t="s">
        <v>490</v>
      </c>
      <c r="AC27" s="85"/>
      <c r="AD27" s="85" t="s">
        <v>507</v>
      </c>
      <c r="AE27" s="85" t="s">
        <v>509</v>
      </c>
      <c r="AF27" s="85"/>
      <c r="AG27" s="85"/>
      <c r="AH27" s="85"/>
      <c r="AI27" s="85"/>
      <c r="AJ27" s="85"/>
      <c r="AK27" s="85"/>
      <c r="AL27" s="85"/>
      <c r="AM27" s="85"/>
      <c r="AN27" s="85"/>
      <c r="AO27" s="1" t="s">
        <v>559</v>
      </c>
      <c r="AP27" s="85"/>
      <c r="AQ27" s="85" t="s">
        <v>597</v>
      </c>
    </row>
    <row r="28" spans="1:43" x14ac:dyDescent="0.35">
      <c r="A28" s="134" t="s">
        <v>561</v>
      </c>
      <c r="B28" s="64">
        <f>_xlfn.XLOOKUP(A28,T_Custos[Produto],T_Custos[Peso])</f>
        <v>1</v>
      </c>
      <c r="C28" s="65" t="str">
        <f>_xlfn.XLOOKUP(A28,T_Custos[Produto],T_Custos[Und])</f>
        <v>kg</v>
      </c>
      <c r="D28" s="1"/>
      <c r="E28" s="1"/>
      <c r="F28" s="1"/>
      <c r="G28" s="1"/>
      <c r="H28" s="1"/>
      <c r="I28" s="1"/>
      <c r="J28" s="1"/>
      <c r="K28" s="85"/>
      <c r="L28" s="1"/>
      <c r="M28" s="1"/>
      <c r="N28" s="1"/>
      <c r="O28" s="1"/>
      <c r="P28" s="1"/>
      <c r="Q28" s="1"/>
      <c r="R28" s="1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5"/>
      <c r="AL28" s="85"/>
      <c r="AM28" s="85"/>
      <c r="AN28" s="85"/>
      <c r="AO28" s="85"/>
      <c r="AP28" s="85" t="s">
        <v>591</v>
      </c>
      <c r="AQ28" s="85"/>
    </row>
    <row r="29" spans="1:43" x14ac:dyDescent="0.35">
      <c r="A29" s="134" t="s">
        <v>565</v>
      </c>
      <c r="B29" s="64">
        <f>_xlfn.XLOOKUP(A29,T_Custos[Produto],T_Custos[Peso])</f>
        <v>1</v>
      </c>
      <c r="C29" s="65" t="str">
        <f>_xlfn.XLOOKUP(A29,T_Custos[Produto],T_Custos[Und])</f>
        <v>kg</v>
      </c>
      <c r="D29" s="1"/>
      <c r="E29" s="1"/>
      <c r="F29" s="1"/>
      <c r="G29" s="1"/>
      <c r="H29" s="1"/>
      <c r="I29" s="1"/>
      <c r="J29" s="1"/>
      <c r="K29" s="85"/>
      <c r="L29" s="1"/>
      <c r="M29" s="1"/>
      <c r="N29" s="1"/>
      <c r="O29" s="1"/>
      <c r="P29" s="1"/>
      <c r="Q29" s="1"/>
      <c r="R29" s="1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 t="s">
        <v>591</v>
      </c>
      <c r="AQ29" s="85"/>
    </row>
    <row r="30" spans="1:43" x14ac:dyDescent="0.35">
      <c r="A30" s="134" t="s">
        <v>229</v>
      </c>
      <c r="B30" s="48">
        <f>_xlfn.XLOOKUP(A30,T_Custos[Produto],T_Custos[Peso])</f>
        <v>1</v>
      </c>
      <c r="C30" s="49" t="str">
        <f>_xlfn.XLOOKUP(A30,T_Custos[Produto],T_Custos[Und])</f>
        <v>un</v>
      </c>
      <c r="D30" s="1" t="s">
        <v>252</v>
      </c>
      <c r="E30" s="1" t="s">
        <v>261</v>
      </c>
      <c r="F30" s="1" t="s">
        <v>248</v>
      </c>
      <c r="G30" s="1" t="s">
        <v>255</v>
      </c>
      <c r="H30" s="1" t="s">
        <v>258</v>
      </c>
      <c r="I30" s="1" t="s">
        <v>260</v>
      </c>
      <c r="J30" s="1" t="s">
        <v>492</v>
      </c>
      <c r="K30" s="85" t="s">
        <v>552</v>
      </c>
      <c r="L30" s="1" t="s">
        <v>259</v>
      </c>
      <c r="M30" s="1" t="s">
        <v>251</v>
      </c>
      <c r="N30" s="1" t="s">
        <v>257</v>
      </c>
      <c r="O30" s="1" t="s">
        <v>247</v>
      </c>
      <c r="P30" s="47" t="s">
        <v>253</v>
      </c>
      <c r="Q30" s="47" t="s">
        <v>254</v>
      </c>
      <c r="R30" s="1" t="s">
        <v>256</v>
      </c>
      <c r="S30" s="85" t="s">
        <v>442</v>
      </c>
      <c r="T30" s="85" t="s">
        <v>443</v>
      </c>
      <c r="U30" s="85" t="s">
        <v>444</v>
      </c>
      <c r="V30" s="85" t="s">
        <v>445</v>
      </c>
      <c r="W30" s="85" t="s">
        <v>446</v>
      </c>
      <c r="X30" s="85"/>
      <c r="Y30" s="85" t="s">
        <v>463</v>
      </c>
      <c r="Z30" s="85" t="s">
        <v>465</v>
      </c>
      <c r="AA30" s="85" t="s">
        <v>489</v>
      </c>
      <c r="AB30" s="85" t="s">
        <v>490</v>
      </c>
      <c r="AC30" s="85"/>
      <c r="AD30" s="85" t="s">
        <v>507</v>
      </c>
      <c r="AE30" s="85" t="s">
        <v>509</v>
      </c>
      <c r="AF30" s="85"/>
      <c r="AG30" s="85"/>
      <c r="AH30" s="85"/>
      <c r="AI30" s="85"/>
      <c r="AJ30" s="85"/>
      <c r="AK30" s="85"/>
      <c r="AL30" s="85"/>
      <c r="AM30" s="85"/>
      <c r="AN30" s="85"/>
      <c r="AO30" s="1" t="s">
        <v>559</v>
      </c>
      <c r="AP30" s="85"/>
      <c r="AQ30" s="85" t="s">
        <v>597</v>
      </c>
    </row>
    <row r="31" spans="1:43" x14ac:dyDescent="0.35">
      <c r="A31" s="134" t="s">
        <v>228</v>
      </c>
      <c r="B31" s="48">
        <f>_xlfn.XLOOKUP(A31,T_Custos[Produto],T_Custos[Peso])</f>
        <v>1</v>
      </c>
      <c r="C31" s="49" t="str">
        <f>_xlfn.XLOOKUP(A31,T_Custos[Produto],T_Custos[Und])</f>
        <v>un</v>
      </c>
      <c r="D31" s="1" t="s">
        <v>252</v>
      </c>
      <c r="E31" s="1" t="s">
        <v>261</v>
      </c>
      <c r="F31" s="1" t="s">
        <v>248</v>
      </c>
      <c r="G31" s="1" t="s">
        <v>255</v>
      </c>
      <c r="H31" s="1" t="s">
        <v>258</v>
      </c>
      <c r="I31" s="1" t="s">
        <v>260</v>
      </c>
      <c r="J31" s="1" t="s">
        <v>492</v>
      </c>
      <c r="K31" s="85" t="s">
        <v>552</v>
      </c>
      <c r="L31" s="1" t="s">
        <v>259</v>
      </c>
      <c r="M31" s="1" t="s">
        <v>251</v>
      </c>
      <c r="N31" s="1" t="s">
        <v>257</v>
      </c>
      <c r="O31" s="1" t="s">
        <v>247</v>
      </c>
      <c r="P31" s="1"/>
      <c r="Q31" s="1"/>
      <c r="R31" s="1" t="s">
        <v>256</v>
      </c>
      <c r="S31" s="85" t="s">
        <v>442</v>
      </c>
      <c r="T31" s="85" t="s">
        <v>443</v>
      </c>
      <c r="U31" s="85" t="s">
        <v>444</v>
      </c>
      <c r="V31" s="85" t="s">
        <v>445</v>
      </c>
      <c r="W31" s="85" t="s">
        <v>446</v>
      </c>
      <c r="X31" s="85"/>
      <c r="Y31" s="85" t="s">
        <v>463</v>
      </c>
      <c r="Z31" s="85"/>
      <c r="AA31" s="85" t="s">
        <v>489</v>
      </c>
      <c r="AB31" s="85" t="s">
        <v>490</v>
      </c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1" t="s">
        <v>559</v>
      </c>
      <c r="AP31" s="85"/>
      <c r="AQ31" s="85" t="s">
        <v>597</v>
      </c>
    </row>
    <row r="32" spans="1:43" x14ac:dyDescent="0.35">
      <c r="A32" s="134" t="s">
        <v>398</v>
      </c>
      <c r="B32" s="48">
        <f>_xlfn.XLOOKUP(A32,T_Custos[Produto],T_Custos[Peso])</f>
        <v>1</v>
      </c>
      <c r="C32" s="49" t="str">
        <f>_xlfn.XLOOKUP(A32,T_Custos[Produto],T_Custos[Und])</f>
        <v>pc</v>
      </c>
      <c r="D32" s="1"/>
      <c r="E32" s="1"/>
      <c r="F32" s="1"/>
      <c r="G32" s="1"/>
      <c r="H32" s="1"/>
      <c r="I32" s="1"/>
      <c r="J32" s="1"/>
      <c r="K32" s="85"/>
      <c r="L32" s="1"/>
      <c r="M32" s="1"/>
      <c r="N32" s="1"/>
      <c r="O32" s="1"/>
      <c r="P32" s="47" t="s">
        <v>253</v>
      </c>
      <c r="Q32" s="47" t="s">
        <v>254</v>
      </c>
      <c r="R32" s="1"/>
      <c r="S32" s="85" t="s">
        <v>442</v>
      </c>
      <c r="T32" s="85" t="s">
        <v>443</v>
      </c>
      <c r="U32" s="85" t="s">
        <v>444</v>
      </c>
      <c r="V32" s="85" t="s">
        <v>445</v>
      </c>
      <c r="W32" s="85" t="s">
        <v>446</v>
      </c>
      <c r="X32" s="85" t="s">
        <v>452</v>
      </c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1"/>
      <c r="AP32" s="85"/>
      <c r="AQ32" s="85"/>
    </row>
    <row r="33" spans="1:43" x14ac:dyDescent="0.35">
      <c r="A33" s="134" t="s">
        <v>512</v>
      </c>
      <c r="B33" s="48">
        <f>_xlfn.XLOOKUP(A33,T_Custos[Produto],T_Custos[Peso])</f>
        <v>1</v>
      </c>
      <c r="C33" s="49" t="str">
        <f>_xlfn.XLOOKUP(A33,T_Custos[Produto],T_Custos[Und])</f>
        <v>un</v>
      </c>
      <c r="D33" s="1" t="s">
        <v>252</v>
      </c>
      <c r="E33" s="1" t="s">
        <v>261</v>
      </c>
      <c r="F33" s="1" t="s">
        <v>248</v>
      </c>
      <c r="G33" s="1" t="s">
        <v>255</v>
      </c>
      <c r="H33" s="1" t="s">
        <v>258</v>
      </c>
      <c r="I33" s="1" t="s">
        <v>260</v>
      </c>
      <c r="J33" s="1" t="s">
        <v>492</v>
      </c>
      <c r="K33" s="85" t="s">
        <v>552</v>
      </c>
      <c r="L33" s="1" t="s">
        <v>259</v>
      </c>
      <c r="M33" s="1" t="s">
        <v>251</v>
      </c>
      <c r="N33" s="1" t="s">
        <v>257</v>
      </c>
      <c r="O33" s="1" t="s">
        <v>247</v>
      </c>
      <c r="P33" s="1"/>
      <c r="Q33" s="1"/>
      <c r="R33" s="1" t="s">
        <v>256</v>
      </c>
      <c r="S33" s="85" t="s">
        <v>442</v>
      </c>
      <c r="T33" s="85" t="s">
        <v>443</v>
      </c>
      <c r="U33" s="85" t="s">
        <v>444</v>
      </c>
      <c r="V33" s="85" t="s">
        <v>445</v>
      </c>
      <c r="W33" s="85" t="s">
        <v>446</v>
      </c>
      <c r="X33" s="85"/>
      <c r="Y33" s="85"/>
      <c r="Z33" s="85"/>
      <c r="AA33" s="85" t="s">
        <v>489</v>
      </c>
      <c r="AB33" s="85" t="s">
        <v>490</v>
      </c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1" t="s">
        <v>559</v>
      </c>
      <c r="AP33" s="85"/>
      <c r="AQ33" s="85" t="s">
        <v>597</v>
      </c>
    </row>
    <row r="34" spans="1:43" x14ac:dyDescent="0.35">
      <c r="A34" s="134" t="s">
        <v>566</v>
      </c>
      <c r="B34" s="64">
        <f>_xlfn.XLOOKUP(A34,T_Custos[Produto],T_Custos[Peso])</f>
        <v>1</v>
      </c>
      <c r="C34" s="65" t="str">
        <f>_xlfn.XLOOKUP(A34,T_Custos[Produto],T_Custos[Und])</f>
        <v>kg</v>
      </c>
      <c r="D34" s="1"/>
      <c r="E34" s="1"/>
      <c r="F34" s="1"/>
      <c r="G34" s="1"/>
      <c r="H34" s="1"/>
      <c r="I34" s="1"/>
      <c r="J34" s="1"/>
      <c r="K34" s="85"/>
      <c r="L34" s="1"/>
      <c r="M34" s="1"/>
      <c r="N34" s="1"/>
      <c r="O34" s="1"/>
      <c r="P34" s="1"/>
      <c r="Q34" s="1"/>
      <c r="R34" s="1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 t="s">
        <v>591</v>
      </c>
      <c r="AQ34" s="85"/>
    </row>
    <row r="35" spans="1:43" x14ac:dyDescent="0.35">
      <c r="A35" s="134" t="s">
        <v>513</v>
      </c>
      <c r="B35" s="48">
        <f>_xlfn.XLOOKUP(A35,T_Custos[Produto],T_Custos[Peso])</f>
        <v>1</v>
      </c>
      <c r="C35" s="49" t="str">
        <f>_xlfn.XLOOKUP(A35,T_Custos[Produto],T_Custos[Und])</f>
        <v>un</v>
      </c>
      <c r="D35" s="1" t="s">
        <v>252</v>
      </c>
      <c r="E35" s="1" t="s">
        <v>261</v>
      </c>
      <c r="F35" s="1" t="s">
        <v>248</v>
      </c>
      <c r="G35" s="1" t="s">
        <v>255</v>
      </c>
      <c r="H35" s="1" t="s">
        <v>258</v>
      </c>
      <c r="I35" s="1" t="s">
        <v>260</v>
      </c>
      <c r="J35" s="1" t="s">
        <v>492</v>
      </c>
      <c r="K35" s="85" t="s">
        <v>552</v>
      </c>
      <c r="L35" s="1" t="s">
        <v>259</v>
      </c>
      <c r="M35" s="1" t="s">
        <v>251</v>
      </c>
      <c r="N35" s="1" t="s">
        <v>257</v>
      </c>
      <c r="O35" s="1" t="s">
        <v>247</v>
      </c>
      <c r="P35" s="1"/>
      <c r="Q35" s="1"/>
      <c r="R35" s="1" t="s">
        <v>256</v>
      </c>
      <c r="S35" s="85" t="s">
        <v>442</v>
      </c>
      <c r="T35" s="85" t="s">
        <v>443</v>
      </c>
      <c r="U35" s="85" t="s">
        <v>444</v>
      </c>
      <c r="V35" s="85" t="s">
        <v>445</v>
      </c>
      <c r="W35" s="85" t="s">
        <v>446</v>
      </c>
      <c r="X35" s="85"/>
      <c r="Y35" s="85"/>
      <c r="Z35" s="85"/>
      <c r="AA35" s="85" t="s">
        <v>489</v>
      </c>
      <c r="AB35" s="85" t="s">
        <v>490</v>
      </c>
      <c r="AC35" s="85"/>
      <c r="AD35" s="85"/>
      <c r="AE35" s="85" t="s">
        <v>509</v>
      </c>
      <c r="AF35" s="85"/>
      <c r="AG35" s="85"/>
      <c r="AH35" s="85"/>
      <c r="AI35" s="85"/>
      <c r="AJ35" s="85"/>
      <c r="AK35" s="85"/>
      <c r="AL35" s="85"/>
      <c r="AM35" s="85"/>
      <c r="AN35" s="85"/>
      <c r="AO35" s="1" t="s">
        <v>559</v>
      </c>
      <c r="AP35" s="85"/>
      <c r="AQ35" s="85" t="s">
        <v>597</v>
      </c>
    </row>
    <row r="36" spans="1:43" x14ac:dyDescent="0.35">
      <c r="A36" s="134" t="s">
        <v>227</v>
      </c>
      <c r="B36" s="48">
        <f>_xlfn.XLOOKUP(A36,T_Custos[Produto],T_Custos[Peso])</f>
        <v>1</v>
      </c>
      <c r="C36" s="49" t="str">
        <f>_xlfn.XLOOKUP(A36,T_Custos[Produto],T_Custos[Und])</f>
        <v>un</v>
      </c>
      <c r="D36" s="1" t="s">
        <v>252</v>
      </c>
      <c r="E36" s="1" t="s">
        <v>261</v>
      </c>
      <c r="F36" s="1" t="s">
        <v>248</v>
      </c>
      <c r="G36" s="1" t="s">
        <v>255</v>
      </c>
      <c r="H36" s="1" t="s">
        <v>258</v>
      </c>
      <c r="I36" s="1" t="s">
        <v>260</v>
      </c>
      <c r="J36" s="1" t="s">
        <v>492</v>
      </c>
      <c r="K36" s="85" t="s">
        <v>552</v>
      </c>
      <c r="L36" s="1" t="s">
        <v>259</v>
      </c>
      <c r="M36" s="1" t="s">
        <v>251</v>
      </c>
      <c r="N36" s="1" t="s">
        <v>257</v>
      </c>
      <c r="O36" s="1" t="s">
        <v>247</v>
      </c>
      <c r="P36" s="1"/>
      <c r="Q36" s="1"/>
      <c r="R36" s="1" t="s">
        <v>256</v>
      </c>
      <c r="S36" s="85" t="s">
        <v>442</v>
      </c>
      <c r="T36" s="85" t="s">
        <v>443</v>
      </c>
      <c r="U36" s="85" t="s">
        <v>444</v>
      </c>
      <c r="V36" s="85" t="s">
        <v>445</v>
      </c>
      <c r="W36" s="85" t="s">
        <v>446</v>
      </c>
      <c r="X36" s="85"/>
      <c r="Y36" s="85" t="s">
        <v>463</v>
      </c>
      <c r="Z36" s="85" t="s">
        <v>465</v>
      </c>
      <c r="AA36" s="85" t="s">
        <v>489</v>
      </c>
      <c r="AB36" s="85" t="s">
        <v>490</v>
      </c>
      <c r="AC36" s="85"/>
      <c r="AD36" s="85" t="s">
        <v>507</v>
      </c>
      <c r="AE36" s="85" t="s">
        <v>509</v>
      </c>
      <c r="AF36" s="85"/>
      <c r="AG36" s="85"/>
      <c r="AH36" s="85"/>
      <c r="AI36" s="85"/>
      <c r="AJ36" s="85"/>
      <c r="AK36" s="85"/>
      <c r="AL36" s="85"/>
      <c r="AM36" s="85"/>
      <c r="AN36" s="85"/>
      <c r="AO36" s="1" t="s">
        <v>559</v>
      </c>
      <c r="AP36" s="85"/>
      <c r="AQ36" s="85" t="s">
        <v>597</v>
      </c>
    </row>
    <row r="37" spans="1:43" x14ac:dyDescent="0.35">
      <c r="A37" s="134" t="s">
        <v>567</v>
      </c>
      <c r="B37" s="64">
        <f>_xlfn.XLOOKUP(A37,T_Custos[Produto],T_Custos[Peso])</f>
        <v>1</v>
      </c>
      <c r="C37" s="65" t="str">
        <f>_xlfn.XLOOKUP(A37,T_Custos[Produto],T_Custos[Und])</f>
        <v>kg</v>
      </c>
      <c r="D37" s="1"/>
      <c r="E37" s="1"/>
      <c r="F37" s="1"/>
      <c r="G37" s="1"/>
      <c r="H37" s="1"/>
      <c r="I37" s="1"/>
      <c r="J37" s="1"/>
      <c r="K37" s="85"/>
      <c r="L37" s="1"/>
      <c r="M37" s="1"/>
      <c r="N37" s="1"/>
      <c r="O37" s="1"/>
      <c r="P37" s="1"/>
      <c r="Q37" s="1"/>
      <c r="R37" s="1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85"/>
      <c r="AP37" s="85" t="s">
        <v>591</v>
      </c>
      <c r="AQ37" s="85"/>
    </row>
    <row r="38" spans="1:43" x14ac:dyDescent="0.35">
      <c r="A38" s="134" t="s">
        <v>224</v>
      </c>
      <c r="B38" s="48">
        <f>_xlfn.XLOOKUP(A38,T_Custos[Produto],T_Custos[Peso])</f>
        <v>1</v>
      </c>
      <c r="C38" s="49" t="str">
        <f>_xlfn.XLOOKUP(A38,T_Custos[Produto],T_Custos[Und])</f>
        <v>un</v>
      </c>
      <c r="D38" s="1" t="s">
        <v>252</v>
      </c>
      <c r="E38" s="1" t="s">
        <v>261</v>
      </c>
      <c r="F38" s="1" t="s">
        <v>248</v>
      </c>
      <c r="G38" s="1" t="s">
        <v>255</v>
      </c>
      <c r="H38" s="1" t="s">
        <v>258</v>
      </c>
      <c r="I38" s="1" t="s">
        <v>260</v>
      </c>
      <c r="J38" s="1" t="s">
        <v>492</v>
      </c>
      <c r="K38" s="85" t="s">
        <v>552</v>
      </c>
      <c r="L38" s="1" t="s">
        <v>259</v>
      </c>
      <c r="M38" s="1" t="s">
        <v>251</v>
      </c>
      <c r="N38" s="1" t="s">
        <v>257</v>
      </c>
      <c r="O38" s="1" t="s">
        <v>247</v>
      </c>
      <c r="P38" s="1"/>
      <c r="Q38" s="1"/>
      <c r="R38" s="1" t="s">
        <v>256</v>
      </c>
      <c r="S38" s="85" t="s">
        <v>442</v>
      </c>
      <c r="T38" s="85" t="s">
        <v>443</v>
      </c>
      <c r="U38" s="85" t="s">
        <v>444</v>
      </c>
      <c r="V38" s="85" t="s">
        <v>445</v>
      </c>
      <c r="W38" s="85" t="s">
        <v>446</v>
      </c>
      <c r="X38" s="85"/>
      <c r="Y38" s="85"/>
      <c r="Z38" s="85"/>
      <c r="AA38" s="85" t="s">
        <v>489</v>
      </c>
      <c r="AB38" s="85" t="s">
        <v>490</v>
      </c>
      <c r="AC38" s="85"/>
      <c r="AD38" s="85" t="s">
        <v>507</v>
      </c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1" t="s">
        <v>559</v>
      </c>
      <c r="AP38" s="85"/>
      <c r="AQ38" s="85" t="s">
        <v>597</v>
      </c>
    </row>
    <row r="39" spans="1:43" x14ac:dyDescent="0.35">
      <c r="A39" s="134" t="s">
        <v>568</v>
      </c>
      <c r="B39" s="64">
        <f>_xlfn.XLOOKUP(A39,T_Custos[Produto],T_Custos[Peso])</f>
        <v>1</v>
      </c>
      <c r="C39" s="65" t="str">
        <f>_xlfn.XLOOKUP(A39,T_Custos[Produto],T_Custos[Und])</f>
        <v>kg</v>
      </c>
      <c r="D39" s="1"/>
      <c r="E39" s="1"/>
      <c r="F39" s="1"/>
      <c r="G39" s="1"/>
      <c r="H39" s="1"/>
      <c r="I39" s="1"/>
      <c r="J39" s="1"/>
      <c r="K39" s="85"/>
      <c r="L39" s="1"/>
      <c r="M39" s="1"/>
      <c r="N39" s="1"/>
      <c r="O39" s="1"/>
      <c r="P39" s="1"/>
      <c r="Q39" s="1"/>
      <c r="R39" s="1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 t="s">
        <v>591</v>
      </c>
      <c r="AQ39" s="85"/>
    </row>
    <row r="40" spans="1:43" x14ac:dyDescent="0.35">
      <c r="A40" s="134" t="s">
        <v>190</v>
      </c>
      <c r="B40" s="48">
        <f>_xlfn.XLOOKUP(A40,T_Custos[Produto],T_Custos[Peso])</f>
        <v>1</v>
      </c>
      <c r="C40" s="49" t="str">
        <f>_xlfn.XLOOKUP(A40,T_Custos[Produto],T_Custos[Und])</f>
        <v>un</v>
      </c>
      <c r="D40" s="1" t="s">
        <v>252</v>
      </c>
      <c r="E40" s="1" t="s">
        <v>261</v>
      </c>
      <c r="F40" s="1" t="s">
        <v>248</v>
      </c>
      <c r="G40" s="1" t="s">
        <v>255</v>
      </c>
      <c r="H40" s="1" t="s">
        <v>258</v>
      </c>
      <c r="I40" s="1" t="s">
        <v>260</v>
      </c>
      <c r="J40" s="1" t="s">
        <v>492</v>
      </c>
      <c r="K40" s="85" t="s">
        <v>552</v>
      </c>
      <c r="L40" s="1" t="s">
        <v>259</v>
      </c>
      <c r="M40" s="1" t="s">
        <v>251</v>
      </c>
      <c r="N40" s="1" t="s">
        <v>257</v>
      </c>
      <c r="O40" s="1" t="s">
        <v>247</v>
      </c>
      <c r="P40" s="1"/>
      <c r="Q40" s="1"/>
      <c r="R40" s="1" t="s">
        <v>256</v>
      </c>
      <c r="S40" s="85" t="s">
        <v>442</v>
      </c>
      <c r="T40" s="85" t="s">
        <v>443</v>
      </c>
      <c r="U40" s="85" t="s">
        <v>444</v>
      </c>
      <c r="V40" s="85" t="s">
        <v>445</v>
      </c>
      <c r="W40" s="85" t="s">
        <v>446</v>
      </c>
      <c r="X40" s="85"/>
      <c r="Y40" s="85"/>
      <c r="Z40" s="85"/>
      <c r="AA40" s="85" t="s">
        <v>489</v>
      </c>
      <c r="AB40" s="85" t="s">
        <v>490</v>
      </c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1" t="s">
        <v>559</v>
      </c>
      <c r="AP40" s="85"/>
      <c r="AQ40" s="85" t="s">
        <v>597</v>
      </c>
    </row>
    <row r="41" spans="1:43" x14ac:dyDescent="0.35">
      <c r="A41" s="134" t="s">
        <v>494</v>
      </c>
      <c r="B41" s="48">
        <f>_xlfn.XLOOKUP(A41,T_Custos[Produto],T_Custos[Peso])</f>
        <v>10</v>
      </c>
      <c r="C41" s="49" t="str">
        <f>_xlfn.XLOOKUP(A41,T_Custos[Produto],T_Custos[Und])</f>
        <v>kg</v>
      </c>
      <c r="D41" s="1" t="s">
        <v>252</v>
      </c>
      <c r="E41" s="1" t="s">
        <v>261</v>
      </c>
      <c r="F41" s="1" t="s">
        <v>248</v>
      </c>
      <c r="G41" s="1" t="s">
        <v>255</v>
      </c>
      <c r="H41" s="1" t="s">
        <v>258</v>
      </c>
      <c r="I41" s="1" t="s">
        <v>260</v>
      </c>
      <c r="J41" s="1" t="s">
        <v>492</v>
      </c>
      <c r="K41" s="85" t="s">
        <v>552</v>
      </c>
      <c r="L41" s="1" t="s">
        <v>259</v>
      </c>
      <c r="M41" s="1" t="s">
        <v>251</v>
      </c>
      <c r="N41" s="1" t="s">
        <v>257</v>
      </c>
      <c r="O41" s="1" t="s">
        <v>247</v>
      </c>
      <c r="P41" s="1"/>
      <c r="Q41" s="1"/>
      <c r="R41" s="1" t="s">
        <v>256</v>
      </c>
      <c r="S41" s="85" t="s">
        <v>442</v>
      </c>
      <c r="T41" s="85" t="s">
        <v>443</v>
      </c>
      <c r="U41" s="85" t="s">
        <v>444</v>
      </c>
      <c r="V41" s="85" t="s">
        <v>445</v>
      </c>
      <c r="W41" s="85" t="s">
        <v>446</v>
      </c>
      <c r="X41" s="85" t="s">
        <v>452</v>
      </c>
      <c r="Y41" s="85" t="s">
        <v>463</v>
      </c>
      <c r="Z41" s="85" t="s">
        <v>465</v>
      </c>
      <c r="AA41" s="85" t="s">
        <v>489</v>
      </c>
      <c r="AB41" s="85" t="s">
        <v>490</v>
      </c>
      <c r="AC41" s="85"/>
      <c r="AD41" s="85"/>
      <c r="AE41" s="85" t="s">
        <v>509</v>
      </c>
      <c r="AF41" s="85" t="s">
        <v>515</v>
      </c>
      <c r="AG41" s="85"/>
      <c r="AH41" s="85"/>
      <c r="AI41" s="85"/>
      <c r="AJ41" s="85"/>
      <c r="AK41" s="85"/>
      <c r="AL41" s="85"/>
      <c r="AM41" s="85" t="s">
        <v>537</v>
      </c>
      <c r="AN41" s="85" t="s">
        <v>538</v>
      </c>
      <c r="AO41" s="1" t="s">
        <v>559</v>
      </c>
      <c r="AP41" s="85" t="s">
        <v>591</v>
      </c>
      <c r="AQ41" s="85" t="s">
        <v>597</v>
      </c>
    </row>
    <row r="42" spans="1:43" x14ac:dyDescent="0.35">
      <c r="A42" s="134" t="s">
        <v>495</v>
      </c>
      <c r="B42" s="48">
        <f>_xlfn.XLOOKUP(A42,T_Custos[Produto],T_Custos[Peso])</f>
        <v>1</v>
      </c>
      <c r="C42" s="49" t="str">
        <f>_xlfn.XLOOKUP(A42,T_Custos[Produto],T_Custos[Und])</f>
        <v>und</v>
      </c>
      <c r="D42" s="1"/>
      <c r="E42" s="1"/>
      <c r="F42" s="1"/>
      <c r="G42" s="1"/>
      <c r="H42" s="1"/>
      <c r="I42" s="1"/>
      <c r="J42" s="1"/>
      <c r="K42" s="85"/>
      <c r="L42" s="1"/>
      <c r="M42" s="1"/>
      <c r="N42" s="1"/>
      <c r="O42" s="1"/>
      <c r="P42" s="47" t="s">
        <v>253</v>
      </c>
      <c r="Q42" s="47" t="s">
        <v>254</v>
      </c>
      <c r="R42" s="1"/>
      <c r="S42" s="85" t="s">
        <v>442</v>
      </c>
      <c r="T42" s="85" t="s">
        <v>443</v>
      </c>
      <c r="U42" s="85" t="s">
        <v>444</v>
      </c>
      <c r="V42" s="85" t="s">
        <v>445</v>
      </c>
      <c r="W42" s="85" t="s">
        <v>446</v>
      </c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1"/>
      <c r="AP42" s="85"/>
      <c r="AQ42" s="85"/>
    </row>
    <row r="43" spans="1:43" x14ac:dyDescent="0.35">
      <c r="A43" s="134" t="s">
        <v>16</v>
      </c>
      <c r="B43" s="48">
        <f>_xlfn.XLOOKUP(A43,T_Custos[Produto],T_Custos[Peso])</f>
        <v>1</v>
      </c>
      <c r="C43" s="49" t="str">
        <f>_xlfn.XLOOKUP(A43,T_Custos[Produto],T_Custos[Und])</f>
        <v>kg</v>
      </c>
      <c r="D43" s="1" t="s">
        <v>252</v>
      </c>
      <c r="E43" s="1" t="s">
        <v>261</v>
      </c>
      <c r="F43" s="1" t="s">
        <v>248</v>
      </c>
      <c r="G43" s="1" t="s">
        <v>255</v>
      </c>
      <c r="H43" s="1" t="s">
        <v>258</v>
      </c>
      <c r="I43" s="1" t="s">
        <v>260</v>
      </c>
      <c r="J43" s="1" t="s">
        <v>492</v>
      </c>
      <c r="K43" s="85" t="s">
        <v>552</v>
      </c>
      <c r="L43" s="1" t="s">
        <v>259</v>
      </c>
      <c r="M43" s="1" t="s">
        <v>251</v>
      </c>
      <c r="N43" s="1" t="s">
        <v>257</v>
      </c>
      <c r="O43" s="1" t="s">
        <v>247</v>
      </c>
      <c r="P43" s="1"/>
      <c r="Q43" s="1"/>
      <c r="R43" s="1" t="s">
        <v>256</v>
      </c>
      <c r="S43" s="85" t="s">
        <v>442</v>
      </c>
      <c r="T43" s="85" t="s">
        <v>443</v>
      </c>
      <c r="U43" s="85" t="s">
        <v>444</v>
      </c>
      <c r="V43" s="85" t="s">
        <v>445</v>
      </c>
      <c r="W43" s="85" t="s">
        <v>446</v>
      </c>
      <c r="X43" s="85" t="s">
        <v>452</v>
      </c>
      <c r="Y43" s="85" t="s">
        <v>463</v>
      </c>
      <c r="Z43" s="85"/>
      <c r="AA43" s="85" t="s">
        <v>489</v>
      </c>
      <c r="AB43" s="85" t="s">
        <v>490</v>
      </c>
      <c r="AC43" s="85"/>
      <c r="AD43" s="85" t="s">
        <v>507</v>
      </c>
      <c r="AE43" s="85" t="s">
        <v>509</v>
      </c>
      <c r="AF43" s="85"/>
      <c r="AG43" s="85"/>
      <c r="AH43" s="85"/>
      <c r="AI43" s="85"/>
      <c r="AJ43" s="85"/>
      <c r="AK43" s="85"/>
      <c r="AL43" s="85"/>
      <c r="AM43" s="85"/>
      <c r="AN43" s="85"/>
      <c r="AO43" s="1" t="s">
        <v>559</v>
      </c>
      <c r="AP43" s="85" t="s">
        <v>591</v>
      </c>
      <c r="AQ43" s="85" t="s">
        <v>597</v>
      </c>
    </row>
    <row r="44" spans="1:43" x14ac:dyDescent="0.35">
      <c r="A44" s="134" t="s">
        <v>399</v>
      </c>
      <c r="B44" s="48">
        <f>_xlfn.XLOOKUP(A44,T_Custos[Produto],T_Custos[Peso])</f>
        <v>1</v>
      </c>
      <c r="C44" s="49" t="str">
        <f>_xlfn.XLOOKUP(A44,T_Custos[Produto],T_Custos[Und])</f>
        <v>bd</v>
      </c>
      <c r="D44" s="1"/>
      <c r="E44" s="1"/>
      <c r="F44" s="1"/>
      <c r="G44" s="1"/>
      <c r="H44" s="1"/>
      <c r="I44" s="1"/>
      <c r="J44" s="1"/>
      <c r="K44" s="85"/>
      <c r="L44" s="1"/>
      <c r="M44" s="1"/>
      <c r="N44" s="1"/>
      <c r="O44" s="1"/>
      <c r="P44" s="47" t="s">
        <v>253</v>
      </c>
      <c r="Q44" s="47" t="s">
        <v>254</v>
      </c>
      <c r="R44" s="1"/>
      <c r="S44" s="85" t="s">
        <v>442</v>
      </c>
      <c r="T44" s="85" t="s">
        <v>443</v>
      </c>
      <c r="U44" s="85" t="s">
        <v>444</v>
      </c>
      <c r="V44" s="85" t="s">
        <v>445</v>
      </c>
      <c r="W44" s="85" t="s">
        <v>446</v>
      </c>
      <c r="X44" s="85" t="s">
        <v>452</v>
      </c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1"/>
      <c r="AP44" s="85"/>
      <c r="AQ44" s="85"/>
    </row>
    <row r="45" spans="1:43" x14ac:dyDescent="0.35">
      <c r="A45" s="134" t="s">
        <v>504</v>
      </c>
      <c r="B45" s="118">
        <f>_xlfn.XLOOKUP(A45,T_Custos[Produto],T_Custos[Peso])</f>
        <v>10</v>
      </c>
      <c r="C45" s="119" t="str">
        <f>_xlfn.XLOOKUP(A45,T_Custos[Produto],T_Custos[Und])</f>
        <v>kg</v>
      </c>
      <c r="D45" s="1"/>
      <c r="E45" s="1"/>
      <c r="F45" s="1"/>
      <c r="G45" s="1"/>
      <c r="H45" s="1"/>
      <c r="I45" s="1"/>
      <c r="J45" s="1"/>
      <c r="K45" s="85"/>
      <c r="L45" s="1"/>
      <c r="M45" s="1"/>
      <c r="N45" s="1"/>
      <c r="O45" s="1"/>
      <c r="P45" s="1"/>
      <c r="Q45" s="1"/>
      <c r="R45" s="1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 t="s">
        <v>503</v>
      </c>
      <c r="AD45" s="85"/>
      <c r="AE45" s="85"/>
      <c r="AF45" s="85"/>
      <c r="AG45" s="85"/>
      <c r="AH45" s="85"/>
      <c r="AI45" s="85"/>
      <c r="AJ45" s="85"/>
      <c r="AK45" s="85"/>
      <c r="AL45" s="85"/>
      <c r="AM45" s="85"/>
      <c r="AN45" s="85"/>
      <c r="AO45" s="1"/>
      <c r="AP45" s="85"/>
      <c r="AQ45" s="85"/>
    </row>
    <row r="46" spans="1:43" x14ac:dyDescent="0.35">
      <c r="A46" s="134" t="s">
        <v>191</v>
      </c>
      <c r="B46" s="48">
        <f>_xlfn.XLOOKUP(A46,T_Custos[Produto],T_Custos[Peso])</f>
        <v>1</v>
      </c>
      <c r="C46" s="49" t="str">
        <f>_xlfn.XLOOKUP(A46,T_Custos[Produto],T_Custos[Und])</f>
        <v>un</v>
      </c>
      <c r="D46" s="1" t="s">
        <v>252</v>
      </c>
      <c r="E46" s="1" t="s">
        <v>261</v>
      </c>
      <c r="F46" s="1" t="s">
        <v>248</v>
      </c>
      <c r="G46" s="1" t="s">
        <v>255</v>
      </c>
      <c r="H46" s="1" t="s">
        <v>258</v>
      </c>
      <c r="I46" s="1" t="s">
        <v>260</v>
      </c>
      <c r="J46" s="1" t="s">
        <v>492</v>
      </c>
      <c r="K46" s="85" t="s">
        <v>552</v>
      </c>
      <c r="L46" s="1" t="s">
        <v>259</v>
      </c>
      <c r="M46" s="1" t="s">
        <v>251</v>
      </c>
      <c r="N46" s="1" t="s">
        <v>257</v>
      </c>
      <c r="O46" s="1" t="s">
        <v>247</v>
      </c>
      <c r="P46" s="1"/>
      <c r="Q46" s="1"/>
      <c r="R46" s="1" t="s">
        <v>256</v>
      </c>
      <c r="S46" s="85" t="s">
        <v>442</v>
      </c>
      <c r="T46" s="85" t="s">
        <v>443</v>
      </c>
      <c r="U46" s="85" t="s">
        <v>444</v>
      </c>
      <c r="V46" s="85" t="s">
        <v>445</v>
      </c>
      <c r="W46" s="85" t="s">
        <v>446</v>
      </c>
      <c r="X46" s="85"/>
      <c r="Y46" s="85"/>
      <c r="Z46" s="85"/>
      <c r="AA46" s="85" t="s">
        <v>489</v>
      </c>
      <c r="AB46" s="85" t="s">
        <v>490</v>
      </c>
      <c r="AC46" s="85" t="s">
        <v>503</v>
      </c>
      <c r="AD46" s="85"/>
      <c r="AE46" s="85" t="s">
        <v>509</v>
      </c>
      <c r="AF46" s="85"/>
      <c r="AG46" s="85"/>
      <c r="AH46" s="85"/>
      <c r="AI46" s="85"/>
      <c r="AJ46" s="85"/>
      <c r="AK46" s="85"/>
      <c r="AL46" s="85"/>
      <c r="AM46" s="85"/>
      <c r="AN46" s="85"/>
      <c r="AO46" s="1" t="s">
        <v>559</v>
      </c>
      <c r="AP46" s="85"/>
      <c r="AQ46" s="85" t="s">
        <v>597</v>
      </c>
    </row>
    <row r="47" spans="1:43" x14ac:dyDescent="0.35">
      <c r="A47" s="134" t="s">
        <v>569</v>
      </c>
      <c r="B47" s="64">
        <f>_xlfn.XLOOKUP(A47,T_Custos[Produto],T_Custos[Peso])</f>
        <v>1</v>
      </c>
      <c r="C47" s="65" t="str">
        <f>_xlfn.XLOOKUP(A47,T_Custos[Produto],T_Custos[Und])</f>
        <v>kg</v>
      </c>
      <c r="D47" s="1"/>
      <c r="E47" s="1"/>
      <c r="F47" s="1"/>
      <c r="G47" s="1"/>
      <c r="H47" s="1"/>
      <c r="I47" s="1"/>
      <c r="J47" s="1"/>
      <c r="K47" s="85"/>
      <c r="L47" s="1"/>
      <c r="M47" s="1"/>
      <c r="N47" s="1"/>
      <c r="O47" s="1"/>
      <c r="P47" s="1"/>
      <c r="Q47" s="1"/>
      <c r="R47" s="1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 t="s">
        <v>591</v>
      </c>
      <c r="AQ47" s="85"/>
    </row>
    <row r="48" spans="1:43" x14ac:dyDescent="0.35">
      <c r="A48" s="134" t="s">
        <v>493</v>
      </c>
      <c r="B48" s="110">
        <f>_xlfn.XLOOKUP(A48,T_Custos[Produto],T_Custos[Peso])</f>
        <v>10</v>
      </c>
      <c r="C48" s="111" t="str">
        <f>_xlfn.XLOOKUP(A48,T_Custos[Produto],T_Custos[Und])</f>
        <v>kg</v>
      </c>
      <c r="D48" s="1" t="s">
        <v>252</v>
      </c>
      <c r="E48" s="1" t="s">
        <v>261</v>
      </c>
      <c r="F48" s="1" t="s">
        <v>248</v>
      </c>
      <c r="G48" s="1" t="s">
        <v>255</v>
      </c>
      <c r="H48" s="1" t="s">
        <v>258</v>
      </c>
      <c r="I48" s="1" t="s">
        <v>260</v>
      </c>
      <c r="J48" s="1" t="s">
        <v>492</v>
      </c>
      <c r="K48" s="85" t="s">
        <v>552</v>
      </c>
      <c r="L48" s="1" t="s">
        <v>259</v>
      </c>
      <c r="M48" s="1" t="s">
        <v>251</v>
      </c>
      <c r="N48" s="1" t="s">
        <v>257</v>
      </c>
      <c r="O48" s="1" t="s">
        <v>247</v>
      </c>
      <c r="P48" s="1"/>
      <c r="Q48" s="1"/>
      <c r="R48" s="1" t="s">
        <v>256</v>
      </c>
      <c r="S48" s="85" t="s">
        <v>442</v>
      </c>
      <c r="T48" s="85" t="s">
        <v>443</v>
      </c>
      <c r="U48" s="85" t="s">
        <v>444</v>
      </c>
      <c r="V48" s="85" t="s">
        <v>445</v>
      </c>
      <c r="W48" s="85" t="s">
        <v>446</v>
      </c>
      <c r="X48" s="85" t="s">
        <v>452</v>
      </c>
      <c r="Y48" s="85" t="s">
        <v>463</v>
      </c>
      <c r="Z48" s="85" t="s">
        <v>465</v>
      </c>
      <c r="AA48" s="85" t="s">
        <v>489</v>
      </c>
      <c r="AB48" s="85" t="s">
        <v>490</v>
      </c>
      <c r="AC48" s="85"/>
      <c r="AD48" s="85"/>
      <c r="AE48" s="85" t="s">
        <v>509</v>
      </c>
      <c r="AF48" s="85" t="s">
        <v>515</v>
      </c>
      <c r="AG48" s="85"/>
      <c r="AH48" s="85"/>
      <c r="AI48" s="85"/>
      <c r="AJ48" s="85"/>
      <c r="AK48" s="85"/>
      <c r="AL48" s="85"/>
      <c r="AM48" s="85" t="s">
        <v>537</v>
      </c>
      <c r="AN48" s="85" t="s">
        <v>538</v>
      </c>
      <c r="AO48" s="1" t="s">
        <v>559</v>
      </c>
      <c r="AP48" s="85" t="s">
        <v>591</v>
      </c>
      <c r="AQ48" s="85" t="s">
        <v>597</v>
      </c>
    </row>
    <row r="49" spans="1:43" x14ac:dyDescent="0.35">
      <c r="A49" s="134" t="s">
        <v>400</v>
      </c>
      <c r="B49" s="48">
        <f>_xlfn.XLOOKUP(A49,T_Custos[Produto],T_Custos[Peso])</f>
        <v>1</v>
      </c>
      <c r="C49" s="49" t="str">
        <f>_xlfn.XLOOKUP(A49,T_Custos[Produto],T_Custos[Und])</f>
        <v>rd</v>
      </c>
      <c r="D49" s="1"/>
      <c r="E49" s="1"/>
      <c r="F49" s="1"/>
      <c r="G49" s="1"/>
      <c r="H49" s="1"/>
      <c r="I49" s="1"/>
      <c r="J49" s="1"/>
      <c r="K49" s="85"/>
      <c r="L49" s="1"/>
      <c r="M49" s="1"/>
      <c r="N49" s="1"/>
      <c r="O49" s="1"/>
      <c r="P49" s="47" t="s">
        <v>253</v>
      </c>
      <c r="Q49" s="47" t="s">
        <v>254</v>
      </c>
      <c r="R49" s="1"/>
      <c r="S49" s="85" t="s">
        <v>442</v>
      </c>
      <c r="T49" s="85" t="s">
        <v>443</v>
      </c>
      <c r="U49" s="85" t="s">
        <v>444</v>
      </c>
      <c r="V49" s="85" t="s">
        <v>445</v>
      </c>
      <c r="W49" s="85" t="s">
        <v>446</v>
      </c>
      <c r="X49" s="85" t="s">
        <v>452</v>
      </c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85"/>
      <c r="AJ49" s="85"/>
      <c r="AK49" s="85"/>
      <c r="AL49" s="85"/>
      <c r="AM49" s="85"/>
      <c r="AN49" s="85"/>
      <c r="AO49" s="1"/>
      <c r="AP49" s="85"/>
      <c r="AQ49" s="85"/>
    </row>
    <row r="50" spans="1:43" x14ac:dyDescent="0.35">
      <c r="A50" s="134" t="s">
        <v>496</v>
      </c>
      <c r="B50" s="110">
        <f>_xlfn.XLOOKUP(A50,T_Custos[Produto],T_Custos[Peso])</f>
        <v>1</v>
      </c>
      <c r="C50" s="111" t="str">
        <f>_xlfn.XLOOKUP(A50,T_Custos[Produto],T_Custos[Und])</f>
        <v>und</v>
      </c>
      <c r="D50" s="1"/>
      <c r="E50" s="1"/>
      <c r="F50" s="1"/>
      <c r="G50" s="1"/>
      <c r="H50" s="1"/>
      <c r="I50" s="1"/>
      <c r="J50" s="1"/>
      <c r="K50" s="85"/>
      <c r="L50" s="1"/>
      <c r="M50" s="1"/>
      <c r="N50" s="1"/>
      <c r="O50" s="1"/>
      <c r="P50" s="47" t="s">
        <v>253</v>
      </c>
      <c r="Q50" s="47" t="s">
        <v>254</v>
      </c>
      <c r="R50" s="1"/>
      <c r="S50" s="85" t="s">
        <v>442</v>
      </c>
      <c r="T50" s="85" t="s">
        <v>443</v>
      </c>
      <c r="U50" s="85" t="s">
        <v>444</v>
      </c>
      <c r="V50" s="85" t="s">
        <v>445</v>
      </c>
      <c r="W50" s="85" t="s">
        <v>446</v>
      </c>
      <c r="X50" s="85"/>
      <c r="Y50" s="85"/>
      <c r="Z50" s="85"/>
      <c r="AA50" s="85"/>
      <c r="AB50" s="85"/>
      <c r="AC50" s="85"/>
      <c r="AD50" s="85"/>
      <c r="AE50" s="85"/>
      <c r="AF50" s="85"/>
      <c r="AG50" s="85"/>
      <c r="AH50" s="85"/>
      <c r="AI50" s="85"/>
      <c r="AJ50" s="85"/>
      <c r="AK50" s="85"/>
      <c r="AL50" s="85"/>
      <c r="AM50" s="85"/>
      <c r="AN50" s="85"/>
      <c r="AO50" s="1"/>
      <c r="AP50" s="85"/>
      <c r="AQ50" s="85"/>
    </row>
    <row r="51" spans="1:43" x14ac:dyDescent="0.35">
      <c r="A51" s="134" t="s">
        <v>192</v>
      </c>
      <c r="B51" s="48">
        <f>_xlfn.XLOOKUP(A51,T_Custos[Produto],T_Custos[Peso])</f>
        <v>1</v>
      </c>
      <c r="C51" s="49" t="str">
        <f>_xlfn.XLOOKUP(A51,T_Custos[Produto],T_Custos[Und])</f>
        <v>un</v>
      </c>
      <c r="D51" s="1" t="s">
        <v>252</v>
      </c>
      <c r="E51" s="1" t="s">
        <v>261</v>
      </c>
      <c r="F51" s="1" t="s">
        <v>248</v>
      </c>
      <c r="G51" s="1" t="s">
        <v>255</v>
      </c>
      <c r="H51" s="1" t="s">
        <v>258</v>
      </c>
      <c r="I51" s="1" t="s">
        <v>260</v>
      </c>
      <c r="J51" s="1" t="s">
        <v>492</v>
      </c>
      <c r="K51" s="85" t="s">
        <v>552</v>
      </c>
      <c r="L51" s="1" t="s">
        <v>259</v>
      </c>
      <c r="M51" s="1" t="s">
        <v>251</v>
      </c>
      <c r="N51" s="1" t="s">
        <v>257</v>
      </c>
      <c r="O51" s="1" t="s">
        <v>247</v>
      </c>
      <c r="P51" s="1"/>
      <c r="Q51" s="1"/>
      <c r="R51" s="1" t="s">
        <v>256</v>
      </c>
      <c r="S51" s="85" t="s">
        <v>442</v>
      </c>
      <c r="T51" s="85" t="s">
        <v>443</v>
      </c>
      <c r="U51" s="85" t="s">
        <v>444</v>
      </c>
      <c r="V51" s="85" t="s">
        <v>445</v>
      </c>
      <c r="W51" s="85" t="s">
        <v>446</v>
      </c>
      <c r="X51" s="85"/>
      <c r="Y51" s="85"/>
      <c r="Z51" s="85"/>
      <c r="AA51" s="85" t="s">
        <v>489</v>
      </c>
      <c r="AB51" s="85" t="s">
        <v>490</v>
      </c>
      <c r="AC51" s="85"/>
      <c r="AD51" s="85"/>
      <c r="AE51" s="85"/>
      <c r="AF51" s="85"/>
      <c r="AG51" s="85"/>
      <c r="AH51" s="85"/>
      <c r="AI51" s="85"/>
      <c r="AJ51" s="85"/>
      <c r="AK51" s="85"/>
      <c r="AL51" s="85"/>
      <c r="AM51" s="85"/>
      <c r="AN51" s="85"/>
      <c r="AO51" s="1" t="s">
        <v>559</v>
      </c>
      <c r="AP51" s="85"/>
      <c r="AQ51" s="85" t="s">
        <v>597</v>
      </c>
    </row>
    <row r="52" spans="1:43" x14ac:dyDescent="0.35">
      <c r="A52" s="134" t="s">
        <v>533</v>
      </c>
      <c r="B52" s="132">
        <f>_xlfn.XLOOKUP(A52,T_Custos[Produto],T_Custos[Peso])</f>
        <v>6</v>
      </c>
      <c r="C52" s="133" t="str">
        <f>_xlfn.XLOOKUP(A52,T_Custos[Produto],T_Custos[Und])</f>
        <v>kg</v>
      </c>
      <c r="D52" s="1"/>
      <c r="E52" s="1"/>
      <c r="F52" s="1"/>
      <c r="G52" s="1"/>
      <c r="H52" s="1"/>
      <c r="I52" s="1"/>
      <c r="J52" s="1" t="s">
        <v>492</v>
      </c>
      <c r="K52" s="85" t="s">
        <v>552</v>
      </c>
      <c r="L52" s="1"/>
      <c r="M52" s="1"/>
      <c r="N52" s="1"/>
      <c r="O52" s="1"/>
      <c r="P52" s="85"/>
      <c r="Q52" s="85"/>
      <c r="R52" s="1"/>
      <c r="S52" s="85"/>
      <c r="T52" s="85"/>
      <c r="U52" s="85"/>
      <c r="V52" s="85"/>
      <c r="W52" s="85"/>
      <c r="X52" s="85"/>
      <c r="Y52" s="85"/>
      <c r="Z52" s="85"/>
      <c r="AA52" s="85"/>
      <c r="AB52" s="85"/>
      <c r="AC52" s="85"/>
      <c r="AD52" s="85"/>
      <c r="AE52" s="85"/>
      <c r="AF52" s="85"/>
      <c r="AG52" s="85"/>
      <c r="AH52" s="85"/>
      <c r="AI52" s="85"/>
      <c r="AJ52" s="85"/>
      <c r="AK52" s="85"/>
      <c r="AL52" s="85"/>
      <c r="AM52" s="85" t="s">
        <v>537</v>
      </c>
      <c r="AN52" s="85" t="s">
        <v>538</v>
      </c>
      <c r="AO52" s="1" t="s">
        <v>559</v>
      </c>
      <c r="AP52" s="85" t="s">
        <v>591</v>
      </c>
      <c r="AQ52" s="85" t="s">
        <v>597</v>
      </c>
    </row>
    <row r="53" spans="1:43" x14ac:dyDescent="0.35">
      <c r="A53" s="134" t="s">
        <v>17</v>
      </c>
      <c r="B53" s="48">
        <f>_xlfn.XLOOKUP(A53,T_Custos[Produto],T_Custos[Peso])</f>
        <v>9</v>
      </c>
      <c r="C53" s="49" t="str">
        <f>_xlfn.XLOOKUP(A53,T_Custos[Produto],T_Custos[Und])</f>
        <v>kg</v>
      </c>
      <c r="D53" s="1" t="s">
        <v>252</v>
      </c>
      <c r="E53" s="1" t="s">
        <v>261</v>
      </c>
      <c r="F53" s="1" t="s">
        <v>248</v>
      </c>
      <c r="G53" s="1" t="s">
        <v>255</v>
      </c>
      <c r="H53" s="1" t="s">
        <v>258</v>
      </c>
      <c r="I53" s="1" t="s">
        <v>260</v>
      </c>
      <c r="J53" s="1" t="s">
        <v>492</v>
      </c>
      <c r="K53" s="85" t="s">
        <v>552</v>
      </c>
      <c r="L53" s="1" t="s">
        <v>259</v>
      </c>
      <c r="M53" s="1" t="s">
        <v>251</v>
      </c>
      <c r="N53" s="1" t="s">
        <v>257</v>
      </c>
      <c r="O53" s="1" t="s">
        <v>247</v>
      </c>
      <c r="P53" s="1"/>
      <c r="Q53" s="1"/>
      <c r="R53" s="1" t="s">
        <v>256</v>
      </c>
      <c r="S53" s="85" t="s">
        <v>442</v>
      </c>
      <c r="T53" s="85" t="s">
        <v>443</v>
      </c>
      <c r="U53" s="85" t="s">
        <v>444</v>
      </c>
      <c r="V53" s="85" t="s">
        <v>445</v>
      </c>
      <c r="W53" s="85" t="s">
        <v>446</v>
      </c>
      <c r="X53" s="85" t="s">
        <v>452</v>
      </c>
      <c r="Y53" s="85"/>
      <c r="Z53" s="85"/>
      <c r="AA53" s="85" t="s">
        <v>489</v>
      </c>
      <c r="AB53" s="85" t="s">
        <v>490</v>
      </c>
      <c r="AC53" s="85"/>
      <c r="AD53" s="85"/>
      <c r="AE53" s="85"/>
      <c r="AF53" s="85"/>
      <c r="AG53" s="85"/>
      <c r="AH53" s="85"/>
      <c r="AI53" s="85"/>
      <c r="AJ53" s="85"/>
      <c r="AK53" s="85"/>
      <c r="AL53" s="85"/>
      <c r="AM53" s="85" t="s">
        <v>537</v>
      </c>
      <c r="AN53" s="85" t="s">
        <v>538</v>
      </c>
      <c r="AO53" s="1" t="s">
        <v>559</v>
      </c>
      <c r="AP53" s="85" t="s">
        <v>591</v>
      </c>
      <c r="AQ53" s="85" t="s">
        <v>597</v>
      </c>
    </row>
    <row r="54" spans="1:43" x14ac:dyDescent="0.35">
      <c r="A54" s="134" t="s">
        <v>500</v>
      </c>
      <c r="B54" s="48">
        <f>_xlfn.XLOOKUP(A54,T_Custos[Produto],T_Custos[Peso])</f>
        <v>1</v>
      </c>
      <c r="C54" s="49" t="str">
        <f>_xlfn.XLOOKUP(A54,T_Custos[Produto],T_Custos[Und])</f>
        <v>bd</v>
      </c>
      <c r="D54" s="1"/>
      <c r="E54" s="1"/>
      <c r="F54" s="1"/>
      <c r="G54" s="1"/>
      <c r="H54" s="1"/>
      <c r="I54" s="1"/>
      <c r="J54" s="1"/>
      <c r="K54" s="85"/>
      <c r="L54" s="1"/>
      <c r="M54" s="1"/>
      <c r="N54" s="1"/>
      <c r="O54" s="1"/>
      <c r="P54" s="47" t="s">
        <v>253</v>
      </c>
      <c r="Q54" s="47" t="s">
        <v>254</v>
      </c>
      <c r="R54" s="1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  <c r="AD54" s="85"/>
      <c r="AE54" s="85"/>
      <c r="AF54" s="85"/>
      <c r="AG54" s="85"/>
      <c r="AH54" s="85"/>
      <c r="AI54" s="85"/>
      <c r="AJ54" s="85"/>
      <c r="AK54" s="85"/>
      <c r="AL54" s="85"/>
      <c r="AM54" s="85"/>
      <c r="AN54" s="85"/>
      <c r="AO54" s="1"/>
      <c r="AP54" s="85"/>
      <c r="AQ54" s="85"/>
    </row>
    <row r="55" spans="1:43" x14ac:dyDescent="0.35">
      <c r="A55" s="134" t="s">
        <v>18</v>
      </c>
      <c r="B55" s="48">
        <f>_xlfn.XLOOKUP(A55,T_Custos[Produto],T_Custos[Peso])</f>
        <v>6</v>
      </c>
      <c r="C55" s="49" t="str">
        <f>_xlfn.XLOOKUP(A55,T_Custos[Produto],T_Custos[Und])</f>
        <v>kg</v>
      </c>
      <c r="D55" s="1" t="s">
        <v>252</v>
      </c>
      <c r="E55" s="1" t="s">
        <v>261</v>
      </c>
      <c r="F55" s="1" t="s">
        <v>248</v>
      </c>
      <c r="G55" s="1" t="s">
        <v>255</v>
      </c>
      <c r="H55" s="1" t="s">
        <v>258</v>
      </c>
      <c r="I55" s="1" t="s">
        <v>260</v>
      </c>
      <c r="J55" s="1" t="s">
        <v>492</v>
      </c>
      <c r="K55" s="85" t="s">
        <v>552</v>
      </c>
      <c r="L55" s="1" t="s">
        <v>259</v>
      </c>
      <c r="M55" s="1" t="s">
        <v>251</v>
      </c>
      <c r="N55" s="1" t="s">
        <v>257</v>
      </c>
      <c r="O55" s="1" t="s">
        <v>247</v>
      </c>
      <c r="P55" s="1"/>
      <c r="Q55" s="1"/>
      <c r="R55" s="1" t="s">
        <v>256</v>
      </c>
      <c r="S55" s="85" t="s">
        <v>442</v>
      </c>
      <c r="T55" s="85" t="s">
        <v>443</v>
      </c>
      <c r="U55" s="85" t="s">
        <v>444</v>
      </c>
      <c r="V55" s="85" t="s">
        <v>445</v>
      </c>
      <c r="W55" s="85" t="s">
        <v>446</v>
      </c>
      <c r="X55" s="85" t="s">
        <v>452</v>
      </c>
      <c r="Y55" s="85"/>
      <c r="Z55" s="85"/>
      <c r="AA55" s="85" t="s">
        <v>489</v>
      </c>
      <c r="AB55" s="85" t="s">
        <v>490</v>
      </c>
      <c r="AC55" s="85"/>
      <c r="AD55" s="85"/>
      <c r="AE55" s="85"/>
      <c r="AF55" s="85"/>
      <c r="AG55" s="85"/>
      <c r="AH55" s="85"/>
      <c r="AI55" s="85"/>
      <c r="AJ55" s="85"/>
      <c r="AK55" s="85"/>
      <c r="AL55" s="85"/>
      <c r="AM55" s="85" t="s">
        <v>537</v>
      </c>
      <c r="AN55" s="85" t="s">
        <v>538</v>
      </c>
      <c r="AO55" s="1" t="s">
        <v>559</v>
      </c>
      <c r="AP55" s="85" t="s">
        <v>591</v>
      </c>
      <c r="AQ55" s="85" t="s">
        <v>597</v>
      </c>
    </row>
    <row r="56" spans="1:43" x14ac:dyDescent="0.35">
      <c r="A56" s="134" t="s">
        <v>544</v>
      </c>
      <c r="B56" s="145">
        <f>_xlfn.XLOOKUP(A56,T_Custos[Produto],T_Custos[Peso])</f>
        <v>10</v>
      </c>
      <c r="C56" s="146" t="str">
        <f>_xlfn.XLOOKUP(A56,T_Custos[Produto],T_Custos[Und])</f>
        <v>bd</v>
      </c>
      <c r="D56" s="1" t="s">
        <v>252</v>
      </c>
      <c r="E56" s="1" t="s">
        <v>261</v>
      </c>
      <c r="F56" s="1" t="s">
        <v>248</v>
      </c>
      <c r="G56" s="1" t="s">
        <v>255</v>
      </c>
      <c r="H56" s="1" t="s">
        <v>258</v>
      </c>
      <c r="I56" s="1" t="s">
        <v>260</v>
      </c>
      <c r="J56" s="1" t="s">
        <v>492</v>
      </c>
      <c r="K56" s="85" t="s">
        <v>552</v>
      </c>
      <c r="L56" s="1" t="s">
        <v>259</v>
      </c>
      <c r="M56" s="1" t="s">
        <v>251</v>
      </c>
      <c r="N56" s="1" t="s">
        <v>257</v>
      </c>
      <c r="O56" s="1" t="s">
        <v>247</v>
      </c>
      <c r="P56" s="1"/>
      <c r="Q56" s="1"/>
      <c r="R56" s="1" t="s">
        <v>256</v>
      </c>
      <c r="S56" s="85" t="s">
        <v>442</v>
      </c>
      <c r="T56" s="85" t="s">
        <v>443</v>
      </c>
      <c r="U56" s="85" t="s">
        <v>444</v>
      </c>
      <c r="V56" s="85" t="s">
        <v>445</v>
      </c>
      <c r="W56" s="85" t="s">
        <v>446</v>
      </c>
      <c r="X56" s="85" t="s">
        <v>452</v>
      </c>
      <c r="Y56" s="85"/>
      <c r="Z56" s="85" t="s">
        <v>465</v>
      </c>
      <c r="AA56" s="85" t="s">
        <v>489</v>
      </c>
      <c r="AB56" s="85" t="s">
        <v>490</v>
      </c>
      <c r="AC56" s="85"/>
      <c r="AD56" s="85"/>
      <c r="AE56" s="85" t="s">
        <v>509</v>
      </c>
      <c r="AF56" s="85"/>
      <c r="AG56" s="85"/>
      <c r="AH56" s="85"/>
      <c r="AI56" s="85"/>
      <c r="AJ56" s="85"/>
      <c r="AK56" s="85"/>
      <c r="AL56" s="85"/>
      <c r="AM56" s="85"/>
      <c r="AN56" s="85"/>
      <c r="AO56" s="1" t="s">
        <v>559</v>
      </c>
      <c r="AP56" s="85" t="s">
        <v>591</v>
      </c>
      <c r="AQ56" s="85" t="s">
        <v>597</v>
      </c>
    </row>
    <row r="57" spans="1:43" x14ac:dyDescent="0.35">
      <c r="A57" s="134" t="s">
        <v>193</v>
      </c>
      <c r="B57" s="48">
        <f>_xlfn.XLOOKUP(A57,T_Custos[Produto],T_Custos[Peso])</f>
        <v>1</v>
      </c>
      <c r="C57" s="49" t="str">
        <f>_xlfn.XLOOKUP(A57,T_Custos[Produto],T_Custos[Und])</f>
        <v>un</v>
      </c>
      <c r="D57" s="1" t="s">
        <v>252</v>
      </c>
      <c r="E57" s="1" t="s">
        <v>261</v>
      </c>
      <c r="F57" s="1" t="s">
        <v>248</v>
      </c>
      <c r="G57" s="1" t="s">
        <v>255</v>
      </c>
      <c r="H57" s="1" t="s">
        <v>258</v>
      </c>
      <c r="I57" s="1" t="s">
        <v>260</v>
      </c>
      <c r="J57" s="1" t="s">
        <v>492</v>
      </c>
      <c r="K57" s="85" t="s">
        <v>552</v>
      </c>
      <c r="L57" s="1" t="s">
        <v>259</v>
      </c>
      <c r="M57" s="1" t="s">
        <v>251</v>
      </c>
      <c r="N57" s="1" t="s">
        <v>257</v>
      </c>
      <c r="O57" s="1" t="s">
        <v>247</v>
      </c>
      <c r="P57" s="1"/>
      <c r="Q57" s="1"/>
      <c r="R57" s="1" t="s">
        <v>256</v>
      </c>
      <c r="S57" s="85" t="s">
        <v>442</v>
      </c>
      <c r="T57" s="85" t="s">
        <v>443</v>
      </c>
      <c r="U57" s="85" t="s">
        <v>444</v>
      </c>
      <c r="V57" s="85" t="s">
        <v>445</v>
      </c>
      <c r="W57" s="85" t="s">
        <v>446</v>
      </c>
      <c r="X57" s="85"/>
      <c r="Y57" s="85"/>
      <c r="Z57" s="85"/>
      <c r="AA57" s="85" t="s">
        <v>489</v>
      </c>
      <c r="AB57" s="85" t="s">
        <v>490</v>
      </c>
      <c r="AC57" s="85"/>
      <c r="AD57" s="85"/>
      <c r="AE57" s="85"/>
      <c r="AF57" s="85"/>
      <c r="AG57" s="85"/>
      <c r="AH57" s="85"/>
      <c r="AI57" s="85"/>
      <c r="AJ57" s="85"/>
      <c r="AK57" s="85"/>
      <c r="AL57" s="85"/>
      <c r="AM57" s="85"/>
      <c r="AN57" s="85"/>
      <c r="AO57" s="1" t="s">
        <v>559</v>
      </c>
      <c r="AP57" s="85"/>
      <c r="AQ57" s="85" t="s">
        <v>597</v>
      </c>
    </row>
    <row r="58" spans="1:43" x14ac:dyDescent="0.35">
      <c r="A58" s="134" t="s">
        <v>214</v>
      </c>
      <c r="B58" s="48">
        <f>_xlfn.XLOOKUP(A58,T_Custos[Produto],T_Custos[Peso])</f>
        <v>1</v>
      </c>
      <c r="C58" s="49" t="str">
        <f>_xlfn.XLOOKUP(A58,T_Custos[Produto],T_Custos[Und])</f>
        <v>un</v>
      </c>
      <c r="D58" s="1" t="s">
        <v>252</v>
      </c>
      <c r="E58" s="1" t="s">
        <v>261</v>
      </c>
      <c r="F58" s="1" t="s">
        <v>248</v>
      </c>
      <c r="G58" s="1" t="s">
        <v>255</v>
      </c>
      <c r="H58" s="1" t="s">
        <v>258</v>
      </c>
      <c r="I58" s="1" t="s">
        <v>260</v>
      </c>
      <c r="J58" s="1" t="s">
        <v>492</v>
      </c>
      <c r="K58" s="85" t="s">
        <v>552</v>
      </c>
      <c r="L58" s="1" t="s">
        <v>259</v>
      </c>
      <c r="M58" s="1" t="s">
        <v>251</v>
      </c>
      <c r="N58" s="1" t="s">
        <v>257</v>
      </c>
      <c r="O58" s="1" t="s">
        <v>247</v>
      </c>
      <c r="P58" s="1"/>
      <c r="Q58" s="1"/>
      <c r="R58" s="1" t="s">
        <v>256</v>
      </c>
      <c r="S58" s="85" t="s">
        <v>442</v>
      </c>
      <c r="T58" s="85" t="s">
        <v>443</v>
      </c>
      <c r="U58" s="85" t="s">
        <v>444</v>
      </c>
      <c r="V58" s="85" t="s">
        <v>445</v>
      </c>
      <c r="W58" s="85" t="s">
        <v>446</v>
      </c>
      <c r="X58" s="85"/>
      <c r="Y58" s="85"/>
      <c r="Z58" s="85"/>
      <c r="AA58" s="85" t="s">
        <v>489</v>
      </c>
      <c r="AB58" s="85" t="s">
        <v>490</v>
      </c>
      <c r="AC58" s="85"/>
      <c r="AD58" s="85"/>
      <c r="AE58" s="85"/>
      <c r="AF58" s="85"/>
      <c r="AG58" s="85"/>
      <c r="AH58" s="85"/>
      <c r="AI58" s="85"/>
      <c r="AJ58" s="85"/>
      <c r="AK58" s="85"/>
      <c r="AL58" s="85"/>
      <c r="AM58" s="85"/>
      <c r="AN58" s="85"/>
      <c r="AO58" s="1" t="s">
        <v>559</v>
      </c>
      <c r="AP58" s="85"/>
      <c r="AQ58" s="85" t="s">
        <v>597</v>
      </c>
    </row>
    <row r="59" spans="1:43" x14ac:dyDescent="0.35">
      <c r="A59" s="134" t="s">
        <v>20</v>
      </c>
      <c r="B59" s="48">
        <f>_xlfn.XLOOKUP(A59,T_Custos[Produto],T_Custos[Peso])</f>
        <v>5</v>
      </c>
      <c r="C59" s="49" t="str">
        <f>_xlfn.XLOOKUP(A59,T_Custos[Produto],T_Custos[Und])</f>
        <v>kg</v>
      </c>
      <c r="D59" s="1" t="s">
        <v>252</v>
      </c>
      <c r="E59" s="1" t="s">
        <v>261</v>
      </c>
      <c r="F59" s="1" t="s">
        <v>248</v>
      </c>
      <c r="G59" s="1" t="s">
        <v>255</v>
      </c>
      <c r="H59" s="1" t="s">
        <v>258</v>
      </c>
      <c r="I59" s="1" t="s">
        <v>260</v>
      </c>
      <c r="J59" s="1" t="s">
        <v>492</v>
      </c>
      <c r="K59" s="85" t="s">
        <v>552</v>
      </c>
      <c r="L59" s="1" t="s">
        <v>259</v>
      </c>
      <c r="M59" s="1" t="s">
        <v>251</v>
      </c>
      <c r="N59" s="1" t="s">
        <v>257</v>
      </c>
      <c r="O59" s="1" t="s">
        <v>247</v>
      </c>
      <c r="P59" s="1"/>
      <c r="Q59" s="1"/>
      <c r="R59" s="1" t="s">
        <v>256</v>
      </c>
      <c r="S59" s="85" t="s">
        <v>442</v>
      </c>
      <c r="T59" s="85" t="s">
        <v>443</v>
      </c>
      <c r="U59" s="85" t="s">
        <v>444</v>
      </c>
      <c r="V59" s="85" t="s">
        <v>445</v>
      </c>
      <c r="W59" s="85" t="s">
        <v>446</v>
      </c>
      <c r="X59" s="85" t="s">
        <v>452</v>
      </c>
      <c r="Y59" s="85"/>
      <c r="Z59" s="85"/>
      <c r="AA59" s="85" t="s">
        <v>489</v>
      </c>
      <c r="AB59" s="85" t="s">
        <v>490</v>
      </c>
      <c r="AC59" s="85"/>
      <c r="AD59" s="85"/>
      <c r="AE59" s="85" t="s">
        <v>509</v>
      </c>
      <c r="AF59" s="85"/>
      <c r="AG59" s="85"/>
      <c r="AH59" s="85"/>
      <c r="AI59" s="85"/>
      <c r="AJ59" s="85"/>
      <c r="AK59" s="85"/>
      <c r="AL59" s="85"/>
      <c r="AM59" s="85"/>
      <c r="AN59" s="85"/>
      <c r="AO59" s="1" t="s">
        <v>559</v>
      </c>
      <c r="AP59" s="85" t="s">
        <v>591</v>
      </c>
      <c r="AQ59" s="85" t="s">
        <v>597</v>
      </c>
    </row>
    <row r="60" spans="1:43" x14ac:dyDescent="0.35">
      <c r="A60" s="134" t="s">
        <v>401</v>
      </c>
      <c r="B60" s="48">
        <f>_xlfn.XLOOKUP(A60,T_Custos[Produto],T_Custos[Peso])</f>
        <v>1</v>
      </c>
      <c r="C60" s="49" t="str">
        <f>_xlfn.XLOOKUP(A60,T_Custos[Produto],T_Custos[Und])</f>
        <v>mc</v>
      </c>
      <c r="D60" s="1"/>
      <c r="E60" s="1"/>
      <c r="F60" s="1"/>
      <c r="G60" s="1"/>
      <c r="H60" s="1"/>
      <c r="I60" s="1"/>
      <c r="J60" s="1"/>
      <c r="K60" s="85"/>
      <c r="L60" s="1"/>
      <c r="M60" s="1"/>
      <c r="N60" s="1"/>
      <c r="O60" s="1"/>
      <c r="P60" s="47" t="s">
        <v>253</v>
      </c>
      <c r="Q60" s="47" t="s">
        <v>254</v>
      </c>
      <c r="R60" s="1"/>
      <c r="S60" s="85" t="s">
        <v>442</v>
      </c>
      <c r="T60" s="85" t="s">
        <v>443</v>
      </c>
      <c r="U60" s="85" t="s">
        <v>444</v>
      </c>
      <c r="V60" s="85" t="s">
        <v>445</v>
      </c>
      <c r="W60" s="85" t="s">
        <v>446</v>
      </c>
      <c r="X60" s="85" t="s">
        <v>452</v>
      </c>
      <c r="Y60" s="85"/>
      <c r="Z60" s="85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5"/>
      <c r="AO60" s="1"/>
      <c r="AP60" s="85"/>
      <c r="AQ60" s="85"/>
    </row>
    <row r="61" spans="1:43" x14ac:dyDescent="0.35">
      <c r="A61" s="134" t="s">
        <v>21</v>
      </c>
      <c r="B61" s="48">
        <f>_xlfn.XLOOKUP(A61,T_Custos[Produto],T_Custos[Peso])</f>
        <v>5</v>
      </c>
      <c r="C61" s="49" t="str">
        <f>_xlfn.XLOOKUP(A61,T_Custos[Produto],T_Custos[Und])</f>
        <v>kg</v>
      </c>
      <c r="D61" s="1" t="s">
        <v>252</v>
      </c>
      <c r="E61" s="1" t="s">
        <v>261</v>
      </c>
      <c r="F61" s="1" t="s">
        <v>248</v>
      </c>
      <c r="G61" s="1" t="s">
        <v>255</v>
      </c>
      <c r="H61" s="1" t="s">
        <v>258</v>
      </c>
      <c r="I61" s="1" t="s">
        <v>260</v>
      </c>
      <c r="J61" s="1" t="s">
        <v>492</v>
      </c>
      <c r="K61" s="85" t="s">
        <v>552</v>
      </c>
      <c r="L61" s="1" t="s">
        <v>259</v>
      </c>
      <c r="M61" s="1" t="s">
        <v>251</v>
      </c>
      <c r="N61" s="1" t="s">
        <v>257</v>
      </c>
      <c r="O61" s="1" t="s">
        <v>247</v>
      </c>
      <c r="P61" s="1"/>
      <c r="Q61" s="1"/>
      <c r="R61" s="1" t="s">
        <v>256</v>
      </c>
      <c r="S61" s="85" t="s">
        <v>442</v>
      </c>
      <c r="T61" s="85" t="s">
        <v>443</v>
      </c>
      <c r="U61" s="85" t="s">
        <v>444</v>
      </c>
      <c r="V61" s="85" t="s">
        <v>445</v>
      </c>
      <c r="W61" s="85" t="s">
        <v>446</v>
      </c>
      <c r="X61" s="85"/>
      <c r="Y61" s="85"/>
      <c r="Z61" s="85"/>
      <c r="AA61" s="85" t="s">
        <v>489</v>
      </c>
      <c r="AB61" s="85" t="s">
        <v>490</v>
      </c>
      <c r="AC61" s="85"/>
      <c r="AD61" s="85"/>
      <c r="AE61" s="85"/>
      <c r="AF61" s="85"/>
      <c r="AG61" s="85"/>
      <c r="AH61" s="85"/>
      <c r="AI61" s="85"/>
      <c r="AJ61" s="85"/>
      <c r="AK61" s="85"/>
      <c r="AL61" s="85"/>
      <c r="AM61" s="85"/>
      <c r="AN61" s="85"/>
      <c r="AO61" s="1" t="s">
        <v>559</v>
      </c>
      <c r="AP61" s="85" t="s">
        <v>591</v>
      </c>
      <c r="AQ61" s="85" t="s">
        <v>597</v>
      </c>
    </row>
    <row r="62" spans="1:43" x14ac:dyDescent="0.35">
      <c r="A62" s="134" t="s">
        <v>19</v>
      </c>
      <c r="B62" s="48">
        <f>_xlfn.XLOOKUP(A62,T_Custos[Produto],T_Custos[Peso])</f>
        <v>2</v>
      </c>
      <c r="C62" s="49" t="str">
        <f>_xlfn.XLOOKUP(A62,T_Custos[Produto],T_Custos[Und])</f>
        <v>kg</v>
      </c>
      <c r="D62" s="1" t="s">
        <v>252</v>
      </c>
      <c r="E62" s="1" t="s">
        <v>261</v>
      </c>
      <c r="F62" s="1" t="s">
        <v>248</v>
      </c>
      <c r="G62" s="1" t="s">
        <v>255</v>
      </c>
      <c r="H62" s="1" t="s">
        <v>258</v>
      </c>
      <c r="I62" s="1" t="s">
        <v>260</v>
      </c>
      <c r="J62" s="1" t="s">
        <v>492</v>
      </c>
      <c r="K62" s="85" t="s">
        <v>552</v>
      </c>
      <c r="L62" s="1" t="s">
        <v>259</v>
      </c>
      <c r="M62" s="1" t="s">
        <v>251</v>
      </c>
      <c r="N62" s="1" t="s">
        <v>257</v>
      </c>
      <c r="O62" s="1" t="s">
        <v>247</v>
      </c>
      <c r="P62" s="1"/>
      <c r="Q62" s="1"/>
      <c r="R62" s="1" t="s">
        <v>256</v>
      </c>
      <c r="S62" s="85" t="s">
        <v>442</v>
      </c>
      <c r="T62" s="85" t="s">
        <v>443</v>
      </c>
      <c r="U62" s="85" t="s">
        <v>444</v>
      </c>
      <c r="V62" s="85" t="s">
        <v>445</v>
      </c>
      <c r="W62" s="85" t="s">
        <v>446</v>
      </c>
      <c r="X62" s="85" t="s">
        <v>452</v>
      </c>
      <c r="Y62" s="85"/>
      <c r="Z62" s="85"/>
      <c r="AA62" s="85" t="s">
        <v>489</v>
      </c>
      <c r="AB62" s="85" t="s">
        <v>490</v>
      </c>
      <c r="AC62" s="85"/>
      <c r="AD62" s="85"/>
      <c r="AE62" s="85"/>
      <c r="AF62" s="85"/>
      <c r="AG62" s="85"/>
      <c r="AH62" s="85"/>
      <c r="AI62" s="85"/>
      <c r="AJ62" s="85"/>
      <c r="AK62" s="85"/>
      <c r="AL62" s="85"/>
      <c r="AM62" s="85"/>
      <c r="AN62" s="85"/>
      <c r="AO62" s="1" t="s">
        <v>559</v>
      </c>
      <c r="AP62" s="85" t="s">
        <v>591</v>
      </c>
      <c r="AQ62" s="85" t="s">
        <v>597</v>
      </c>
    </row>
    <row r="63" spans="1:43" x14ac:dyDescent="0.35">
      <c r="A63" s="134" t="s">
        <v>22</v>
      </c>
      <c r="B63" s="48">
        <f>_xlfn.XLOOKUP(A63,T_Custos[Produto],T_Custos[Peso])</f>
        <v>6</v>
      </c>
      <c r="C63" s="49" t="str">
        <f>_xlfn.XLOOKUP(A63,T_Custos[Produto],T_Custos[Und])</f>
        <v>kg</v>
      </c>
      <c r="D63" s="1" t="s">
        <v>252</v>
      </c>
      <c r="E63" s="1" t="s">
        <v>261</v>
      </c>
      <c r="F63" s="1" t="s">
        <v>248</v>
      </c>
      <c r="G63" s="1" t="s">
        <v>255</v>
      </c>
      <c r="H63" s="1" t="s">
        <v>258</v>
      </c>
      <c r="I63" s="1" t="s">
        <v>260</v>
      </c>
      <c r="J63" s="1" t="s">
        <v>492</v>
      </c>
      <c r="K63" s="85" t="s">
        <v>552</v>
      </c>
      <c r="L63" s="1" t="s">
        <v>259</v>
      </c>
      <c r="M63" s="1" t="s">
        <v>251</v>
      </c>
      <c r="N63" s="1" t="s">
        <v>257</v>
      </c>
      <c r="O63" s="1" t="s">
        <v>247</v>
      </c>
      <c r="P63" s="1"/>
      <c r="Q63" s="1"/>
      <c r="R63" s="1" t="s">
        <v>256</v>
      </c>
      <c r="S63" s="85" t="s">
        <v>442</v>
      </c>
      <c r="T63" s="85" t="s">
        <v>443</v>
      </c>
      <c r="U63" s="85" t="s">
        <v>444</v>
      </c>
      <c r="V63" s="85" t="s">
        <v>445</v>
      </c>
      <c r="W63" s="85" t="s">
        <v>446</v>
      </c>
      <c r="X63" s="85" t="s">
        <v>452</v>
      </c>
      <c r="Y63" s="85"/>
      <c r="Z63" s="85"/>
      <c r="AA63" s="85" t="s">
        <v>489</v>
      </c>
      <c r="AB63" s="85" t="s">
        <v>490</v>
      </c>
      <c r="AC63" s="85"/>
      <c r="AD63" s="85"/>
      <c r="AE63" s="85"/>
      <c r="AF63" s="85"/>
      <c r="AG63" s="85"/>
      <c r="AH63" s="85"/>
      <c r="AI63" s="85"/>
      <c r="AJ63" s="85"/>
      <c r="AK63" s="85"/>
      <c r="AL63" s="85"/>
      <c r="AM63" s="85"/>
      <c r="AN63" s="85"/>
      <c r="AO63" s="1" t="s">
        <v>559</v>
      </c>
      <c r="AP63" s="85" t="s">
        <v>591</v>
      </c>
      <c r="AQ63" s="85" t="s">
        <v>597</v>
      </c>
    </row>
    <row r="64" spans="1:43" x14ac:dyDescent="0.35">
      <c r="A64" s="134" t="s">
        <v>395</v>
      </c>
      <c r="B64" s="48">
        <f>_xlfn.XLOOKUP(A64,T_Custos[Produto],T_Custos[Peso])</f>
        <v>1</v>
      </c>
      <c r="C64" s="49" t="str">
        <f>_xlfn.XLOOKUP(A64,T_Custos[Produto],T_Custos[Und])</f>
        <v>und</v>
      </c>
      <c r="D64" s="1"/>
      <c r="E64" s="1"/>
      <c r="F64" s="1"/>
      <c r="G64" s="1"/>
      <c r="H64" s="1"/>
      <c r="I64" s="1"/>
      <c r="J64" s="1"/>
      <c r="K64" s="85"/>
      <c r="L64" s="1"/>
      <c r="M64" s="1"/>
      <c r="N64" s="1"/>
      <c r="O64" s="1"/>
      <c r="P64" s="47" t="s">
        <v>253</v>
      </c>
      <c r="Q64" s="47" t="s">
        <v>254</v>
      </c>
      <c r="R64" s="1"/>
      <c r="S64" s="85" t="s">
        <v>442</v>
      </c>
      <c r="T64" s="85" t="s">
        <v>443</v>
      </c>
      <c r="U64" s="85" t="s">
        <v>444</v>
      </c>
      <c r="V64" s="85" t="s">
        <v>445</v>
      </c>
      <c r="W64" s="85" t="s">
        <v>446</v>
      </c>
      <c r="X64" s="85"/>
      <c r="Y64" s="85"/>
      <c r="Z64" s="85"/>
      <c r="AA64" s="85"/>
      <c r="AB64" s="85"/>
      <c r="AC64" s="85"/>
      <c r="AD64" s="85"/>
      <c r="AE64" s="85"/>
      <c r="AF64" s="85"/>
      <c r="AG64" s="85"/>
      <c r="AH64" s="85"/>
      <c r="AI64" s="85"/>
      <c r="AJ64" s="85"/>
      <c r="AK64" s="85"/>
      <c r="AL64" s="85"/>
      <c r="AM64" s="85"/>
      <c r="AN64" s="85"/>
      <c r="AO64" s="1"/>
      <c r="AP64" s="85"/>
      <c r="AQ64" s="85"/>
    </row>
    <row r="65" spans="1:43" x14ac:dyDescent="0.35">
      <c r="A65" s="134" t="s">
        <v>23</v>
      </c>
      <c r="B65" s="48">
        <f>_xlfn.XLOOKUP(A65,T_Custos[Produto],T_Custos[Peso])</f>
        <v>15</v>
      </c>
      <c r="C65" s="49" t="str">
        <f>_xlfn.XLOOKUP(A65,T_Custos[Produto],T_Custos[Und])</f>
        <v>kg</v>
      </c>
      <c r="D65" s="1" t="s">
        <v>252</v>
      </c>
      <c r="E65" s="1" t="s">
        <v>261</v>
      </c>
      <c r="F65" s="1" t="s">
        <v>248</v>
      </c>
      <c r="G65" s="1" t="s">
        <v>255</v>
      </c>
      <c r="H65" s="1" t="s">
        <v>258</v>
      </c>
      <c r="I65" s="1" t="s">
        <v>260</v>
      </c>
      <c r="J65" s="1" t="s">
        <v>492</v>
      </c>
      <c r="K65" s="85" t="s">
        <v>552</v>
      </c>
      <c r="L65" s="1" t="s">
        <v>259</v>
      </c>
      <c r="M65" s="1" t="s">
        <v>251</v>
      </c>
      <c r="N65" s="1" t="s">
        <v>257</v>
      </c>
      <c r="O65" s="1" t="s">
        <v>247</v>
      </c>
      <c r="P65" s="1"/>
      <c r="Q65" s="1"/>
      <c r="R65" s="1" t="s">
        <v>256</v>
      </c>
      <c r="S65" s="85" t="s">
        <v>442</v>
      </c>
      <c r="T65" s="85" t="s">
        <v>443</v>
      </c>
      <c r="U65" s="85" t="s">
        <v>444</v>
      </c>
      <c r="V65" s="85" t="s">
        <v>445</v>
      </c>
      <c r="W65" s="85" t="s">
        <v>446</v>
      </c>
      <c r="X65" s="85" t="s">
        <v>452</v>
      </c>
      <c r="Y65" s="85"/>
      <c r="Z65" s="85"/>
      <c r="AA65" s="85" t="s">
        <v>489</v>
      </c>
      <c r="AB65" s="85" t="s">
        <v>490</v>
      </c>
      <c r="AC65" s="85"/>
      <c r="AD65" s="85" t="s">
        <v>507</v>
      </c>
      <c r="AE65" s="85"/>
      <c r="AF65" s="85" t="s">
        <v>515</v>
      </c>
      <c r="AG65" s="85" t="s">
        <v>516</v>
      </c>
      <c r="AH65" s="85"/>
      <c r="AI65" s="85" t="s">
        <v>518</v>
      </c>
      <c r="AJ65" s="85"/>
      <c r="AK65" s="85" t="s">
        <v>520</v>
      </c>
      <c r="AL65" s="85" t="s">
        <v>521</v>
      </c>
      <c r="AM65" s="85" t="s">
        <v>537</v>
      </c>
      <c r="AN65" s="85" t="s">
        <v>538</v>
      </c>
      <c r="AO65" s="1" t="s">
        <v>559</v>
      </c>
      <c r="AP65" s="85" t="s">
        <v>591</v>
      </c>
      <c r="AQ65" s="85" t="s">
        <v>597</v>
      </c>
    </row>
    <row r="66" spans="1:43" x14ac:dyDescent="0.35">
      <c r="A66" s="134" t="s">
        <v>24</v>
      </c>
      <c r="B66" s="48">
        <f>_xlfn.XLOOKUP(A66,T_Custos[Produto],T_Custos[Peso])</f>
        <v>20</v>
      </c>
      <c r="C66" s="49" t="str">
        <f>_xlfn.XLOOKUP(A66,T_Custos[Produto],T_Custos[Und])</f>
        <v>kg</v>
      </c>
      <c r="D66" s="1" t="s">
        <v>252</v>
      </c>
      <c r="E66" s="1" t="s">
        <v>261</v>
      </c>
      <c r="F66" s="1" t="s">
        <v>248</v>
      </c>
      <c r="G66" s="1" t="s">
        <v>255</v>
      </c>
      <c r="H66" s="1" t="s">
        <v>258</v>
      </c>
      <c r="I66" s="1" t="s">
        <v>260</v>
      </c>
      <c r="J66" s="1" t="s">
        <v>492</v>
      </c>
      <c r="K66" s="85" t="s">
        <v>552</v>
      </c>
      <c r="L66" s="1" t="s">
        <v>259</v>
      </c>
      <c r="M66" s="1" t="s">
        <v>251</v>
      </c>
      <c r="N66" s="1" t="s">
        <v>257</v>
      </c>
      <c r="O66" s="1" t="s">
        <v>247</v>
      </c>
      <c r="P66" s="1"/>
      <c r="Q66" s="1"/>
      <c r="R66" s="1" t="s">
        <v>256</v>
      </c>
      <c r="S66" s="85" t="s">
        <v>442</v>
      </c>
      <c r="T66" s="85" t="s">
        <v>443</v>
      </c>
      <c r="U66" s="85" t="s">
        <v>444</v>
      </c>
      <c r="V66" s="85" t="s">
        <v>445</v>
      </c>
      <c r="W66" s="85" t="s">
        <v>446</v>
      </c>
      <c r="X66" s="85" t="s">
        <v>452</v>
      </c>
      <c r="Y66" s="85"/>
      <c r="Z66" s="85"/>
      <c r="AA66" s="85" t="s">
        <v>489</v>
      </c>
      <c r="AB66" s="85" t="s">
        <v>490</v>
      </c>
      <c r="AC66" s="85"/>
      <c r="AD66" s="85"/>
      <c r="AE66" s="85"/>
      <c r="AF66" s="85"/>
      <c r="AG66" s="85"/>
      <c r="AH66" s="85"/>
      <c r="AI66" s="85"/>
      <c r="AJ66" s="85"/>
      <c r="AK66" s="85"/>
      <c r="AL66" s="85"/>
      <c r="AM66" s="85" t="s">
        <v>537</v>
      </c>
      <c r="AN66" s="85" t="s">
        <v>538</v>
      </c>
      <c r="AO66" s="1" t="s">
        <v>559</v>
      </c>
      <c r="AP66" s="85" t="s">
        <v>591</v>
      </c>
      <c r="AQ66" s="85" t="s">
        <v>597</v>
      </c>
    </row>
    <row r="67" spans="1:43" x14ac:dyDescent="0.35">
      <c r="A67" s="134" t="s">
        <v>440</v>
      </c>
      <c r="B67" s="48">
        <f>_xlfn.XLOOKUP(A67,T_Custos[Produto],T_Custos[Peso])</f>
        <v>20</v>
      </c>
      <c r="C67" s="49" t="str">
        <f>_xlfn.XLOOKUP(A67,T_Custos[Produto],T_Custos[Und])</f>
        <v>kg</v>
      </c>
      <c r="D67" s="1" t="s">
        <v>252</v>
      </c>
      <c r="E67" s="1" t="s">
        <v>261</v>
      </c>
      <c r="F67" s="1" t="s">
        <v>248</v>
      </c>
      <c r="G67" s="1" t="s">
        <v>255</v>
      </c>
      <c r="H67" s="1" t="s">
        <v>258</v>
      </c>
      <c r="I67" s="1" t="s">
        <v>260</v>
      </c>
      <c r="J67" s="1" t="s">
        <v>492</v>
      </c>
      <c r="K67" s="85" t="s">
        <v>552</v>
      </c>
      <c r="L67" s="1" t="s">
        <v>259</v>
      </c>
      <c r="M67" s="1" t="s">
        <v>251</v>
      </c>
      <c r="N67" s="1" t="s">
        <v>257</v>
      </c>
      <c r="O67" s="1" t="s">
        <v>247</v>
      </c>
      <c r="P67" s="1"/>
      <c r="Q67" s="1"/>
      <c r="R67" s="1" t="s">
        <v>256</v>
      </c>
      <c r="S67" s="85" t="s">
        <v>442</v>
      </c>
      <c r="T67" s="85" t="s">
        <v>443</v>
      </c>
      <c r="U67" s="85" t="s">
        <v>444</v>
      </c>
      <c r="V67" s="85" t="s">
        <v>445</v>
      </c>
      <c r="W67" s="85" t="s">
        <v>446</v>
      </c>
      <c r="X67" s="85" t="s">
        <v>452</v>
      </c>
      <c r="Y67" s="85"/>
      <c r="Z67" s="85" t="s">
        <v>465</v>
      </c>
      <c r="AA67" s="85" t="s">
        <v>489</v>
      </c>
      <c r="AB67" s="85" t="s">
        <v>490</v>
      </c>
      <c r="AC67" s="85"/>
      <c r="AD67" s="85"/>
      <c r="AE67" s="85"/>
      <c r="AF67" s="85" t="s">
        <v>515</v>
      </c>
      <c r="AG67" s="85" t="s">
        <v>516</v>
      </c>
      <c r="AH67" s="85" t="s">
        <v>517</v>
      </c>
      <c r="AI67" s="85" t="s">
        <v>518</v>
      </c>
      <c r="AJ67" s="85"/>
      <c r="AK67" s="85" t="s">
        <v>520</v>
      </c>
      <c r="AL67" s="85"/>
      <c r="AM67" s="85" t="s">
        <v>537</v>
      </c>
      <c r="AN67" s="85" t="s">
        <v>538</v>
      </c>
      <c r="AO67" s="1" t="s">
        <v>559</v>
      </c>
      <c r="AP67" s="85" t="s">
        <v>591</v>
      </c>
      <c r="AQ67" s="85" t="s">
        <v>597</v>
      </c>
    </row>
    <row r="68" spans="1:43" x14ac:dyDescent="0.35">
      <c r="A68" s="134" t="s">
        <v>441</v>
      </c>
      <c r="B68" s="48">
        <f>_xlfn.XLOOKUP(A68,T_Custos[Produto],T_Custos[Peso])</f>
        <v>1</v>
      </c>
      <c r="C68" s="49" t="str">
        <f>_xlfn.XLOOKUP(A68,T_Custos[Produto],T_Custos[Und])</f>
        <v>und</v>
      </c>
      <c r="D68" s="1"/>
      <c r="E68" s="1"/>
      <c r="F68" s="1"/>
      <c r="G68" s="1"/>
      <c r="H68" s="1"/>
      <c r="I68" s="1"/>
      <c r="J68" s="1"/>
      <c r="K68" s="85"/>
      <c r="L68" s="1"/>
      <c r="M68" s="1"/>
      <c r="N68" s="1"/>
      <c r="O68" s="1"/>
      <c r="P68" s="47" t="s">
        <v>253</v>
      </c>
      <c r="Q68" s="47" t="s">
        <v>254</v>
      </c>
      <c r="R68" s="1"/>
      <c r="S68" s="85" t="s">
        <v>442</v>
      </c>
      <c r="T68" s="85" t="s">
        <v>443</v>
      </c>
      <c r="U68" s="85" t="s">
        <v>444</v>
      </c>
      <c r="V68" s="85" t="s">
        <v>445</v>
      </c>
      <c r="W68" s="85" t="s">
        <v>446</v>
      </c>
      <c r="X68" s="85"/>
      <c r="Y68" s="85"/>
      <c r="Z68" s="85"/>
      <c r="AA68" s="85"/>
      <c r="AB68" s="85"/>
      <c r="AC68" s="85"/>
      <c r="AD68" s="85"/>
      <c r="AE68" s="85"/>
      <c r="AF68" s="85"/>
      <c r="AG68" s="85"/>
      <c r="AH68" s="85"/>
      <c r="AI68" s="85"/>
      <c r="AJ68" s="85"/>
      <c r="AK68" s="85"/>
      <c r="AL68" s="85"/>
      <c r="AM68" s="85"/>
      <c r="AN68" s="85"/>
      <c r="AO68" s="1"/>
      <c r="AP68" s="85"/>
      <c r="AQ68" s="85"/>
    </row>
    <row r="69" spans="1:43" x14ac:dyDescent="0.35">
      <c r="A69" s="134" t="s">
        <v>439</v>
      </c>
      <c r="B69" s="48">
        <f>_xlfn.XLOOKUP(A69,T_Custos[Produto],T_Custos[Peso])</f>
        <v>15</v>
      </c>
      <c r="C69" s="49" t="str">
        <f>_xlfn.XLOOKUP(A69,T_Custos[Produto],T_Custos[Und])</f>
        <v>kg</v>
      </c>
      <c r="D69" s="1" t="s">
        <v>252</v>
      </c>
      <c r="E69" s="1" t="s">
        <v>261</v>
      </c>
      <c r="F69" s="1" t="s">
        <v>248</v>
      </c>
      <c r="G69" s="1" t="s">
        <v>255</v>
      </c>
      <c r="H69" s="1" t="s">
        <v>258</v>
      </c>
      <c r="I69" s="1" t="s">
        <v>260</v>
      </c>
      <c r="J69" s="1" t="s">
        <v>492</v>
      </c>
      <c r="K69" s="85" t="s">
        <v>552</v>
      </c>
      <c r="L69" s="1" t="s">
        <v>259</v>
      </c>
      <c r="M69" s="1" t="s">
        <v>251</v>
      </c>
      <c r="N69" s="1" t="s">
        <v>257</v>
      </c>
      <c r="O69" s="1" t="s">
        <v>247</v>
      </c>
      <c r="P69" s="1"/>
      <c r="Q69" s="1"/>
      <c r="R69" s="1" t="s">
        <v>256</v>
      </c>
      <c r="S69" s="85" t="s">
        <v>442</v>
      </c>
      <c r="T69" s="85" t="s">
        <v>443</v>
      </c>
      <c r="U69" s="85" t="s">
        <v>444</v>
      </c>
      <c r="V69" s="85" t="s">
        <v>445</v>
      </c>
      <c r="W69" s="85" t="s">
        <v>446</v>
      </c>
      <c r="X69" s="85" t="s">
        <v>452</v>
      </c>
      <c r="Y69" s="85"/>
      <c r="Z69" s="85"/>
      <c r="AA69" s="85" t="s">
        <v>489</v>
      </c>
      <c r="AB69" s="85" t="s">
        <v>490</v>
      </c>
      <c r="AC69" s="85"/>
      <c r="AD69" s="85"/>
      <c r="AE69" s="85"/>
      <c r="AF69" s="85"/>
      <c r="AG69" s="85"/>
      <c r="AH69" s="85"/>
      <c r="AI69" s="85"/>
      <c r="AJ69" s="85"/>
      <c r="AK69" s="85"/>
      <c r="AL69" s="85"/>
      <c r="AM69" s="85" t="s">
        <v>537</v>
      </c>
      <c r="AN69" s="85" t="s">
        <v>538</v>
      </c>
      <c r="AO69" s="1" t="s">
        <v>559</v>
      </c>
      <c r="AP69" s="85" t="s">
        <v>591</v>
      </c>
      <c r="AQ69" s="85" t="s">
        <v>597</v>
      </c>
    </row>
    <row r="70" spans="1:43" x14ac:dyDescent="0.35">
      <c r="A70" s="134" t="s">
        <v>25</v>
      </c>
      <c r="B70" s="48">
        <f>_xlfn.XLOOKUP(A70,T_Custos[Produto],T_Custos[Peso])</f>
        <v>20</v>
      </c>
      <c r="C70" s="49" t="str">
        <f>_xlfn.XLOOKUP(A70,T_Custos[Produto],T_Custos[Und])</f>
        <v>kg</v>
      </c>
      <c r="D70" s="1" t="s">
        <v>252</v>
      </c>
      <c r="E70" s="1" t="s">
        <v>261</v>
      </c>
      <c r="F70" s="1" t="s">
        <v>248</v>
      </c>
      <c r="G70" s="1" t="s">
        <v>255</v>
      </c>
      <c r="H70" s="1" t="s">
        <v>258</v>
      </c>
      <c r="I70" s="1" t="s">
        <v>260</v>
      </c>
      <c r="J70" s="1" t="s">
        <v>492</v>
      </c>
      <c r="K70" s="85" t="s">
        <v>552</v>
      </c>
      <c r="L70" s="1" t="s">
        <v>259</v>
      </c>
      <c r="M70" s="1" t="s">
        <v>251</v>
      </c>
      <c r="N70" s="1" t="s">
        <v>257</v>
      </c>
      <c r="O70" s="1" t="s">
        <v>247</v>
      </c>
      <c r="P70" s="1"/>
      <c r="Q70" s="1"/>
      <c r="R70" s="1" t="s">
        <v>256</v>
      </c>
      <c r="S70" s="85" t="s">
        <v>442</v>
      </c>
      <c r="T70" s="85" t="s">
        <v>443</v>
      </c>
      <c r="U70" s="85" t="s">
        <v>444</v>
      </c>
      <c r="V70" s="85" t="s">
        <v>445</v>
      </c>
      <c r="W70" s="85" t="s">
        <v>446</v>
      </c>
      <c r="X70" s="85" t="s">
        <v>452</v>
      </c>
      <c r="Y70" s="85"/>
      <c r="Z70" s="85"/>
      <c r="AA70" s="85" t="s">
        <v>489</v>
      </c>
      <c r="AB70" s="85" t="s">
        <v>490</v>
      </c>
      <c r="AC70" s="85"/>
      <c r="AD70" s="85"/>
      <c r="AE70" s="85"/>
      <c r="AF70" s="85"/>
      <c r="AG70" s="85"/>
      <c r="AH70" s="85"/>
      <c r="AI70" s="85"/>
      <c r="AJ70" s="85"/>
      <c r="AK70" s="85"/>
      <c r="AL70" s="85"/>
      <c r="AM70" s="85" t="s">
        <v>537</v>
      </c>
      <c r="AN70" s="85" t="s">
        <v>538</v>
      </c>
      <c r="AO70" s="1" t="s">
        <v>559</v>
      </c>
      <c r="AP70" s="85" t="s">
        <v>591</v>
      </c>
      <c r="AQ70" s="85" t="s">
        <v>597</v>
      </c>
    </row>
    <row r="71" spans="1:43" x14ac:dyDescent="0.35">
      <c r="A71" s="134" t="s">
        <v>462</v>
      </c>
      <c r="B71" s="48">
        <f>_xlfn.XLOOKUP(A71,T_Custos[Produto],T_Custos[Peso])</f>
        <v>20</v>
      </c>
      <c r="C71" s="49" t="str">
        <f>_xlfn.XLOOKUP(A71,T_Custos[Produto],T_Custos[Und])</f>
        <v>kg</v>
      </c>
      <c r="D71" s="1" t="s">
        <v>252</v>
      </c>
      <c r="E71" s="1" t="s">
        <v>261</v>
      </c>
      <c r="F71" s="1" t="s">
        <v>248</v>
      </c>
      <c r="G71" s="1" t="s">
        <v>255</v>
      </c>
      <c r="H71" s="1" t="s">
        <v>258</v>
      </c>
      <c r="I71" s="1" t="s">
        <v>260</v>
      </c>
      <c r="J71" s="1" t="s">
        <v>492</v>
      </c>
      <c r="K71" s="85" t="s">
        <v>552</v>
      </c>
      <c r="L71" s="1" t="s">
        <v>259</v>
      </c>
      <c r="M71" s="1" t="s">
        <v>251</v>
      </c>
      <c r="N71" s="1" t="s">
        <v>257</v>
      </c>
      <c r="O71" s="1" t="s">
        <v>247</v>
      </c>
      <c r="P71" s="1"/>
      <c r="Q71" s="1"/>
      <c r="R71" s="1" t="s">
        <v>256</v>
      </c>
      <c r="S71" s="85" t="s">
        <v>442</v>
      </c>
      <c r="T71" s="85" t="s">
        <v>443</v>
      </c>
      <c r="U71" s="85" t="s">
        <v>444</v>
      </c>
      <c r="V71" s="85" t="s">
        <v>445</v>
      </c>
      <c r="W71" s="85" t="s">
        <v>446</v>
      </c>
      <c r="X71" s="85" t="s">
        <v>452</v>
      </c>
      <c r="Y71" s="85" t="s">
        <v>463</v>
      </c>
      <c r="Z71" s="85"/>
      <c r="AA71" s="85" t="s">
        <v>489</v>
      </c>
      <c r="AB71" s="85" t="s">
        <v>490</v>
      </c>
      <c r="AC71" s="85"/>
      <c r="AD71" s="85" t="s">
        <v>507</v>
      </c>
      <c r="AE71" s="85"/>
      <c r="AF71" s="85" t="s">
        <v>515</v>
      </c>
      <c r="AG71" s="85" t="s">
        <v>516</v>
      </c>
      <c r="AH71" s="85"/>
      <c r="AI71" s="85" t="s">
        <v>518</v>
      </c>
      <c r="AJ71" s="85"/>
      <c r="AK71" s="85" t="s">
        <v>520</v>
      </c>
      <c r="AL71" s="85" t="s">
        <v>521</v>
      </c>
      <c r="AM71" s="85" t="s">
        <v>537</v>
      </c>
      <c r="AN71" s="85" t="s">
        <v>538</v>
      </c>
      <c r="AO71" s="1" t="s">
        <v>559</v>
      </c>
      <c r="AP71" s="85" t="s">
        <v>591</v>
      </c>
      <c r="AQ71" s="85" t="s">
        <v>597</v>
      </c>
    </row>
    <row r="72" spans="1:43" x14ac:dyDescent="0.35">
      <c r="A72" s="134" t="s">
        <v>26</v>
      </c>
      <c r="B72" s="48">
        <f>_xlfn.XLOOKUP(A72,T_Custos[Produto],T_Custos[Peso])</f>
        <v>15</v>
      </c>
      <c r="C72" s="49" t="str">
        <f>_xlfn.XLOOKUP(A72,T_Custos[Produto],T_Custos[Und])</f>
        <v>kg</v>
      </c>
      <c r="D72" s="1" t="s">
        <v>252</v>
      </c>
      <c r="E72" s="1" t="s">
        <v>261</v>
      </c>
      <c r="F72" s="1" t="s">
        <v>248</v>
      </c>
      <c r="G72" s="1" t="s">
        <v>255</v>
      </c>
      <c r="H72" s="1" t="s">
        <v>258</v>
      </c>
      <c r="I72" s="1" t="s">
        <v>260</v>
      </c>
      <c r="J72" s="1" t="s">
        <v>492</v>
      </c>
      <c r="K72" s="85" t="s">
        <v>552</v>
      </c>
      <c r="L72" s="1" t="s">
        <v>259</v>
      </c>
      <c r="M72" s="1" t="s">
        <v>251</v>
      </c>
      <c r="N72" s="1" t="s">
        <v>257</v>
      </c>
      <c r="O72" s="1" t="s">
        <v>247</v>
      </c>
      <c r="P72" s="1"/>
      <c r="Q72" s="1"/>
      <c r="R72" s="1" t="s">
        <v>256</v>
      </c>
      <c r="S72" s="85" t="s">
        <v>442</v>
      </c>
      <c r="T72" s="85" t="s">
        <v>443</v>
      </c>
      <c r="U72" s="85" t="s">
        <v>444</v>
      </c>
      <c r="V72" s="85" t="s">
        <v>445</v>
      </c>
      <c r="W72" s="85" t="s">
        <v>446</v>
      </c>
      <c r="X72" s="85" t="s">
        <v>452</v>
      </c>
      <c r="Y72" s="85" t="s">
        <v>463</v>
      </c>
      <c r="Z72" s="85"/>
      <c r="AA72" s="85" t="s">
        <v>489</v>
      </c>
      <c r="AB72" s="85" t="s">
        <v>490</v>
      </c>
      <c r="AC72" s="85"/>
      <c r="AD72" s="85" t="s">
        <v>507</v>
      </c>
      <c r="AE72" s="85"/>
      <c r="AF72" s="85" t="s">
        <v>515</v>
      </c>
      <c r="AG72" s="85" t="s">
        <v>516</v>
      </c>
      <c r="AH72" s="85"/>
      <c r="AI72" s="85" t="s">
        <v>518</v>
      </c>
      <c r="AJ72" s="85"/>
      <c r="AK72" s="85" t="s">
        <v>520</v>
      </c>
      <c r="AL72" s="85" t="s">
        <v>521</v>
      </c>
      <c r="AM72" s="85" t="s">
        <v>537</v>
      </c>
      <c r="AN72" s="85" t="s">
        <v>538</v>
      </c>
      <c r="AO72" s="1" t="s">
        <v>559</v>
      </c>
      <c r="AP72" s="85" t="s">
        <v>591</v>
      </c>
      <c r="AQ72" s="85" t="s">
        <v>597</v>
      </c>
    </row>
    <row r="73" spans="1:43" x14ac:dyDescent="0.35">
      <c r="A73" s="134" t="s">
        <v>481</v>
      </c>
      <c r="B73" s="93">
        <f>_xlfn.XLOOKUP(A73,T_Custos[Produto],T_Custos[Peso])</f>
        <v>1</v>
      </c>
      <c r="C73" s="94" t="str">
        <f>_xlfn.XLOOKUP(A73,T_Custos[Produto],T_Custos[Und])</f>
        <v>und</v>
      </c>
      <c r="D73" s="1"/>
      <c r="E73" s="1"/>
      <c r="F73" s="1"/>
      <c r="G73" s="1"/>
      <c r="H73" s="1"/>
      <c r="I73" s="1"/>
      <c r="J73" s="1"/>
      <c r="K73" s="85"/>
      <c r="L73" s="1"/>
      <c r="M73" s="1"/>
      <c r="N73" s="1"/>
      <c r="O73" s="1"/>
      <c r="P73" s="47" t="s">
        <v>253</v>
      </c>
      <c r="Q73" s="47" t="s">
        <v>254</v>
      </c>
      <c r="R73" s="1"/>
      <c r="S73" s="85"/>
      <c r="T73" s="85"/>
      <c r="U73" s="85"/>
      <c r="V73" s="85"/>
      <c r="W73" s="85"/>
      <c r="X73" s="85"/>
      <c r="Y73" s="85"/>
      <c r="Z73" s="85"/>
      <c r="AA73" s="85"/>
      <c r="AB73" s="85"/>
      <c r="AC73" s="85"/>
      <c r="AD73" s="85"/>
      <c r="AE73" s="85"/>
      <c r="AF73" s="85" t="s">
        <v>515</v>
      </c>
      <c r="AG73" s="85" t="s">
        <v>516</v>
      </c>
      <c r="AH73" s="85"/>
      <c r="AI73" s="85" t="s">
        <v>518</v>
      </c>
      <c r="AJ73" s="85"/>
      <c r="AK73" s="85" t="s">
        <v>520</v>
      </c>
      <c r="AL73" s="85" t="s">
        <v>521</v>
      </c>
      <c r="AM73" s="85"/>
      <c r="AN73" s="85"/>
      <c r="AO73" s="1"/>
      <c r="AP73" s="85"/>
      <c r="AQ73" s="85"/>
    </row>
    <row r="74" spans="1:43" x14ac:dyDescent="0.35">
      <c r="A74" s="134" t="s">
        <v>365</v>
      </c>
      <c r="B74" s="48">
        <f>_xlfn.XLOOKUP(A74,T_Custos[Produto],T_Custos[Peso])</f>
        <v>1</v>
      </c>
      <c r="C74" s="49" t="str">
        <f>_xlfn.XLOOKUP(A74,T_Custos[Produto],T_Custos[Und])</f>
        <v>und</v>
      </c>
      <c r="D74" s="1"/>
      <c r="E74" s="1"/>
      <c r="F74" s="1"/>
      <c r="G74" s="1"/>
      <c r="H74" s="1"/>
      <c r="I74" s="1"/>
      <c r="J74" s="1"/>
      <c r="K74" s="85"/>
      <c r="L74" s="1"/>
      <c r="M74" s="1"/>
      <c r="N74" s="1"/>
      <c r="O74" s="1"/>
      <c r="P74" s="1"/>
      <c r="Q74" s="1"/>
      <c r="R74" s="1"/>
      <c r="S74" s="85" t="s">
        <v>442</v>
      </c>
      <c r="T74" s="85" t="s">
        <v>443</v>
      </c>
      <c r="U74" s="85" t="s">
        <v>444</v>
      </c>
      <c r="V74" s="85" t="s">
        <v>445</v>
      </c>
      <c r="W74" s="85" t="s">
        <v>446</v>
      </c>
      <c r="X74" s="85"/>
      <c r="Y74" s="85"/>
      <c r="Z74" s="85"/>
      <c r="AA74" s="85"/>
      <c r="AB74" s="85"/>
      <c r="AC74" s="85"/>
      <c r="AD74" s="85"/>
      <c r="AE74" s="85"/>
      <c r="AF74" s="85" t="s">
        <v>515</v>
      </c>
      <c r="AG74" s="85" t="s">
        <v>516</v>
      </c>
      <c r="AH74" s="85"/>
      <c r="AI74" s="85" t="s">
        <v>518</v>
      </c>
      <c r="AJ74" s="85"/>
      <c r="AK74" s="85" t="s">
        <v>520</v>
      </c>
      <c r="AL74" s="85" t="s">
        <v>521</v>
      </c>
      <c r="AM74" s="85"/>
      <c r="AN74" s="85"/>
      <c r="AO74" s="1"/>
      <c r="AP74" s="85"/>
      <c r="AQ74" s="85"/>
    </row>
    <row r="75" spans="1:43" x14ac:dyDescent="0.35">
      <c r="A75" s="134" t="s">
        <v>27</v>
      </c>
      <c r="B75" s="48">
        <f>_xlfn.XLOOKUP(A75,T_Custos[Produto],T_Custos[Peso])</f>
        <v>20</v>
      </c>
      <c r="C75" s="49" t="str">
        <f>_xlfn.XLOOKUP(A75,T_Custos[Produto],T_Custos[Und])</f>
        <v>kg</v>
      </c>
      <c r="D75" s="1" t="s">
        <v>252</v>
      </c>
      <c r="E75" s="1" t="s">
        <v>261</v>
      </c>
      <c r="F75" s="1" t="s">
        <v>248</v>
      </c>
      <c r="G75" s="1" t="s">
        <v>255</v>
      </c>
      <c r="H75" s="1" t="s">
        <v>258</v>
      </c>
      <c r="I75" s="1" t="s">
        <v>260</v>
      </c>
      <c r="J75" s="1" t="s">
        <v>492</v>
      </c>
      <c r="K75" s="85" t="s">
        <v>552</v>
      </c>
      <c r="L75" s="1" t="s">
        <v>259</v>
      </c>
      <c r="M75" s="1" t="s">
        <v>251</v>
      </c>
      <c r="N75" s="1" t="s">
        <v>257</v>
      </c>
      <c r="O75" s="1" t="s">
        <v>247</v>
      </c>
      <c r="P75" s="1"/>
      <c r="Q75" s="1"/>
      <c r="R75" s="1" t="s">
        <v>256</v>
      </c>
      <c r="S75" s="85" t="s">
        <v>442</v>
      </c>
      <c r="T75" s="85" t="s">
        <v>443</v>
      </c>
      <c r="U75" s="85" t="s">
        <v>444</v>
      </c>
      <c r="V75" s="85" t="s">
        <v>445</v>
      </c>
      <c r="W75" s="85" t="s">
        <v>446</v>
      </c>
      <c r="X75" s="85" t="s">
        <v>452</v>
      </c>
      <c r="Y75" s="85" t="s">
        <v>463</v>
      </c>
      <c r="Z75" s="85" t="s">
        <v>465</v>
      </c>
      <c r="AA75" s="85" t="s">
        <v>489</v>
      </c>
      <c r="AB75" s="85" t="s">
        <v>490</v>
      </c>
      <c r="AC75" s="85" t="s">
        <v>503</v>
      </c>
      <c r="AD75" s="85" t="s">
        <v>507</v>
      </c>
      <c r="AE75" s="85"/>
      <c r="AF75" s="85"/>
      <c r="AG75" s="85"/>
      <c r="AH75" s="85"/>
      <c r="AI75" s="85"/>
      <c r="AJ75" s="85"/>
      <c r="AK75" s="85"/>
      <c r="AL75" s="85"/>
      <c r="AM75" s="85" t="s">
        <v>537</v>
      </c>
      <c r="AN75" s="85" t="s">
        <v>538</v>
      </c>
      <c r="AO75" s="1" t="s">
        <v>559</v>
      </c>
      <c r="AP75" s="85" t="s">
        <v>591</v>
      </c>
      <c r="AQ75" s="85" t="s">
        <v>597</v>
      </c>
    </row>
    <row r="76" spans="1:43" x14ac:dyDescent="0.35">
      <c r="A76" s="134" t="s">
        <v>366</v>
      </c>
      <c r="B76" s="48">
        <f>_xlfn.XLOOKUP(A76,T_Custos[Produto],T_Custos[Peso])</f>
        <v>1</v>
      </c>
      <c r="C76" s="49" t="str">
        <f>_xlfn.XLOOKUP(A76,T_Custos[Produto],T_Custos[Und])</f>
        <v>und</v>
      </c>
      <c r="D76" s="1"/>
      <c r="E76" s="1"/>
      <c r="F76" s="1"/>
      <c r="G76" s="1"/>
      <c r="H76" s="1"/>
      <c r="I76" s="1"/>
      <c r="J76" s="1"/>
      <c r="K76" s="85"/>
      <c r="L76" s="1"/>
      <c r="M76" s="1"/>
      <c r="N76" s="1"/>
      <c r="O76" s="1"/>
      <c r="P76" s="47"/>
      <c r="Q76" s="47"/>
      <c r="R76" s="1"/>
      <c r="S76" s="85" t="s">
        <v>442</v>
      </c>
      <c r="T76" s="85" t="s">
        <v>443</v>
      </c>
      <c r="U76" s="85" t="s">
        <v>444</v>
      </c>
      <c r="V76" s="85" t="s">
        <v>445</v>
      </c>
      <c r="W76" s="85" t="s">
        <v>446</v>
      </c>
      <c r="X76" s="85"/>
      <c r="Y76" s="85"/>
      <c r="Z76" s="85"/>
      <c r="AA76" s="85"/>
      <c r="AB76" s="85"/>
      <c r="AC76" s="85"/>
      <c r="AD76" s="85"/>
      <c r="AE76" s="85"/>
      <c r="AF76" s="85"/>
      <c r="AG76" s="85"/>
      <c r="AH76" s="85"/>
      <c r="AI76" s="85"/>
      <c r="AJ76" s="85"/>
      <c r="AK76" s="85"/>
      <c r="AL76" s="85"/>
      <c r="AM76" s="85"/>
      <c r="AN76" s="85"/>
      <c r="AO76" s="1"/>
      <c r="AP76" s="85"/>
      <c r="AQ76" s="85"/>
    </row>
    <row r="77" spans="1:43" x14ac:dyDescent="0.35">
      <c r="A77" s="134" t="s">
        <v>28</v>
      </c>
      <c r="B77" s="48">
        <f>_xlfn.XLOOKUP(A77,T_Custos[Produto],T_Custos[Peso])</f>
        <v>24</v>
      </c>
      <c r="C77" s="49" t="str">
        <f>_xlfn.XLOOKUP(A77,T_Custos[Produto],T_Custos[Und])</f>
        <v>kg</v>
      </c>
      <c r="D77" s="1" t="s">
        <v>252</v>
      </c>
      <c r="E77" s="1" t="s">
        <v>261</v>
      </c>
      <c r="F77" s="1" t="s">
        <v>248</v>
      </c>
      <c r="G77" s="1" t="s">
        <v>255</v>
      </c>
      <c r="H77" s="1" t="s">
        <v>258</v>
      </c>
      <c r="I77" s="1" t="s">
        <v>260</v>
      </c>
      <c r="J77" s="1" t="s">
        <v>492</v>
      </c>
      <c r="K77" s="85" t="s">
        <v>552</v>
      </c>
      <c r="L77" s="1" t="s">
        <v>259</v>
      </c>
      <c r="M77" s="1" t="s">
        <v>251</v>
      </c>
      <c r="N77" s="1" t="s">
        <v>257</v>
      </c>
      <c r="O77" s="1" t="s">
        <v>247</v>
      </c>
      <c r="P77" s="1"/>
      <c r="Q77" s="1"/>
      <c r="R77" s="1" t="s">
        <v>256</v>
      </c>
      <c r="S77" s="85" t="s">
        <v>442</v>
      </c>
      <c r="T77" s="85" t="s">
        <v>443</v>
      </c>
      <c r="U77" s="85" t="s">
        <v>444</v>
      </c>
      <c r="V77" s="85" t="s">
        <v>445</v>
      </c>
      <c r="W77" s="85" t="s">
        <v>446</v>
      </c>
      <c r="X77" s="85" t="s">
        <v>452</v>
      </c>
      <c r="Y77" s="85"/>
      <c r="Z77" s="85"/>
      <c r="AA77" s="85" t="s">
        <v>489</v>
      </c>
      <c r="AB77" s="85" t="s">
        <v>490</v>
      </c>
      <c r="AC77" s="85"/>
      <c r="AD77" s="85" t="s">
        <v>507</v>
      </c>
      <c r="AE77" s="85" t="s">
        <v>509</v>
      </c>
      <c r="AF77" s="85"/>
      <c r="AG77" s="85"/>
      <c r="AH77" s="85"/>
      <c r="AI77" s="85" t="s">
        <v>518</v>
      </c>
      <c r="AJ77" s="85" t="s">
        <v>519</v>
      </c>
      <c r="AK77" s="85"/>
      <c r="AL77" s="85" t="s">
        <v>521</v>
      </c>
      <c r="AM77" s="85"/>
      <c r="AN77" s="85"/>
      <c r="AO77" s="1" t="s">
        <v>559</v>
      </c>
      <c r="AP77" s="85" t="s">
        <v>591</v>
      </c>
      <c r="AQ77" s="85" t="s">
        <v>597</v>
      </c>
    </row>
    <row r="78" spans="1:43" x14ac:dyDescent="0.35">
      <c r="A78" s="134" t="s">
        <v>402</v>
      </c>
      <c r="B78" s="48">
        <f>_xlfn.XLOOKUP(A78,T_Custos[Produto],T_Custos[Peso])</f>
        <v>1</v>
      </c>
      <c r="C78" s="49" t="str">
        <f>_xlfn.XLOOKUP(A78,T_Custos[Produto],T_Custos[Und])</f>
        <v>rd</v>
      </c>
      <c r="D78" s="1"/>
      <c r="E78" s="1"/>
      <c r="F78" s="1"/>
      <c r="G78" s="1"/>
      <c r="H78" s="1"/>
      <c r="I78" s="1"/>
      <c r="J78" s="1"/>
      <c r="K78" s="85"/>
      <c r="L78" s="1"/>
      <c r="M78" s="1"/>
      <c r="N78" s="1"/>
      <c r="O78" s="1"/>
      <c r="P78" s="47" t="s">
        <v>253</v>
      </c>
      <c r="Q78" s="47" t="s">
        <v>254</v>
      </c>
      <c r="R78" s="1"/>
      <c r="S78" s="85" t="s">
        <v>442</v>
      </c>
      <c r="T78" s="85" t="s">
        <v>443</v>
      </c>
      <c r="U78" s="85" t="s">
        <v>444</v>
      </c>
      <c r="V78" s="85" t="s">
        <v>445</v>
      </c>
      <c r="W78" s="85" t="s">
        <v>446</v>
      </c>
      <c r="X78" s="85" t="s">
        <v>452</v>
      </c>
      <c r="Y78" s="85"/>
      <c r="Z78" s="85"/>
      <c r="AA78" s="85"/>
      <c r="AB78" s="85"/>
      <c r="AC78" s="85"/>
      <c r="AD78" s="85"/>
      <c r="AE78" s="85"/>
      <c r="AF78" s="85"/>
      <c r="AG78" s="85"/>
      <c r="AH78" s="85"/>
      <c r="AI78" s="85"/>
      <c r="AJ78" s="85"/>
      <c r="AK78" s="85"/>
      <c r="AL78" s="85"/>
      <c r="AM78" s="85"/>
      <c r="AN78" s="85"/>
      <c r="AO78" s="1"/>
      <c r="AP78" s="85"/>
      <c r="AQ78" s="85"/>
    </row>
    <row r="79" spans="1:43" x14ac:dyDescent="0.35">
      <c r="A79" s="134" t="s">
        <v>367</v>
      </c>
      <c r="B79" s="48">
        <f>_xlfn.XLOOKUP(A79,T_Custos[Produto],T_Custos[Peso])</f>
        <v>1</v>
      </c>
      <c r="C79" s="49" t="str">
        <f>_xlfn.XLOOKUP(A79,T_Custos[Produto],T_Custos[Und])</f>
        <v>und</v>
      </c>
      <c r="D79" s="1"/>
      <c r="E79" s="1"/>
      <c r="F79" s="1"/>
      <c r="G79" s="1"/>
      <c r="H79" s="1"/>
      <c r="I79" s="1"/>
      <c r="J79" s="1"/>
      <c r="K79" s="85"/>
      <c r="L79" s="1"/>
      <c r="M79" s="1"/>
      <c r="N79" s="1"/>
      <c r="O79" s="1"/>
      <c r="P79" s="47" t="s">
        <v>253</v>
      </c>
      <c r="Q79" s="47" t="s">
        <v>254</v>
      </c>
      <c r="R79" s="1"/>
      <c r="S79" s="85" t="s">
        <v>442</v>
      </c>
      <c r="T79" s="85" t="s">
        <v>443</v>
      </c>
      <c r="U79" s="85" t="s">
        <v>444</v>
      </c>
      <c r="V79" s="85" t="s">
        <v>445</v>
      </c>
      <c r="W79" s="85" t="s">
        <v>446</v>
      </c>
      <c r="X79" s="85"/>
      <c r="Y79" s="85"/>
      <c r="Z79" s="85"/>
      <c r="AA79" s="85"/>
      <c r="AB79" s="85"/>
      <c r="AC79" s="85"/>
      <c r="AD79" s="85"/>
      <c r="AE79" s="85"/>
      <c r="AF79" s="85"/>
      <c r="AG79" s="85"/>
      <c r="AH79" s="85"/>
      <c r="AI79" s="85"/>
      <c r="AJ79" s="85"/>
      <c r="AK79" s="85"/>
      <c r="AL79" s="85"/>
      <c r="AM79" s="85"/>
      <c r="AN79" s="85"/>
      <c r="AO79" s="1"/>
      <c r="AP79" s="85"/>
      <c r="AQ79" s="85"/>
    </row>
    <row r="80" spans="1:43" x14ac:dyDescent="0.35">
      <c r="A80" s="134" t="s">
        <v>29</v>
      </c>
      <c r="B80" s="48">
        <f>_xlfn.XLOOKUP(A80,T_Custos[Produto],T_Custos[Peso])</f>
        <v>20</v>
      </c>
      <c r="C80" s="49" t="str">
        <f>_xlfn.XLOOKUP(A80,T_Custos[Produto],T_Custos[Und])</f>
        <v>kg</v>
      </c>
      <c r="D80" s="1" t="s">
        <v>252</v>
      </c>
      <c r="E80" s="1" t="s">
        <v>261</v>
      </c>
      <c r="F80" s="1" t="s">
        <v>248</v>
      </c>
      <c r="G80" s="1" t="s">
        <v>255</v>
      </c>
      <c r="H80" s="1" t="s">
        <v>258</v>
      </c>
      <c r="I80" s="1" t="s">
        <v>260</v>
      </c>
      <c r="J80" s="1" t="s">
        <v>492</v>
      </c>
      <c r="K80" s="85" t="s">
        <v>552</v>
      </c>
      <c r="L80" s="1" t="s">
        <v>259</v>
      </c>
      <c r="M80" s="1" t="s">
        <v>251</v>
      </c>
      <c r="N80" s="1" t="s">
        <v>257</v>
      </c>
      <c r="O80" s="1" t="s">
        <v>247</v>
      </c>
      <c r="P80" s="1"/>
      <c r="Q80" s="1"/>
      <c r="R80" s="1" t="s">
        <v>256</v>
      </c>
      <c r="S80" s="85" t="s">
        <v>442</v>
      </c>
      <c r="T80" s="85" t="s">
        <v>443</v>
      </c>
      <c r="U80" s="85" t="s">
        <v>444</v>
      </c>
      <c r="V80" s="85" t="s">
        <v>445</v>
      </c>
      <c r="W80" s="85" t="s">
        <v>446</v>
      </c>
      <c r="X80" s="85" t="s">
        <v>452</v>
      </c>
      <c r="Y80" s="85"/>
      <c r="Z80" s="85"/>
      <c r="AA80" s="85" t="s">
        <v>489</v>
      </c>
      <c r="AB80" s="85" t="s">
        <v>490</v>
      </c>
      <c r="AC80" s="85" t="s">
        <v>503</v>
      </c>
      <c r="AD80" s="85" t="s">
        <v>507</v>
      </c>
      <c r="AE80" s="85" t="s">
        <v>509</v>
      </c>
      <c r="AF80" s="85"/>
      <c r="AG80" s="85"/>
      <c r="AH80" s="85" t="s">
        <v>517</v>
      </c>
      <c r="AI80" s="85" t="s">
        <v>518</v>
      </c>
      <c r="AJ80" s="85" t="s">
        <v>519</v>
      </c>
      <c r="AK80" s="85"/>
      <c r="AL80" s="85" t="s">
        <v>521</v>
      </c>
      <c r="AM80" s="85"/>
      <c r="AN80" s="85"/>
      <c r="AO80" s="1" t="s">
        <v>559</v>
      </c>
      <c r="AP80" s="85" t="s">
        <v>591</v>
      </c>
      <c r="AQ80" s="85" t="s">
        <v>597</v>
      </c>
    </row>
    <row r="81" spans="1:43" x14ac:dyDescent="0.35">
      <c r="A81" s="134" t="s">
        <v>403</v>
      </c>
      <c r="B81" s="48">
        <f>_xlfn.XLOOKUP(A81,T_Custos[Produto],T_Custos[Peso])</f>
        <v>1</v>
      </c>
      <c r="C81" s="49" t="str">
        <f>_xlfn.XLOOKUP(A81,T_Custos[Produto],T_Custos[Und])</f>
        <v>bd</v>
      </c>
      <c r="D81" s="1"/>
      <c r="E81" s="1"/>
      <c r="F81" s="1"/>
      <c r="G81" s="1"/>
      <c r="H81" s="1"/>
      <c r="I81" s="1"/>
      <c r="J81" s="1"/>
      <c r="K81" s="85"/>
      <c r="L81" s="1"/>
      <c r="M81" s="1"/>
      <c r="N81" s="1"/>
      <c r="O81" s="1"/>
      <c r="P81" s="47" t="s">
        <v>253</v>
      </c>
      <c r="Q81" s="47" t="s">
        <v>254</v>
      </c>
      <c r="R81" s="1"/>
      <c r="S81" s="85" t="s">
        <v>442</v>
      </c>
      <c r="T81" s="85" t="s">
        <v>443</v>
      </c>
      <c r="U81" s="85" t="s">
        <v>444</v>
      </c>
      <c r="V81" s="85" t="s">
        <v>445</v>
      </c>
      <c r="W81" s="85" t="s">
        <v>446</v>
      </c>
      <c r="X81" s="85" t="s">
        <v>452</v>
      </c>
      <c r="Y81" s="85"/>
      <c r="Z81" s="85"/>
      <c r="AA81" s="85"/>
      <c r="AB81" s="85"/>
      <c r="AC81" s="85"/>
      <c r="AD81" s="85"/>
      <c r="AE81" s="85"/>
      <c r="AF81" s="85"/>
      <c r="AG81" s="85"/>
      <c r="AH81" s="85"/>
      <c r="AI81" s="85"/>
      <c r="AJ81" s="85"/>
      <c r="AK81" s="85"/>
      <c r="AL81" s="85"/>
      <c r="AM81" s="85"/>
      <c r="AN81" s="85"/>
      <c r="AO81" s="1"/>
      <c r="AP81" s="85"/>
      <c r="AQ81" s="85"/>
    </row>
    <row r="82" spans="1:43" x14ac:dyDescent="0.35">
      <c r="A82" s="134" t="s">
        <v>30</v>
      </c>
      <c r="B82" s="48">
        <f>_xlfn.XLOOKUP(A82,T_Custos[Produto],T_Custos[Peso])</f>
        <v>24</v>
      </c>
      <c r="C82" s="49" t="str">
        <f>_xlfn.XLOOKUP(A82,T_Custos[Produto],T_Custos[Und])</f>
        <v>kg</v>
      </c>
      <c r="D82" s="1" t="s">
        <v>252</v>
      </c>
      <c r="E82" s="1" t="s">
        <v>261</v>
      </c>
      <c r="F82" s="1" t="s">
        <v>248</v>
      </c>
      <c r="G82" s="1" t="s">
        <v>255</v>
      </c>
      <c r="H82" s="1" t="s">
        <v>258</v>
      </c>
      <c r="I82" s="1" t="s">
        <v>260</v>
      </c>
      <c r="J82" s="1" t="s">
        <v>492</v>
      </c>
      <c r="K82" s="85" t="s">
        <v>552</v>
      </c>
      <c r="L82" s="1" t="s">
        <v>259</v>
      </c>
      <c r="M82" s="1" t="s">
        <v>251</v>
      </c>
      <c r="N82" s="1" t="s">
        <v>257</v>
      </c>
      <c r="O82" s="1" t="s">
        <v>247</v>
      </c>
      <c r="P82" s="1"/>
      <c r="Q82" s="1"/>
      <c r="R82" s="1" t="s">
        <v>256</v>
      </c>
      <c r="S82" s="85" t="s">
        <v>442</v>
      </c>
      <c r="T82" s="85" t="s">
        <v>443</v>
      </c>
      <c r="U82" s="85" t="s">
        <v>444</v>
      </c>
      <c r="V82" s="85" t="s">
        <v>445</v>
      </c>
      <c r="W82" s="85" t="s">
        <v>446</v>
      </c>
      <c r="X82" s="85" t="s">
        <v>452</v>
      </c>
      <c r="Y82" s="85"/>
      <c r="Z82" s="85"/>
      <c r="AA82" s="85" t="s">
        <v>489</v>
      </c>
      <c r="AB82" s="85" t="s">
        <v>490</v>
      </c>
      <c r="AC82" s="85"/>
      <c r="AD82" s="85" t="s">
        <v>507</v>
      </c>
      <c r="AE82" s="85"/>
      <c r="AF82" s="85"/>
      <c r="AG82" s="85"/>
      <c r="AH82" s="85"/>
      <c r="AI82" s="85"/>
      <c r="AJ82" s="85"/>
      <c r="AK82" s="85"/>
      <c r="AL82" s="85"/>
      <c r="AM82" s="85" t="s">
        <v>537</v>
      </c>
      <c r="AN82" s="85" t="s">
        <v>538</v>
      </c>
      <c r="AO82" s="1" t="s">
        <v>559</v>
      </c>
      <c r="AP82" s="85" t="s">
        <v>591</v>
      </c>
      <c r="AQ82" s="85" t="s">
        <v>597</v>
      </c>
    </row>
    <row r="83" spans="1:43" x14ac:dyDescent="0.35">
      <c r="A83" s="134" t="s">
        <v>553</v>
      </c>
      <c r="B83" s="48">
        <f>_xlfn.XLOOKUP(A83,T_Custos[Produto],T_Custos[Peso])</f>
        <v>24</v>
      </c>
      <c r="C83" s="49" t="str">
        <f>_xlfn.XLOOKUP(A83,T_Custos[Produto],T_Custos[Und])</f>
        <v>kg</v>
      </c>
      <c r="D83" s="1" t="s">
        <v>252</v>
      </c>
      <c r="E83" s="1" t="s">
        <v>261</v>
      </c>
      <c r="F83" s="1" t="s">
        <v>248</v>
      </c>
      <c r="G83" s="1" t="s">
        <v>255</v>
      </c>
      <c r="H83" s="1" t="s">
        <v>258</v>
      </c>
      <c r="I83" s="1" t="s">
        <v>260</v>
      </c>
      <c r="J83" s="1" t="s">
        <v>492</v>
      </c>
      <c r="K83" s="85" t="s">
        <v>552</v>
      </c>
      <c r="L83" s="1" t="s">
        <v>259</v>
      </c>
      <c r="M83" s="1" t="s">
        <v>251</v>
      </c>
      <c r="N83" s="1" t="s">
        <v>257</v>
      </c>
      <c r="O83" s="1" t="s">
        <v>247</v>
      </c>
      <c r="P83" s="1"/>
      <c r="Q83" s="1"/>
      <c r="R83" s="1" t="s">
        <v>256</v>
      </c>
      <c r="S83" s="85" t="s">
        <v>442</v>
      </c>
      <c r="T83" s="85" t="s">
        <v>443</v>
      </c>
      <c r="U83" s="85" t="s">
        <v>444</v>
      </c>
      <c r="V83" s="85" t="s">
        <v>445</v>
      </c>
      <c r="W83" s="85" t="s">
        <v>446</v>
      </c>
      <c r="X83" s="85" t="s">
        <v>452</v>
      </c>
      <c r="Y83" s="85" t="s">
        <v>463</v>
      </c>
      <c r="Z83" s="85" t="s">
        <v>465</v>
      </c>
      <c r="AA83" s="85" t="s">
        <v>489</v>
      </c>
      <c r="AB83" s="85" t="s">
        <v>490</v>
      </c>
      <c r="AC83" s="85" t="s">
        <v>503</v>
      </c>
      <c r="AD83" s="85" t="s">
        <v>507</v>
      </c>
      <c r="AE83" s="85" t="s">
        <v>509</v>
      </c>
      <c r="AF83" s="85"/>
      <c r="AG83" s="85" t="s">
        <v>516</v>
      </c>
      <c r="AH83" s="85" t="s">
        <v>517</v>
      </c>
      <c r="AI83" s="85"/>
      <c r="AJ83" s="85" t="s">
        <v>519</v>
      </c>
      <c r="AK83" s="85" t="s">
        <v>520</v>
      </c>
      <c r="AL83" s="85"/>
      <c r="AM83" s="85" t="s">
        <v>537</v>
      </c>
      <c r="AN83" s="85" t="s">
        <v>538</v>
      </c>
      <c r="AO83" s="1" t="s">
        <v>559</v>
      </c>
      <c r="AP83" s="85" t="s">
        <v>591</v>
      </c>
      <c r="AQ83" s="85" t="s">
        <v>597</v>
      </c>
    </row>
    <row r="84" spans="1:43" x14ac:dyDescent="0.35">
      <c r="A84" s="134" t="s">
        <v>31</v>
      </c>
      <c r="B84" s="48">
        <f>_xlfn.XLOOKUP(A84,T_Custos[Produto],T_Custos[Peso])</f>
        <v>20</v>
      </c>
      <c r="C84" s="49" t="str">
        <f>_xlfn.XLOOKUP(A84,T_Custos[Produto],T_Custos[Und])</f>
        <v>kg</v>
      </c>
      <c r="D84" s="1" t="s">
        <v>252</v>
      </c>
      <c r="E84" s="1" t="s">
        <v>261</v>
      </c>
      <c r="F84" s="1" t="s">
        <v>248</v>
      </c>
      <c r="G84" s="1" t="s">
        <v>255</v>
      </c>
      <c r="H84" s="1" t="s">
        <v>258</v>
      </c>
      <c r="I84" s="1" t="s">
        <v>260</v>
      </c>
      <c r="J84" s="1" t="s">
        <v>492</v>
      </c>
      <c r="K84" s="85" t="s">
        <v>552</v>
      </c>
      <c r="L84" s="1" t="s">
        <v>259</v>
      </c>
      <c r="M84" s="1" t="s">
        <v>251</v>
      </c>
      <c r="N84" s="1" t="s">
        <v>257</v>
      </c>
      <c r="O84" s="1" t="s">
        <v>247</v>
      </c>
      <c r="P84" s="1"/>
      <c r="Q84" s="1"/>
      <c r="R84" s="1" t="s">
        <v>256</v>
      </c>
      <c r="S84" s="85" t="s">
        <v>442</v>
      </c>
      <c r="T84" s="85" t="s">
        <v>443</v>
      </c>
      <c r="U84" s="85" t="s">
        <v>444</v>
      </c>
      <c r="V84" s="85" t="s">
        <v>445</v>
      </c>
      <c r="W84" s="85" t="s">
        <v>446</v>
      </c>
      <c r="X84" s="85" t="s">
        <v>452</v>
      </c>
      <c r="Y84" s="85" t="s">
        <v>463</v>
      </c>
      <c r="Z84" s="85" t="s">
        <v>465</v>
      </c>
      <c r="AA84" s="85" t="s">
        <v>489</v>
      </c>
      <c r="AB84" s="85" t="s">
        <v>490</v>
      </c>
      <c r="AC84" s="85"/>
      <c r="AD84" s="85"/>
      <c r="AE84" s="85"/>
      <c r="AF84" s="85" t="s">
        <v>515</v>
      </c>
      <c r="AG84" s="85" t="s">
        <v>516</v>
      </c>
      <c r="AH84" s="85" t="s">
        <v>517</v>
      </c>
      <c r="AI84" s="85"/>
      <c r="AJ84" s="85"/>
      <c r="AK84" s="85"/>
      <c r="AL84" s="85"/>
      <c r="AM84" s="85" t="s">
        <v>537</v>
      </c>
      <c r="AN84" s="85" t="s">
        <v>538</v>
      </c>
      <c r="AO84" s="1" t="s">
        <v>559</v>
      </c>
      <c r="AP84" s="85" t="s">
        <v>591</v>
      </c>
      <c r="AQ84" s="85" t="s">
        <v>597</v>
      </c>
    </row>
    <row r="85" spans="1:43" x14ac:dyDescent="0.35">
      <c r="A85" s="134" t="s">
        <v>32</v>
      </c>
      <c r="B85" s="48">
        <f>_xlfn.XLOOKUP(A85,T_Custos[Produto],T_Custos[Peso])</f>
        <v>20</v>
      </c>
      <c r="C85" s="49" t="str">
        <f>_xlfn.XLOOKUP(A85,T_Custos[Produto],T_Custos[Und])</f>
        <v>kg</v>
      </c>
      <c r="D85" s="1" t="s">
        <v>252</v>
      </c>
      <c r="E85" s="1" t="s">
        <v>261</v>
      </c>
      <c r="F85" s="1" t="s">
        <v>248</v>
      </c>
      <c r="G85" s="1" t="s">
        <v>255</v>
      </c>
      <c r="H85" s="1" t="s">
        <v>258</v>
      </c>
      <c r="I85" s="1" t="s">
        <v>260</v>
      </c>
      <c r="J85" s="1" t="s">
        <v>492</v>
      </c>
      <c r="K85" s="85" t="s">
        <v>552</v>
      </c>
      <c r="L85" s="1" t="s">
        <v>259</v>
      </c>
      <c r="M85" s="1" t="s">
        <v>251</v>
      </c>
      <c r="N85" s="1" t="s">
        <v>257</v>
      </c>
      <c r="O85" s="1" t="s">
        <v>247</v>
      </c>
      <c r="P85" s="1"/>
      <c r="Q85" s="1"/>
      <c r="R85" s="1" t="s">
        <v>256</v>
      </c>
      <c r="S85" s="85" t="s">
        <v>442</v>
      </c>
      <c r="T85" s="85" t="s">
        <v>443</v>
      </c>
      <c r="U85" s="85" t="s">
        <v>444</v>
      </c>
      <c r="V85" s="85" t="s">
        <v>445</v>
      </c>
      <c r="W85" s="85" t="s">
        <v>446</v>
      </c>
      <c r="X85" s="85" t="s">
        <v>452</v>
      </c>
      <c r="Y85" s="85"/>
      <c r="Z85" s="85"/>
      <c r="AA85" s="85" t="s">
        <v>489</v>
      </c>
      <c r="AB85" s="85" t="s">
        <v>490</v>
      </c>
      <c r="AC85" s="85"/>
      <c r="AD85" s="85"/>
      <c r="AE85" s="85"/>
      <c r="AF85" s="85"/>
      <c r="AG85" s="85"/>
      <c r="AH85" s="85"/>
      <c r="AI85" s="85"/>
      <c r="AJ85" s="85"/>
      <c r="AK85" s="85"/>
      <c r="AL85" s="85"/>
      <c r="AM85" s="85"/>
      <c r="AN85" s="85"/>
      <c r="AO85" s="1" t="s">
        <v>559</v>
      </c>
      <c r="AP85" s="85" t="s">
        <v>591</v>
      </c>
      <c r="AQ85" s="85" t="s">
        <v>597</v>
      </c>
    </row>
    <row r="86" spans="1:43" x14ac:dyDescent="0.35">
      <c r="A86" s="134" t="s">
        <v>469</v>
      </c>
      <c r="B86" s="48">
        <f>_xlfn.XLOOKUP(A86,T_Custos[Produto],T_Custos[Peso])</f>
        <v>20</v>
      </c>
      <c r="C86" s="49" t="str">
        <f>_xlfn.XLOOKUP(A86,T_Custos[Produto],T_Custos[Und])</f>
        <v>kg</v>
      </c>
      <c r="D86" s="1"/>
      <c r="E86" s="1"/>
      <c r="F86" s="1"/>
      <c r="G86" s="1"/>
      <c r="H86" s="1"/>
      <c r="I86" s="1"/>
      <c r="J86" s="1" t="s">
        <v>492</v>
      </c>
      <c r="K86" s="85" t="s">
        <v>552</v>
      </c>
      <c r="L86" s="1"/>
      <c r="M86" s="1"/>
      <c r="N86" s="1"/>
      <c r="O86" s="1" t="s">
        <v>247</v>
      </c>
      <c r="P86" s="1"/>
      <c r="Q86" s="1"/>
      <c r="R86" s="1"/>
      <c r="S86" s="85"/>
      <c r="T86" s="85"/>
      <c r="U86" s="85"/>
      <c r="V86" s="85"/>
      <c r="W86" s="85"/>
      <c r="X86" s="85"/>
      <c r="Y86" s="85"/>
      <c r="Z86" s="85"/>
      <c r="AA86" s="85" t="s">
        <v>489</v>
      </c>
      <c r="AB86" s="85" t="s">
        <v>490</v>
      </c>
      <c r="AC86" s="85" t="s">
        <v>503</v>
      </c>
      <c r="AD86" s="85" t="s">
        <v>507</v>
      </c>
      <c r="AE86" s="85" t="s">
        <v>509</v>
      </c>
      <c r="AF86" s="85"/>
      <c r="AG86" s="85"/>
      <c r="AH86" s="85"/>
      <c r="AI86" s="85"/>
      <c r="AJ86" s="85"/>
      <c r="AK86" s="85"/>
      <c r="AL86" s="85"/>
      <c r="AM86" s="85"/>
      <c r="AN86" s="85"/>
      <c r="AO86" s="1" t="s">
        <v>559</v>
      </c>
      <c r="AP86" s="85"/>
      <c r="AQ86" s="85" t="s">
        <v>597</v>
      </c>
    </row>
    <row r="87" spans="1:43" x14ac:dyDescent="0.35">
      <c r="A87" s="134" t="s">
        <v>404</v>
      </c>
      <c r="B87" s="48">
        <f>_xlfn.XLOOKUP(A87,T_Custos[Produto],T_Custos[Peso])</f>
        <v>1</v>
      </c>
      <c r="C87" s="49" t="str">
        <f>_xlfn.XLOOKUP(A87,T_Custos[Produto],T_Custos[Und])</f>
        <v>rd</v>
      </c>
      <c r="D87" s="1"/>
      <c r="E87" s="1"/>
      <c r="F87" s="1"/>
      <c r="G87" s="1"/>
      <c r="H87" s="1"/>
      <c r="I87" s="1"/>
      <c r="J87" s="1"/>
      <c r="K87" s="85"/>
      <c r="L87" s="1"/>
      <c r="M87" s="1"/>
      <c r="N87" s="1"/>
      <c r="O87" s="1"/>
      <c r="P87" s="47" t="s">
        <v>253</v>
      </c>
      <c r="Q87" s="47" t="s">
        <v>254</v>
      </c>
      <c r="R87" s="1"/>
      <c r="S87" s="85" t="s">
        <v>442</v>
      </c>
      <c r="T87" s="85" t="s">
        <v>443</v>
      </c>
      <c r="U87" s="85" t="s">
        <v>444</v>
      </c>
      <c r="V87" s="85" t="s">
        <v>445</v>
      </c>
      <c r="W87" s="85" t="s">
        <v>446</v>
      </c>
      <c r="X87" s="85" t="s">
        <v>452</v>
      </c>
      <c r="Y87" s="85"/>
      <c r="Z87" s="85"/>
      <c r="AA87" s="85"/>
      <c r="AB87" s="85"/>
      <c r="AC87" s="85"/>
      <c r="AD87" s="85"/>
      <c r="AE87" s="85"/>
      <c r="AF87" s="85"/>
      <c r="AG87" s="85"/>
      <c r="AH87" s="85"/>
      <c r="AI87" s="85"/>
      <c r="AJ87" s="85"/>
      <c r="AK87" s="85"/>
      <c r="AL87" s="85"/>
      <c r="AM87" s="85"/>
      <c r="AN87" s="85"/>
      <c r="AO87" s="1"/>
      <c r="AP87" s="85"/>
      <c r="AQ87" s="85"/>
    </row>
    <row r="88" spans="1:43" x14ac:dyDescent="0.35">
      <c r="A88" s="85" t="s">
        <v>33</v>
      </c>
      <c r="B88" s="48">
        <f>_xlfn.XLOOKUP(A88,T_Custos[Produto],T_Custos[Peso])</f>
        <v>18</v>
      </c>
      <c r="C88" s="49" t="str">
        <f>_xlfn.XLOOKUP(A88,T_Custos[Produto],T_Custos[Und])</f>
        <v>kg</v>
      </c>
      <c r="D88" s="1" t="s">
        <v>252</v>
      </c>
      <c r="E88" s="1" t="s">
        <v>261</v>
      </c>
      <c r="F88" s="1" t="s">
        <v>248</v>
      </c>
      <c r="G88" s="1" t="s">
        <v>255</v>
      </c>
      <c r="H88" s="1" t="s">
        <v>258</v>
      </c>
      <c r="I88" s="1" t="s">
        <v>260</v>
      </c>
      <c r="J88" s="1" t="s">
        <v>492</v>
      </c>
      <c r="K88" s="85" t="s">
        <v>552</v>
      </c>
      <c r="L88" s="1" t="s">
        <v>259</v>
      </c>
      <c r="M88" s="1" t="s">
        <v>251</v>
      </c>
      <c r="N88" s="1" t="s">
        <v>257</v>
      </c>
      <c r="O88" s="1" t="s">
        <v>247</v>
      </c>
      <c r="P88" s="1"/>
      <c r="Q88" s="1"/>
      <c r="R88" s="1" t="s">
        <v>256</v>
      </c>
      <c r="S88" s="85" t="s">
        <v>442</v>
      </c>
      <c r="T88" s="85" t="s">
        <v>443</v>
      </c>
      <c r="U88" s="85" t="s">
        <v>444</v>
      </c>
      <c r="V88" s="85" t="s">
        <v>445</v>
      </c>
      <c r="W88" s="85" t="s">
        <v>446</v>
      </c>
      <c r="X88" s="85" t="s">
        <v>452</v>
      </c>
      <c r="Y88" s="85"/>
      <c r="Z88" s="85"/>
      <c r="AA88" s="85" t="s">
        <v>489</v>
      </c>
      <c r="AB88" s="85" t="s">
        <v>490</v>
      </c>
      <c r="AC88" s="85"/>
      <c r="AD88" s="85"/>
      <c r="AE88" s="85"/>
      <c r="AF88" s="85"/>
      <c r="AG88" s="85"/>
      <c r="AH88" s="85"/>
      <c r="AI88" s="85"/>
      <c r="AJ88" s="85"/>
      <c r="AK88" s="85"/>
      <c r="AL88" s="85"/>
      <c r="AM88" s="85"/>
      <c r="AN88" s="85"/>
      <c r="AO88" s="1" t="s">
        <v>559</v>
      </c>
      <c r="AP88" s="85" t="s">
        <v>591</v>
      </c>
      <c r="AQ88" s="85" t="s">
        <v>597</v>
      </c>
    </row>
    <row r="89" spans="1:43" x14ac:dyDescent="0.35">
      <c r="A89" s="134" t="s">
        <v>368</v>
      </c>
      <c r="B89" s="48">
        <f>_xlfn.XLOOKUP(A89,T_Custos[Produto],T_Custos[Peso])</f>
        <v>1</v>
      </c>
      <c r="C89" s="49" t="str">
        <f>_xlfn.XLOOKUP(A89,T_Custos[Produto],T_Custos[Und])</f>
        <v>und</v>
      </c>
      <c r="D89" s="1"/>
      <c r="E89" s="1"/>
      <c r="F89" s="1"/>
      <c r="G89" s="1"/>
      <c r="H89" s="1"/>
      <c r="I89" s="1"/>
      <c r="J89" s="1"/>
      <c r="K89" s="85"/>
      <c r="L89" s="1"/>
      <c r="M89" s="1"/>
      <c r="N89" s="1"/>
      <c r="O89" s="1"/>
      <c r="P89" s="47" t="s">
        <v>253</v>
      </c>
      <c r="Q89" s="47" t="s">
        <v>254</v>
      </c>
      <c r="R89" s="1"/>
      <c r="S89" s="85" t="s">
        <v>442</v>
      </c>
      <c r="T89" s="85" t="s">
        <v>443</v>
      </c>
      <c r="U89" s="85" t="s">
        <v>444</v>
      </c>
      <c r="V89" s="85" t="s">
        <v>445</v>
      </c>
      <c r="W89" s="85" t="s">
        <v>446</v>
      </c>
      <c r="X89" s="85"/>
      <c r="Y89" s="85"/>
      <c r="Z89" s="85"/>
      <c r="AA89" s="85"/>
      <c r="AB89" s="85"/>
      <c r="AC89" s="85"/>
      <c r="AD89" s="85"/>
      <c r="AE89" s="85"/>
      <c r="AF89" s="85"/>
      <c r="AG89" s="85"/>
      <c r="AH89" s="85"/>
      <c r="AI89" s="85"/>
      <c r="AJ89" s="85"/>
      <c r="AK89" s="85"/>
      <c r="AL89" s="85"/>
      <c r="AM89" s="85"/>
      <c r="AN89" s="85"/>
      <c r="AO89" s="1"/>
      <c r="AP89" s="85"/>
      <c r="AQ89" s="85"/>
    </row>
    <row r="90" spans="1:43" x14ac:dyDescent="0.35">
      <c r="A90" s="134" t="s">
        <v>514</v>
      </c>
      <c r="B90" s="48">
        <f>_xlfn.XLOOKUP(A90,T_Custos[Produto],T_Custos[Peso])</f>
        <v>24</v>
      </c>
      <c r="C90" s="49" t="str">
        <f>_xlfn.XLOOKUP(A90,T_Custos[Produto],T_Custos[Und])</f>
        <v>kg</v>
      </c>
      <c r="D90" s="1" t="s">
        <v>252</v>
      </c>
      <c r="E90" s="1" t="s">
        <v>261</v>
      </c>
      <c r="F90" s="1" t="s">
        <v>248</v>
      </c>
      <c r="G90" s="1" t="s">
        <v>255</v>
      </c>
      <c r="H90" s="1" t="s">
        <v>258</v>
      </c>
      <c r="I90" s="1" t="s">
        <v>260</v>
      </c>
      <c r="J90" s="1" t="s">
        <v>492</v>
      </c>
      <c r="K90" s="85" t="s">
        <v>552</v>
      </c>
      <c r="L90" s="1" t="s">
        <v>259</v>
      </c>
      <c r="M90" s="1" t="s">
        <v>251</v>
      </c>
      <c r="N90" s="1" t="s">
        <v>257</v>
      </c>
      <c r="O90" s="1" t="s">
        <v>247</v>
      </c>
      <c r="P90" s="1"/>
      <c r="Q90" s="1"/>
      <c r="R90" s="1" t="s">
        <v>256</v>
      </c>
      <c r="S90" s="85" t="s">
        <v>442</v>
      </c>
      <c r="T90" s="85" t="s">
        <v>443</v>
      </c>
      <c r="U90" s="85" t="s">
        <v>444</v>
      </c>
      <c r="V90" s="85" t="s">
        <v>445</v>
      </c>
      <c r="W90" s="85" t="s">
        <v>446</v>
      </c>
      <c r="X90" s="85" t="s">
        <v>452</v>
      </c>
      <c r="Y90" s="85" t="s">
        <v>463</v>
      </c>
      <c r="Z90" s="85" t="s">
        <v>465</v>
      </c>
      <c r="AA90" s="85" t="s">
        <v>489</v>
      </c>
      <c r="AB90" s="85" t="s">
        <v>490</v>
      </c>
      <c r="AC90" s="85" t="s">
        <v>503</v>
      </c>
      <c r="AD90" s="85" t="s">
        <v>507</v>
      </c>
      <c r="AE90" s="85"/>
      <c r="AF90" s="85"/>
      <c r="AG90" s="85"/>
      <c r="AH90" s="85"/>
      <c r="AI90" s="85"/>
      <c r="AJ90" s="85"/>
      <c r="AK90" s="85"/>
      <c r="AL90" s="85"/>
      <c r="AM90" s="85"/>
      <c r="AN90" s="85"/>
      <c r="AO90" s="1" t="s">
        <v>559</v>
      </c>
      <c r="AP90" s="85" t="s">
        <v>591</v>
      </c>
      <c r="AQ90" s="85" t="s">
        <v>597</v>
      </c>
    </row>
    <row r="91" spans="1:43" x14ac:dyDescent="0.35">
      <c r="A91" s="134" t="s">
        <v>474</v>
      </c>
      <c r="B91" s="48">
        <f>_xlfn.XLOOKUP(A91,T_Custos[Produto],T_Custos[Peso])</f>
        <v>24</v>
      </c>
      <c r="C91" s="49" t="str">
        <f>_xlfn.XLOOKUP(A91,T_Custos[Produto],T_Custos[Und])</f>
        <v>kg</v>
      </c>
      <c r="D91" s="1"/>
      <c r="E91" s="1"/>
      <c r="F91" s="1"/>
      <c r="G91" s="1"/>
      <c r="H91" s="1"/>
      <c r="I91" s="1"/>
      <c r="J91" s="1" t="s">
        <v>492</v>
      </c>
      <c r="K91" s="85" t="s">
        <v>552</v>
      </c>
      <c r="L91" s="1"/>
      <c r="M91" s="1"/>
      <c r="N91" s="1"/>
      <c r="O91" s="1" t="s">
        <v>247</v>
      </c>
      <c r="P91" s="1"/>
      <c r="Q91" s="1"/>
      <c r="R91" s="1"/>
      <c r="S91" s="85"/>
      <c r="T91" s="85"/>
      <c r="U91" s="85"/>
      <c r="V91" s="85"/>
      <c r="W91" s="85"/>
      <c r="X91" s="85"/>
      <c r="Y91" s="85"/>
      <c r="Z91" s="85"/>
      <c r="AA91" s="85" t="s">
        <v>489</v>
      </c>
      <c r="AB91" s="85" t="s">
        <v>490</v>
      </c>
      <c r="AC91" s="85"/>
      <c r="AD91" s="85" t="s">
        <v>507</v>
      </c>
      <c r="AE91" s="85"/>
      <c r="AF91" s="85"/>
      <c r="AG91" s="85"/>
      <c r="AH91" s="85"/>
      <c r="AI91" s="85"/>
      <c r="AJ91" s="85" t="s">
        <v>519</v>
      </c>
      <c r="AK91" s="85"/>
      <c r="AL91" s="85"/>
      <c r="AM91" s="85"/>
      <c r="AN91" s="85"/>
      <c r="AO91" s="1" t="s">
        <v>559</v>
      </c>
      <c r="AP91" s="85" t="s">
        <v>591</v>
      </c>
      <c r="AQ91" s="85" t="s">
        <v>597</v>
      </c>
    </row>
    <row r="92" spans="1:43" x14ac:dyDescent="0.35">
      <c r="A92" s="134" t="s">
        <v>35</v>
      </c>
      <c r="B92" s="48">
        <f>_xlfn.XLOOKUP(A92,T_Custos[Produto],T_Custos[Peso])</f>
        <v>24</v>
      </c>
      <c r="C92" s="49" t="str">
        <f>_xlfn.XLOOKUP(A92,T_Custos[Produto],T_Custos[Und])</f>
        <v>kg</v>
      </c>
      <c r="D92" s="1" t="s">
        <v>252</v>
      </c>
      <c r="E92" s="1" t="s">
        <v>261</v>
      </c>
      <c r="F92" s="1" t="s">
        <v>248</v>
      </c>
      <c r="G92" s="1" t="s">
        <v>255</v>
      </c>
      <c r="H92" s="1" t="s">
        <v>258</v>
      </c>
      <c r="I92" s="1" t="s">
        <v>260</v>
      </c>
      <c r="J92" s="1" t="s">
        <v>492</v>
      </c>
      <c r="K92" s="85" t="s">
        <v>552</v>
      </c>
      <c r="L92" s="1" t="s">
        <v>259</v>
      </c>
      <c r="M92" s="1" t="s">
        <v>251</v>
      </c>
      <c r="N92" s="1" t="s">
        <v>257</v>
      </c>
      <c r="O92" s="1" t="s">
        <v>247</v>
      </c>
      <c r="P92" s="1"/>
      <c r="Q92" s="1"/>
      <c r="R92" s="1" t="s">
        <v>256</v>
      </c>
      <c r="S92" s="85" t="s">
        <v>442</v>
      </c>
      <c r="T92" s="85" t="s">
        <v>443</v>
      </c>
      <c r="U92" s="85" t="s">
        <v>444</v>
      </c>
      <c r="V92" s="85" t="s">
        <v>445</v>
      </c>
      <c r="W92" s="85" t="s">
        <v>446</v>
      </c>
      <c r="X92" s="85" t="s">
        <v>452</v>
      </c>
      <c r="Y92" s="85"/>
      <c r="Z92" s="85"/>
      <c r="AA92" s="85"/>
      <c r="AB92" s="85"/>
      <c r="AC92" s="85"/>
      <c r="AD92" s="85"/>
      <c r="AE92" s="85"/>
      <c r="AF92" s="85"/>
      <c r="AG92" s="85"/>
      <c r="AH92" s="85"/>
      <c r="AI92" s="85"/>
      <c r="AJ92" s="85"/>
      <c r="AK92" s="85"/>
      <c r="AL92" s="85"/>
      <c r="AM92" s="85"/>
      <c r="AN92" s="85"/>
      <c r="AO92" s="1" t="s">
        <v>559</v>
      </c>
      <c r="AP92" s="85" t="s">
        <v>591</v>
      </c>
      <c r="AQ92" s="85" t="s">
        <v>597</v>
      </c>
    </row>
    <row r="93" spans="1:43" x14ac:dyDescent="0.35">
      <c r="A93" s="134" t="s">
        <v>34</v>
      </c>
      <c r="B93" s="48">
        <f>_xlfn.XLOOKUP(A93,T_Custos[Produto],T_Custos[Peso])</f>
        <v>24</v>
      </c>
      <c r="C93" s="49" t="str">
        <f>_xlfn.XLOOKUP(A93,T_Custos[Produto],T_Custos[Und])</f>
        <v>kg</v>
      </c>
      <c r="D93" s="1" t="s">
        <v>252</v>
      </c>
      <c r="E93" s="1" t="s">
        <v>261</v>
      </c>
      <c r="F93" s="1" t="s">
        <v>248</v>
      </c>
      <c r="G93" s="1" t="s">
        <v>255</v>
      </c>
      <c r="H93" s="1" t="s">
        <v>258</v>
      </c>
      <c r="I93" s="1" t="s">
        <v>260</v>
      </c>
      <c r="J93" s="1" t="s">
        <v>492</v>
      </c>
      <c r="K93" s="85" t="s">
        <v>552</v>
      </c>
      <c r="L93" s="1" t="s">
        <v>259</v>
      </c>
      <c r="M93" s="1" t="s">
        <v>251</v>
      </c>
      <c r="N93" s="1" t="s">
        <v>257</v>
      </c>
      <c r="O93" s="1" t="s">
        <v>247</v>
      </c>
      <c r="P93" s="1"/>
      <c r="Q93" s="1"/>
      <c r="R93" s="1" t="s">
        <v>256</v>
      </c>
      <c r="S93" s="85" t="s">
        <v>442</v>
      </c>
      <c r="T93" s="85" t="s">
        <v>443</v>
      </c>
      <c r="U93" s="85" t="s">
        <v>444</v>
      </c>
      <c r="V93" s="85" t="s">
        <v>445</v>
      </c>
      <c r="W93" s="85" t="s">
        <v>446</v>
      </c>
      <c r="X93" s="85" t="s">
        <v>452</v>
      </c>
      <c r="Y93" s="85" t="s">
        <v>463</v>
      </c>
      <c r="Z93" s="85" t="s">
        <v>465</v>
      </c>
      <c r="AA93" s="85" t="s">
        <v>489</v>
      </c>
      <c r="AB93" s="85" t="s">
        <v>490</v>
      </c>
      <c r="AC93" s="85" t="s">
        <v>503</v>
      </c>
      <c r="AD93" s="85" t="s">
        <v>507</v>
      </c>
      <c r="AE93" s="85" t="s">
        <v>509</v>
      </c>
      <c r="AF93" s="85"/>
      <c r="AG93" s="85" t="s">
        <v>516</v>
      </c>
      <c r="AH93" s="85" t="s">
        <v>517</v>
      </c>
      <c r="AI93" s="85"/>
      <c r="AJ93" s="85" t="s">
        <v>519</v>
      </c>
      <c r="AK93" s="85" t="s">
        <v>520</v>
      </c>
      <c r="AL93" s="85"/>
      <c r="AM93" s="85" t="s">
        <v>537</v>
      </c>
      <c r="AN93" s="85" t="s">
        <v>538</v>
      </c>
      <c r="AO93" s="1" t="s">
        <v>559</v>
      </c>
      <c r="AP93" s="85" t="s">
        <v>591</v>
      </c>
      <c r="AQ93" s="85" t="s">
        <v>597</v>
      </c>
    </row>
    <row r="94" spans="1:43" x14ac:dyDescent="0.35">
      <c r="A94" s="134" t="s">
        <v>456</v>
      </c>
      <c r="B94" s="48">
        <f>_xlfn.XLOOKUP(A94,T_Custos[Produto],T_Custos[Peso])</f>
        <v>1</v>
      </c>
      <c r="C94" s="49" t="str">
        <f>_xlfn.XLOOKUP(A94,T_Custos[Produto],T_Custos[Und])</f>
        <v>und</v>
      </c>
      <c r="D94" s="1"/>
      <c r="E94" s="1"/>
      <c r="F94" s="1"/>
      <c r="G94" s="1"/>
      <c r="H94" s="1"/>
      <c r="I94" s="1"/>
      <c r="J94" s="1"/>
      <c r="K94" s="85"/>
      <c r="L94" s="1"/>
      <c r="M94" s="1"/>
      <c r="N94" s="1"/>
      <c r="O94" s="1"/>
      <c r="P94" s="47" t="s">
        <v>253</v>
      </c>
      <c r="Q94" s="47" t="s">
        <v>254</v>
      </c>
      <c r="R94" s="1"/>
      <c r="S94" s="85" t="s">
        <v>442</v>
      </c>
      <c r="T94" s="85" t="s">
        <v>443</v>
      </c>
      <c r="U94" s="85" t="s">
        <v>444</v>
      </c>
      <c r="V94" s="85" t="s">
        <v>445</v>
      </c>
      <c r="W94" s="85" t="s">
        <v>446</v>
      </c>
      <c r="X94" s="85"/>
      <c r="Y94" s="85"/>
      <c r="Z94" s="85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5"/>
      <c r="AO94" s="1"/>
      <c r="AP94" s="85"/>
      <c r="AQ94" s="85"/>
    </row>
    <row r="95" spans="1:43" x14ac:dyDescent="0.35">
      <c r="A95" s="134" t="s">
        <v>405</v>
      </c>
      <c r="B95" s="48">
        <f>_xlfn.XLOOKUP(A95,T_Custos[Produto],T_Custos[Peso])</f>
        <v>1</v>
      </c>
      <c r="C95" s="49" t="str">
        <f>_xlfn.XLOOKUP(A95,T_Custos[Produto],T_Custos[Und])</f>
        <v>rd</v>
      </c>
      <c r="D95" s="1"/>
      <c r="E95" s="1"/>
      <c r="F95" s="1"/>
      <c r="G95" s="1"/>
      <c r="H95" s="1"/>
      <c r="I95" s="1"/>
      <c r="J95" s="1"/>
      <c r="K95" s="85"/>
      <c r="L95" s="1"/>
      <c r="M95" s="1"/>
      <c r="N95" s="1"/>
      <c r="O95" s="1"/>
      <c r="P95" s="47" t="s">
        <v>253</v>
      </c>
      <c r="Q95" s="47" t="s">
        <v>254</v>
      </c>
      <c r="R95" s="1"/>
      <c r="S95" s="85" t="s">
        <v>442</v>
      </c>
      <c r="T95" s="85" t="s">
        <v>443</v>
      </c>
      <c r="U95" s="85" t="s">
        <v>444</v>
      </c>
      <c r="V95" s="85" t="s">
        <v>445</v>
      </c>
      <c r="W95" s="85" t="s">
        <v>446</v>
      </c>
      <c r="X95" s="85" t="s">
        <v>452</v>
      </c>
      <c r="Y95" s="85"/>
      <c r="Z95" s="85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5"/>
      <c r="AO95" s="1"/>
      <c r="AP95" s="85"/>
      <c r="AQ95" s="85"/>
    </row>
    <row r="96" spans="1:43" x14ac:dyDescent="0.35">
      <c r="A96" s="134" t="s">
        <v>36</v>
      </c>
      <c r="B96" s="48">
        <f>_xlfn.XLOOKUP(A96,T_Custos[Produto],T_Custos[Peso])</f>
        <v>24</v>
      </c>
      <c r="C96" s="49" t="str">
        <f>_xlfn.XLOOKUP(A96,T_Custos[Produto],T_Custos[Und])</f>
        <v>kg</v>
      </c>
      <c r="D96" s="1" t="s">
        <v>252</v>
      </c>
      <c r="E96" s="1" t="s">
        <v>261</v>
      </c>
      <c r="F96" s="1" t="s">
        <v>248</v>
      </c>
      <c r="G96" s="1" t="s">
        <v>255</v>
      </c>
      <c r="H96" s="1" t="s">
        <v>258</v>
      </c>
      <c r="I96" s="1" t="s">
        <v>260</v>
      </c>
      <c r="J96" s="1" t="s">
        <v>492</v>
      </c>
      <c r="K96" s="85" t="s">
        <v>552</v>
      </c>
      <c r="L96" s="1" t="s">
        <v>259</v>
      </c>
      <c r="M96" s="1" t="s">
        <v>251</v>
      </c>
      <c r="N96" s="1" t="s">
        <v>257</v>
      </c>
      <c r="O96" s="1" t="s">
        <v>247</v>
      </c>
      <c r="P96" s="1"/>
      <c r="Q96" s="1"/>
      <c r="R96" s="1" t="s">
        <v>256</v>
      </c>
      <c r="S96" s="85" t="s">
        <v>442</v>
      </c>
      <c r="T96" s="85" t="s">
        <v>443</v>
      </c>
      <c r="U96" s="85" t="s">
        <v>444</v>
      </c>
      <c r="V96" s="85" t="s">
        <v>445</v>
      </c>
      <c r="W96" s="85" t="s">
        <v>446</v>
      </c>
      <c r="X96" s="85" t="s">
        <v>452</v>
      </c>
      <c r="Y96" s="85" t="s">
        <v>463</v>
      </c>
      <c r="Z96" s="85"/>
      <c r="AA96" s="85" t="s">
        <v>489</v>
      </c>
      <c r="AB96" s="85" t="s">
        <v>490</v>
      </c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1" t="s">
        <v>559</v>
      </c>
      <c r="AP96" s="85" t="s">
        <v>591</v>
      </c>
      <c r="AQ96" s="85" t="s">
        <v>597</v>
      </c>
    </row>
    <row r="97" spans="1:43" x14ac:dyDescent="0.35">
      <c r="A97" s="134" t="s">
        <v>479</v>
      </c>
      <c r="B97" s="48">
        <f>_xlfn.XLOOKUP(A97,T_Custos[Produto],T_Custos[Peso])</f>
        <v>1</v>
      </c>
      <c r="C97" s="49" t="str">
        <f>_xlfn.XLOOKUP(A97,T_Custos[Produto],T_Custos[Und])</f>
        <v>kg</v>
      </c>
      <c r="D97" s="1" t="s">
        <v>252</v>
      </c>
      <c r="E97" s="1" t="s">
        <v>261</v>
      </c>
      <c r="F97" s="1" t="s">
        <v>248</v>
      </c>
      <c r="G97" s="1" t="s">
        <v>255</v>
      </c>
      <c r="H97" s="1" t="s">
        <v>258</v>
      </c>
      <c r="I97" s="1" t="s">
        <v>260</v>
      </c>
      <c r="J97" s="1" t="s">
        <v>492</v>
      </c>
      <c r="K97" s="85" t="s">
        <v>552</v>
      </c>
      <c r="L97" s="1" t="s">
        <v>259</v>
      </c>
      <c r="M97" s="1" t="s">
        <v>251</v>
      </c>
      <c r="N97" s="1" t="s">
        <v>257</v>
      </c>
      <c r="O97" s="1" t="s">
        <v>247</v>
      </c>
      <c r="P97" s="1"/>
      <c r="Q97" s="1"/>
      <c r="R97" s="1" t="s">
        <v>256</v>
      </c>
      <c r="S97" s="85" t="s">
        <v>442</v>
      </c>
      <c r="T97" s="85" t="s">
        <v>443</v>
      </c>
      <c r="U97" s="85" t="s">
        <v>444</v>
      </c>
      <c r="V97" s="85" t="s">
        <v>445</v>
      </c>
      <c r="W97" s="85" t="s">
        <v>446</v>
      </c>
      <c r="X97" s="85" t="s">
        <v>452</v>
      </c>
      <c r="Y97" s="85"/>
      <c r="Z97" s="85"/>
      <c r="AA97" s="85" t="s">
        <v>489</v>
      </c>
      <c r="AB97" s="85" t="s">
        <v>490</v>
      </c>
      <c r="AC97" s="85"/>
      <c r="AD97" s="85"/>
      <c r="AE97" s="85"/>
      <c r="AF97" s="85"/>
      <c r="AG97" s="85"/>
      <c r="AH97" s="85"/>
      <c r="AI97" s="85"/>
      <c r="AJ97" s="85"/>
      <c r="AK97" s="85"/>
      <c r="AL97" s="85"/>
      <c r="AM97" s="85"/>
      <c r="AN97" s="85"/>
      <c r="AO97" s="1" t="s">
        <v>559</v>
      </c>
      <c r="AP97" s="85" t="s">
        <v>591</v>
      </c>
      <c r="AQ97" s="85" t="s">
        <v>597</v>
      </c>
    </row>
    <row r="98" spans="1:43" x14ac:dyDescent="0.35">
      <c r="A98" s="134" t="s">
        <v>37</v>
      </c>
      <c r="B98" s="48">
        <f>_xlfn.XLOOKUP(A98,T_Custos[Produto],T_Custos[Peso])</f>
        <v>10</v>
      </c>
      <c r="C98" s="49" t="str">
        <f>_xlfn.XLOOKUP(A98,T_Custos[Produto],T_Custos[Und])</f>
        <v>kg</v>
      </c>
      <c r="D98" s="1" t="s">
        <v>252</v>
      </c>
      <c r="E98" s="1" t="s">
        <v>261</v>
      </c>
      <c r="F98" s="1" t="s">
        <v>248</v>
      </c>
      <c r="G98" s="1" t="s">
        <v>255</v>
      </c>
      <c r="H98" s="1" t="s">
        <v>258</v>
      </c>
      <c r="I98" s="1" t="s">
        <v>260</v>
      </c>
      <c r="J98" s="1" t="s">
        <v>492</v>
      </c>
      <c r="K98" s="85" t="s">
        <v>552</v>
      </c>
      <c r="L98" s="1" t="s">
        <v>259</v>
      </c>
      <c r="M98" s="1" t="s">
        <v>251</v>
      </c>
      <c r="N98" s="1" t="s">
        <v>257</v>
      </c>
      <c r="O98" s="1" t="s">
        <v>247</v>
      </c>
      <c r="P98" s="1"/>
      <c r="Q98" s="1"/>
      <c r="R98" s="1" t="s">
        <v>256</v>
      </c>
      <c r="S98" s="85" t="s">
        <v>442</v>
      </c>
      <c r="T98" s="85" t="s">
        <v>443</v>
      </c>
      <c r="U98" s="85" t="s">
        <v>444</v>
      </c>
      <c r="V98" s="85" t="s">
        <v>445</v>
      </c>
      <c r="W98" s="85" t="s">
        <v>446</v>
      </c>
      <c r="X98" s="85" t="s">
        <v>452</v>
      </c>
      <c r="Y98" s="85" t="s">
        <v>463</v>
      </c>
      <c r="Z98" s="85" t="s">
        <v>465</v>
      </c>
      <c r="AA98" s="85" t="s">
        <v>489</v>
      </c>
      <c r="AB98" s="85" t="s">
        <v>490</v>
      </c>
      <c r="AC98" s="85" t="s">
        <v>503</v>
      </c>
      <c r="AD98" s="85" t="s">
        <v>507</v>
      </c>
      <c r="AE98" s="85"/>
      <c r="AF98" s="85" t="s">
        <v>515</v>
      </c>
      <c r="AG98" s="85"/>
      <c r="AH98" s="85" t="s">
        <v>517</v>
      </c>
      <c r="AI98" s="85"/>
      <c r="AJ98" s="85"/>
      <c r="AK98" s="85"/>
      <c r="AL98" s="85"/>
      <c r="AM98" s="85" t="s">
        <v>537</v>
      </c>
      <c r="AN98" s="85" t="s">
        <v>538</v>
      </c>
      <c r="AO98" s="1" t="s">
        <v>559</v>
      </c>
      <c r="AP98" s="85" t="s">
        <v>591</v>
      </c>
      <c r="AQ98" s="85" t="s">
        <v>597</v>
      </c>
    </row>
    <row r="99" spans="1:43" x14ac:dyDescent="0.35">
      <c r="A99" s="134" t="s">
        <v>38</v>
      </c>
      <c r="B99" s="48">
        <f>_xlfn.XLOOKUP(A99,T_Custos[Produto],T_Custos[Peso])</f>
        <v>10</v>
      </c>
      <c r="C99" s="49" t="str">
        <f>_xlfn.XLOOKUP(A99,T_Custos[Produto],T_Custos[Und])</f>
        <v>kg</v>
      </c>
      <c r="D99" s="1" t="s">
        <v>252</v>
      </c>
      <c r="E99" s="1" t="s">
        <v>261</v>
      </c>
      <c r="F99" s="1" t="s">
        <v>248</v>
      </c>
      <c r="G99" s="1" t="s">
        <v>255</v>
      </c>
      <c r="H99" s="1" t="s">
        <v>258</v>
      </c>
      <c r="I99" s="1" t="s">
        <v>260</v>
      </c>
      <c r="J99" s="1" t="s">
        <v>492</v>
      </c>
      <c r="K99" s="85" t="s">
        <v>552</v>
      </c>
      <c r="L99" s="1" t="s">
        <v>259</v>
      </c>
      <c r="M99" s="1" t="s">
        <v>251</v>
      </c>
      <c r="N99" s="1" t="s">
        <v>257</v>
      </c>
      <c r="O99" s="1" t="s">
        <v>247</v>
      </c>
      <c r="P99" s="1"/>
      <c r="Q99" s="1"/>
      <c r="R99" s="1" t="s">
        <v>256</v>
      </c>
      <c r="S99" s="85" t="s">
        <v>442</v>
      </c>
      <c r="T99" s="85" t="s">
        <v>443</v>
      </c>
      <c r="U99" s="85" t="s">
        <v>444</v>
      </c>
      <c r="V99" s="85" t="s">
        <v>445</v>
      </c>
      <c r="W99" s="85" t="s">
        <v>446</v>
      </c>
      <c r="X99" s="85" t="s">
        <v>452</v>
      </c>
      <c r="Y99" s="85"/>
      <c r="Z99" s="85"/>
      <c r="AA99" s="85" t="s">
        <v>489</v>
      </c>
      <c r="AB99" s="85" t="s">
        <v>490</v>
      </c>
      <c r="AC99" s="85"/>
      <c r="AD99" s="85"/>
      <c r="AE99" s="85"/>
      <c r="AF99" s="85"/>
      <c r="AG99" s="85"/>
      <c r="AH99" s="85"/>
      <c r="AI99" s="85"/>
      <c r="AJ99" s="85"/>
      <c r="AK99" s="85"/>
      <c r="AL99" s="85"/>
      <c r="AM99" s="85"/>
      <c r="AN99" s="85"/>
      <c r="AO99" s="1" t="s">
        <v>559</v>
      </c>
      <c r="AP99" s="85" t="s">
        <v>591</v>
      </c>
      <c r="AQ99" s="85" t="s">
        <v>597</v>
      </c>
    </row>
    <row r="100" spans="1:43" x14ac:dyDescent="0.35">
      <c r="A100" s="134" t="s">
        <v>369</v>
      </c>
      <c r="B100" s="48">
        <f>_xlfn.XLOOKUP(A100,T_Custos[Produto],T_Custos[Peso])</f>
        <v>1</v>
      </c>
      <c r="C100" s="49" t="str">
        <f>_xlfn.XLOOKUP(A100,T_Custos[Produto],T_Custos[Und])</f>
        <v>und</v>
      </c>
      <c r="D100" s="1"/>
      <c r="E100" s="1"/>
      <c r="F100" s="1"/>
      <c r="G100" s="1"/>
      <c r="H100" s="1"/>
      <c r="I100" s="1"/>
      <c r="J100" s="1"/>
      <c r="K100" s="85"/>
      <c r="L100" s="1"/>
      <c r="M100" s="1"/>
      <c r="N100" s="1"/>
      <c r="O100" s="1"/>
      <c r="P100" s="47" t="s">
        <v>253</v>
      </c>
      <c r="Q100" s="47" t="s">
        <v>254</v>
      </c>
      <c r="R100" s="1"/>
      <c r="S100" s="85" t="s">
        <v>442</v>
      </c>
      <c r="T100" s="85" t="s">
        <v>443</v>
      </c>
      <c r="U100" s="85" t="s">
        <v>444</v>
      </c>
      <c r="V100" s="85" t="s">
        <v>445</v>
      </c>
      <c r="W100" s="85" t="s">
        <v>446</v>
      </c>
      <c r="X100" s="85"/>
      <c r="Y100" s="85"/>
      <c r="Z100" s="85"/>
      <c r="AA100" s="85"/>
      <c r="AB100" s="85"/>
      <c r="AC100" s="85"/>
      <c r="AD100" s="85"/>
      <c r="AE100" s="85"/>
      <c r="AF100" s="85"/>
      <c r="AG100" s="85"/>
      <c r="AH100" s="85"/>
      <c r="AI100" s="85"/>
      <c r="AJ100" s="85"/>
      <c r="AK100" s="85"/>
      <c r="AL100" s="85"/>
      <c r="AM100" s="85"/>
      <c r="AN100" s="85"/>
      <c r="AO100" s="1"/>
      <c r="AP100" s="85"/>
      <c r="AQ100" s="85"/>
    </row>
    <row r="101" spans="1:43" x14ac:dyDescent="0.35">
      <c r="A101" s="134" t="s">
        <v>194</v>
      </c>
      <c r="B101" s="48">
        <f>_xlfn.XLOOKUP(A101,T_Custos[Produto],T_Custos[Peso])</f>
        <v>1</v>
      </c>
      <c r="C101" s="49" t="str">
        <f>_xlfn.XLOOKUP(A101,T_Custos[Produto],T_Custos[Und])</f>
        <v>un</v>
      </c>
      <c r="D101" s="1" t="s">
        <v>252</v>
      </c>
      <c r="E101" s="1" t="s">
        <v>261</v>
      </c>
      <c r="F101" s="1" t="s">
        <v>248</v>
      </c>
      <c r="G101" s="1" t="s">
        <v>255</v>
      </c>
      <c r="H101" s="1" t="s">
        <v>258</v>
      </c>
      <c r="I101" s="1" t="s">
        <v>260</v>
      </c>
      <c r="J101" s="1" t="s">
        <v>492</v>
      </c>
      <c r="K101" s="85" t="s">
        <v>552</v>
      </c>
      <c r="L101" s="1" t="s">
        <v>259</v>
      </c>
      <c r="M101" s="1" t="s">
        <v>251</v>
      </c>
      <c r="N101" s="1" t="s">
        <v>257</v>
      </c>
      <c r="O101" s="1" t="s">
        <v>247</v>
      </c>
      <c r="P101" s="1"/>
      <c r="Q101" s="1"/>
      <c r="R101" s="1" t="s">
        <v>256</v>
      </c>
      <c r="S101" s="85" t="s">
        <v>442</v>
      </c>
      <c r="T101" s="85" t="s">
        <v>443</v>
      </c>
      <c r="U101" s="85" t="s">
        <v>444</v>
      </c>
      <c r="V101" s="85" t="s">
        <v>445</v>
      </c>
      <c r="W101" s="85" t="s">
        <v>446</v>
      </c>
      <c r="X101" s="85"/>
      <c r="Y101" s="85"/>
      <c r="Z101" s="85"/>
      <c r="AA101" s="85" t="s">
        <v>489</v>
      </c>
      <c r="AB101" s="85" t="s">
        <v>490</v>
      </c>
      <c r="AC101" s="85"/>
      <c r="AD101" s="85"/>
      <c r="AE101" s="85"/>
      <c r="AF101" s="85"/>
      <c r="AG101" s="85"/>
      <c r="AH101" s="85"/>
      <c r="AI101" s="85"/>
      <c r="AJ101" s="85"/>
      <c r="AK101" s="85"/>
      <c r="AL101" s="85"/>
      <c r="AM101" s="85"/>
      <c r="AN101" s="85"/>
      <c r="AO101" s="1" t="s">
        <v>559</v>
      </c>
      <c r="AP101" s="85"/>
      <c r="AQ101" s="85" t="s">
        <v>597</v>
      </c>
    </row>
    <row r="102" spans="1:43" x14ac:dyDescent="0.35">
      <c r="A102" s="134" t="s">
        <v>570</v>
      </c>
      <c r="B102" s="64">
        <f>_xlfn.XLOOKUP(A102,T_Custos[Produto],T_Custos[Peso])</f>
        <v>1</v>
      </c>
      <c r="C102" s="65" t="str">
        <f>_xlfn.XLOOKUP(A102,T_Custos[Produto],T_Custos[Und])</f>
        <v>kg</v>
      </c>
      <c r="D102" s="1"/>
      <c r="E102" s="1"/>
      <c r="F102" s="1"/>
      <c r="G102" s="1"/>
      <c r="H102" s="1"/>
      <c r="I102" s="1"/>
      <c r="J102" s="1"/>
      <c r="K102" s="85"/>
      <c r="L102" s="1"/>
      <c r="M102" s="1"/>
      <c r="N102" s="1"/>
      <c r="O102" s="1"/>
      <c r="P102" s="1"/>
      <c r="Q102" s="1"/>
      <c r="R102" s="1"/>
      <c r="S102" s="85"/>
      <c r="T102" s="85"/>
      <c r="U102" s="85"/>
      <c r="V102" s="85"/>
      <c r="W102" s="85"/>
      <c r="X102" s="85"/>
      <c r="Y102" s="85"/>
      <c r="Z102" s="85"/>
      <c r="AA102" s="85"/>
      <c r="AB102" s="85"/>
      <c r="AC102" s="85"/>
      <c r="AD102" s="85"/>
      <c r="AE102" s="85"/>
      <c r="AF102" s="85"/>
      <c r="AG102" s="85"/>
      <c r="AH102" s="85"/>
      <c r="AI102" s="85"/>
      <c r="AJ102" s="85"/>
      <c r="AK102" s="85"/>
      <c r="AL102" s="85"/>
      <c r="AM102" s="85"/>
      <c r="AN102" s="85"/>
      <c r="AO102" s="85"/>
      <c r="AP102" s="85" t="s">
        <v>591</v>
      </c>
      <c r="AQ102" s="85"/>
    </row>
    <row r="103" spans="1:43" x14ac:dyDescent="0.35">
      <c r="A103" s="134" t="s">
        <v>39</v>
      </c>
      <c r="B103" s="48">
        <f>_xlfn.XLOOKUP(A103,T_Custos[Produto],T_Custos[Peso])</f>
        <v>20</v>
      </c>
      <c r="C103" s="49" t="str">
        <f>_xlfn.XLOOKUP(A103,T_Custos[Produto],T_Custos[Und])</f>
        <v>kg</v>
      </c>
      <c r="D103" s="1" t="s">
        <v>252</v>
      </c>
      <c r="E103" s="1" t="s">
        <v>261</v>
      </c>
      <c r="F103" s="1" t="s">
        <v>248</v>
      </c>
      <c r="G103" s="1" t="s">
        <v>255</v>
      </c>
      <c r="H103" s="1" t="s">
        <v>258</v>
      </c>
      <c r="I103" s="1" t="s">
        <v>260</v>
      </c>
      <c r="J103" s="1" t="s">
        <v>492</v>
      </c>
      <c r="K103" s="85" t="s">
        <v>552</v>
      </c>
      <c r="L103" s="1" t="s">
        <v>259</v>
      </c>
      <c r="M103" s="1" t="s">
        <v>251</v>
      </c>
      <c r="N103" s="1" t="s">
        <v>257</v>
      </c>
      <c r="O103" s="1" t="s">
        <v>247</v>
      </c>
      <c r="P103" s="1"/>
      <c r="Q103" s="1"/>
      <c r="R103" s="1" t="s">
        <v>256</v>
      </c>
      <c r="S103" s="85" t="s">
        <v>442</v>
      </c>
      <c r="T103" s="85" t="s">
        <v>443</v>
      </c>
      <c r="U103" s="85" t="s">
        <v>444</v>
      </c>
      <c r="V103" s="85" t="s">
        <v>445</v>
      </c>
      <c r="W103" s="85" t="s">
        <v>446</v>
      </c>
      <c r="X103" s="85" t="s">
        <v>452</v>
      </c>
      <c r="Y103" s="85" t="s">
        <v>463</v>
      </c>
      <c r="Z103" s="85" t="s">
        <v>465</v>
      </c>
      <c r="AA103" s="85" t="s">
        <v>489</v>
      </c>
      <c r="AB103" s="85" t="s">
        <v>490</v>
      </c>
      <c r="AC103" s="85"/>
      <c r="AD103" s="85"/>
      <c r="AE103" s="85"/>
      <c r="AF103" s="85" t="s">
        <v>515</v>
      </c>
      <c r="AG103" s="85"/>
      <c r="AH103" s="85" t="s">
        <v>517</v>
      </c>
      <c r="AI103" s="85"/>
      <c r="AJ103" s="85"/>
      <c r="AK103" s="85"/>
      <c r="AL103" s="85"/>
      <c r="AM103" s="85" t="s">
        <v>537</v>
      </c>
      <c r="AN103" s="85" t="s">
        <v>538</v>
      </c>
      <c r="AO103" s="1" t="s">
        <v>559</v>
      </c>
      <c r="AP103" s="85" t="s">
        <v>591</v>
      </c>
      <c r="AQ103" s="85" t="s">
        <v>597</v>
      </c>
    </row>
    <row r="104" spans="1:43" x14ac:dyDescent="0.35">
      <c r="A104" s="134" t="s">
        <v>406</v>
      </c>
      <c r="B104" s="48">
        <f>_xlfn.XLOOKUP(A104,T_Custos[Produto],T_Custos[Peso])</f>
        <v>1</v>
      </c>
      <c r="C104" s="49" t="str">
        <f>_xlfn.XLOOKUP(A104,T_Custos[Produto],T_Custos[Und])</f>
        <v>rd</v>
      </c>
      <c r="D104" s="1"/>
      <c r="E104" s="1"/>
      <c r="F104" s="1"/>
      <c r="G104" s="1"/>
      <c r="H104" s="1"/>
      <c r="I104" s="1"/>
      <c r="J104" s="1"/>
      <c r="K104" s="85"/>
      <c r="L104" s="1"/>
      <c r="M104" s="1"/>
      <c r="N104" s="1"/>
      <c r="O104" s="1"/>
      <c r="P104" s="47" t="s">
        <v>253</v>
      </c>
      <c r="Q104" s="47" t="s">
        <v>254</v>
      </c>
      <c r="R104" s="1"/>
      <c r="S104" s="85" t="s">
        <v>442</v>
      </c>
      <c r="T104" s="85" t="s">
        <v>443</v>
      </c>
      <c r="U104" s="85" t="s">
        <v>444</v>
      </c>
      <c r="V104" s="85" t="s">
        <v>445</v>
      </c>
      <c r="W104" s="85" t="s">
        <v>446</v>
      </c>
      <c r="X104" s="85" t="s">
        <v>452</v>
      </c>
      <c r="Y104" s="85"/>
      <c r="Z104" s="85"/>
      <c r="AA104" s="85"/>
      <c r="AB104" s="85"/>
      <c r="AC104" s="85"/>
      <c r="AD104" s="85"/>
      <c r="AE104" s="85"/>
      <c r="AF104" s="85"/>
      <c r="AG104" s="85"/>
      <c r="AH104" s="85"/>
      <c r="AI104" s="85"/>
      <c r="AJ104" s="85"/>
      <c r="AK104" s="85"/>
      <c r="AL104" s="85"/>
      <c r="AM104" s="85"/>
      <c r="AN104" s="85"/>
      <c r="AO104" s="1"/>
      <c r="AP104" s="85"/>
      <c r="AQ104" s="85"/>
    </row>
    <row r="105" spans="1:43" x14ac:dyDescent="0.35">
      <c r="A105" s="134" t="s">
        <v>470</v>
      </c>
      <c r="B105" s="48">
        <f>_xlfn.XLOOKUP(A105,T_Custos[Produto],T_Custos[Peso])</f>
        <v>20</v>
      </c>
      <c r="C105" s="49" t="str">
        <f>_xlfn.XLOOKUP(A105,T_Custos[Produto],T_Custos[Und])</f>
        <v>kg</v>
      </c>
      <c r="D105" s="1"/>
      <c r="E105" s="1"/>
      <c r="F105" s="1"/>
      <c r="G105" s="1"/>
      <c r="H105" s="1"/>
      <c r="I105" s="1"/>
      <c r="J105" s="1" t="s">
        <v>492</v>
      </c>
      <c r="K105" s="85" t="s">
        <v>552</v>
      </c>
      <c r="L105" s="1"/>
      <c r="M105" s="1"/>
      <c r="N105" s="1"/>
      <c r="O105" s="1" t="s">
        <v>247</v>
      </c>
      <c r="P105" s="1"/>
      <c r="Q105" s="1"/>
      <c r="R105" s="1"/>
      <c r="S105" s="85"/>
      <c r="T105" s="85"/>
      <c r="U105" s="85"/>
      <c r="V105" s="85"/>
      <c r="W105" s="85"/>
      <c r="X105" s="85"/>
      <c r="Y105" s="85"/>
      <c r="Z105" s="85"/>
      <c r="AA105" s="85" t="s">
        <v>489</v>
      </c>
      <c r="AB105" s="85" t="s">
        <v>490</v>
      </c>
      <c r="AC105" s="85" t="s">
        <v>503</v>
      </c>
      <c r="AD105" s="85" t="s">
        <v>507</v>
      </c>
      <c r="AE105" s="85" t="s">
        <v>509</v>
      </c>
      <c r="AF105" s="85"/>
      <c r="AG105" s="85"/>
      <c r="AH105" s="85"/>
      <c r="AI105" s="85"/>
      <c r="AJ105" s="85"/>
      <c r="AK105" s="85"/>
      <c r="AL105" s="85"/>
      <c r="AM105" s="85"/>
      <c r="AN105" s="85"/>
      <c r="AO105" s="1" t="s">
        <v>559</v>
      </c>
      <c r="AP105" s="85"/>
      <c r="AQ105" s="85" t="s">
        <v>597</v>
      </c>
    </row>
    <row r="106" spans="1:43" x14ac:dyDescent="0.35">
      <c r="A106" s="134" t="s">
        <v>370</v>
      </c>
      <c r="B106" s="48">
        <f>_xlfn.XLOOKUP(A106,T_Custos[Produto],T_Custos[Peso])</f>
        <v>1</v>
      </c>
      <c r="C106" s="49" t="str">
        <f>_xlfn.XLOOKUP(A106,T_Custos[Produto],T_Custos[Und])</f>
        <v>und</v>
      </c>
      <c r="D106" s="1"/>
      <c r="E106" s="1"/>
      <c r="F106" s="1"/>
      <c r="G106" s="1"/>
      <c r="H106" s="1"/>
      <c r="I106" s="1"/>
      <c r="J106" s="1"/>
      <c r="K106" s="85"/>
      <c r="L106" s="1"/>
      <c r="M106" s="1"/>
      <c r="N106" s="1"/>
      <c r="O106" s="1"/>
      <c r="P106" s="47" t="s">
        <v>253</v>
      </c>
      <c r="Q106" s="47" t="s">
        <v>254</v>
      </c>
      <c r="R106" s="1"/>
      <c r="S106" s="85" t="s">
        <v>442</v>
      </c>
      <c r="T106" s="85" t="s">
        <v>443</v>
      </c>
      <c r="U106" s="85" t="s">
        <v>444</v>
      </c>
      <c r="V106" s="85" t="s">
        <v>445</v>
      </c>
      <c r="W106" s="85" t="s">
        <v>446</v>
      </c>
      <c r="X106" s="85"/>
      <c r="Y106" s="85"/>
      <c r="Z106" s="85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5"/>
      <c r="AO106" s="1"/>
      <c r="AP106" s="85"/>
      <c r="AQ106" s="85"/>
    </row>
    <row r="107" spans="1:43" x14ac:dyDescent="0.35">
      <c r="A107" s="134" t="s">
        <v>505</v>
      </c>
      <c r="B107" s="48">
        <f>_xlfn.XLOOKUP(A107,T_Custos[Produto],T_Custos[Peso])</f>
        <v>1</v>
      </c>
      <c r="C107" s="49" t="str">
        <f>_xlfn.XLOOKUP(A107,T_Custos[Produto],T_Custos[Und])</f>
        <v>kg</v>
      </c>
      <c r="D107" s="1" t="s">
        <v>252</v>
      </c>
      <c r="E107" s="1" t="s">
        <v>261</v>
      </c>
      <c r="F107" s="1" t="s">
        <v>248</v>
      </c>
      <c r="G107" s="1" t="s">
        <v>255</v>
      </c>
      <c r="H107" s="1" t="s">
        <v>258</v>
      </c>
      <c r="I107" s="1" t="s">
        <v>260</v>
      </c>
      <c r="J107" s="1" t="s">
        <v>492</v>
      </c>
      <c r="K107" s="85" t="s">
        <v>552</v>
      </c>
      <c r="L107" s="1" t="s">
        <v>259</v>
      </c>
      <c r="M107" s="1" t="s">
        <v>251</v>
      </c>
      <c r="N107" s="1" t="s">
        <v>257</v>
      </c>
      <c r="O107" s="1" t="s">
        <v>247</v>
      </c>
      <c r="P107" s="1" t="s">
        <v>253</v>
      </c>
      <c r="Q107" s="1" t="s">
        <v>254</v>
      </c>
      <c r="R107" s="1" t="s">
        <v>256</v>
      </c>
      <c r="S107" s="85" t="s">
        <v>442</v>
      </c>
      <c r="T107" s="85" t="s">
        <v>443</v>
      </c>
      <c r="U107" s="85" t="s">
        <v>444</v>
      </c>
      <c r="V107" s="85" t="s">
        <v>445</v>
      </c>
      <c r="W107" s="85" t="s">
        <v>446</v>
      </c>
      <c r="X107" s="85" t="s">
        <v>452</v>
      </c>
      <c r="Y107" s="85"/>
      <c r="Z107" s="85"/>
      <c r="AA107" s="85" t="s">
        <v>489</v>
      </c>
      <c r="AB107" s="85" t="s">
        <v>490</v>
      </c>
      <c r="AC107" s="85"/>
      <c r="AD107" s="85"/>
      <c r="AE107" s="85"/>
      <c r="AF107" s="85"/>
      <c r="AG107" s="85"/>
      <c r="AH107" s="85"/>
      <c r="AI107" s="85"/>
      <c r="AJ107" s="85"/>
      <c r="AK107" s="85"/>
      <c r="AL107" s="85"/>
      <c r="AM107" s="85"/>
      <c r="AN107" s="85"/>
      <c r="AO107" s="1" t="s">
        <v>559</v>
      </c>
      <c r="AP107" s="85" t="s">
        <v>591</v>
      </c>
      <c r="AQ107" s="85" t="s">
        <v>597</v>
      </c>
    </row>
    <row r="108" spans="1:43" x14ac:dyDescent="0.35">
      <c r="A108" s="134" t="s">
        <v>571</v>
      </c>
      <c r="B108" s="64">
        <f>_xlfn.XLOOKUP(A108,T_Custos[Produto],T_Custos[Peso])</f>
        <v>1</v>
      </c>
      <c r="C108" s="65" t="str">
        <f>_xlfn.XLOOKUP(A108,T_Custos[Produto],T_Custos[Und])</f>
        <v>kg</v>
      </c>
      <c r="D108" s="1"/>
      <c r="E108" s="1"/>
      <c r="F108" s="1"/>
      <c r="G108" s="1"/>
      <c r="H108" s="1"/>
      <c r="I108" s="1"/>
      <c r="J108" s="1"/>
      <c r="K108" s="85"/>
      <c r="L108" s="1"/>
      <c r="M108" s="1"/>
      <c r="N108" s="1"/>
      <c r="O108" s="1"/>
      <c r="P108" s="1"/>
      <c r="Q108" s="1"/>
      <c r="R108" s="1"/>
      <c r="S108" s="85"/>
      <c r="T108" s="85"/>
      <c r="U108" s="85"/>
      <c r="V108" s="85"/>
      <c r="W108" s="85"/>
      <c r="X108" s="85"/>
      <c r="Y108" s="85"/>
      <c r="Z108" s="85"/>
      <c r="AA108" s="85"/>
      <c r="AB108" s="85"/>
      <c r="AC108" s="85"/>
      <c r="AD108" s="85"/>
      <c r="AE108" s="85"/>
      <c r="AF108" s="85"/>
      <c r="AG108" s="85"/>
      <c r="AH108" s="85"/>
      <c r="AI108" s="85"/>
      <c r="AJ108" s="85"/>
      <c r="AK108" s="85"/>
      <c r="AL108" s="85"/>
      <c r="AM108" s="85"/>
      <c r="AN108" s="85"/>
      <c r="AO108" s="85"/>
      <c r="AP108" s="85" t="s">
        <v>591</v>
      </c>
      <c r="AQ108" s="85"/>
    </row>
    <row r="109" spans="1:43" x14ac:dyDescent="0.35">
      <c r="A109" s="134" t="s">
        <v>195</v>
      </c>
      <c r="B109" s="48">
        <f>_xlfn.XLOOKUP(A109,T_Custos[Produto],T_Custos[Peso])</f>
        <v>1</v>
      </c>
      <c r="C109" s="49" t="str">
        <f>_xlfn.XLOOKUP(A109,T_Custos[Produto],T_Custos[Und])</f>
        <v>un</v>
      </c>
      <c r="D109" s="1" t="s">
        <v>252</v>
      </c>
      <c r="E109" s="1" t="s">
        <v>261</v>
      </c>
      <c r="F109" s="1" t="s">
        <v>248</v>
      </c>
      <c r="G109" s="1" t="s">
        <v>255</v>
      </c>
      <c r="H109" s="1" t="s">
        <v>258</v>
      </c>
      <c r="I109" s="1" t="s">
        <v>260</v>
      </c>
      <c r="J109" s="1" t="s">
        <v>492</v>
      </c>
      <c r="K109" s="85" t="s">
        <v>552</v>
      </c>
      <c r="L109" s="1" t="s">
        <v>259</v>
      </c>
      <c r="M109" s="1" t="s">
        <v>251</v>
      </c>
      <c r="N109" s="1" t="s">
        <v>257</v>
      </c>
      <c r="O109" s="1" t="s">
        <v>247</v>
      </c>
      <c r="P109" s="1"/>
      <c r="Q109" s="1"/>
      <c r="R109" s="1" t="s">
        <v>256</v>
      </c>
      <c r="S109" s="85" t="s">
        <v>442</v>
      </c>
      <c r="T109" s="85" t="s">
        <v>443</v>
      </c>
      <c r="U109" s="85" t="s">
        <v>444</v>
      </c>
      <c r="V109" s="85" t="s">
        <v>445</v>
      </c>
      <c r="W109" s="85" t="s">
        <v>446</v>
      </c>
      <c r="X109" s="85"/>
      <c r="Y109" s="85" t="s">
        <v>463</v>
      </c>
      <c r="Z109" s="85" t="s">
        <v>465</v>
      </c>
      <c r="AA109" s="85" t="s">
        <v>489</v>
      </c>
      <c r="AB109" s="85" t="s">
        <v>490</v>
      </c>
      <c r="AC109" s="85" t="s">
        <v>503</v>
      </c>
      <c r="AD109" s="85" t="s">
        <v>507</v>
      </c>
      <c r="AE109" s="85"/>
      <c r="AF109" s="85"/>
      <c r="AG109" s="85"/>
      <c r="AH109" s="85"/>
      <c r="AI109" s="85"/>
      <c r="AJ109" s="85"/>
      <c r="AK109" s="85"/>
      <c r="AL109" s="85"/>
      <c r="AM109" s="85"/>
      <c r="AN109" s="85"/>
      <c r="AO109" s="1" t="s">
        <v>559</v>
      </c>
      <c r="AP109" s="85"/>
      <c r="AQ109" s="85" t="s">
        <v>597</v>
      </c>
    </row>
    <row r="110" spans="1:43" x14ac:dyDescent="0.35">
      <c r="A110" s="134" t="s">
        <v>196</v>
      </c>
      <c r="B110" s="48">
        <f>_xlfn.XLOOKUP(A110,T_Custos[Produto],T_Custos[Peso])</f>
        <v>1</v>
      </c>
      <c r="C110" s="49" t="str">
        <f>_xlfn.XLOOKUP(A110,T_Custos[Produto],T_Custos[Und])</f>
        <v>un</v>
      </c>
      <c r="D110" s="1" t="s">
        <v>252</v>
      </c>
      <c r="E110" s="1" t="s">
        <v>261</v>
      </c>
      <c r="F110" s="1" t="s">
        <v>248</v>
      </c>
      <c r="G110" s="1" t="s">
        <v>255</v>
      </c>
      <c r="H110" s="1" t="s">
        <v>258</v>
      </c>
      <c r="I110" s="1" t="s">
        <v>260</v>
      </c>
      <c r="J110" s="1" t="s">
        <v>492</v>
      </c>
      <c r="K110" s="85" t="s">
        <v>552</v>
      </c>
      <c r="L110" s="1" t="s">
        <v>259</v>
      </c>
      <c r="M110" s="1" t="s">
        <v>251</v>
      </c>
      <c r="N110" s="1" t="s">
        <v>257</v>
      </c>
      <c r="O110" s="1" t="s">
        <v>247</v>
      </c>
      <c r="P110" s="1"/>
      <c r="Q110" s="1"/>
      <c r="R110" s="1" t="s">
        <v>256</v>
      </c>
      <c r="S110" s="85" t="s">
        <v>442</v>
      </c>
      <c r="T110" s="85" t="s">
        <v>443</v>
      </c>
      <c r="U110" s="85" t="s">
        <v>444</v>
      </c>
      <c r="V110" s="85" t="s">
        <v>445</v>
      </c>
      <c r="W110" s="85" t="s">
        <v>446</v>
      </c>
      <c r="X110" s="85"/>
      <c r="Y110" s="85" t="s">
        <v>463</v>
      </c>
      <c r="Z110" s="85" t="s">
        <v>465</v>
      </c>
      <c r="AA110" s="85" t="s">
        <v>489</v>
      </c>
      <c r="AB110" s="85" t="s">
        <v>490</v>
      </c>
      <c r="AC110" s="85" t="s">
        <v>503</v>
      </c>
      <c r="AD110" s="85" t="s">
        <v>507</v>
      </c>
      <c r="AE110" s="85" t="s">
        <v>509</v>
      </c>
      <c r="AF110" s="85"/>
      <c r="AG110" s="85"/>
      <c r="AH110" s="85"/>
      <c r="AI110" s="85"/>
      <c r="AJ110" s="85"/>
      <c r="AK110" s="85"/>
      <c r="AL110" s="85"/>
      <c r="AM110" s="85"/>
      <c r="AN110" s="85"/>
      <c r="AO110" s="1" t="s">
        <v>559</v>
      </c>
      <c r="AP110" s="85"/>
      <c r="AQ110" s="85" t="s">
        <v>597</v>
      </c>
    </row>
    <row r="111" spans="1:43" x14ac:dyDescent="0.35">
      <c r="A111" s="134" t="s">
        <v>572</v>
      </c>
      <c r="B111" s="64">
        <f>_xlfn.XLOOKUP(A111,T_Custos[Produto],T_Custos[Peso])</f>
        <v>1</v>
      </c>
      <c r="C111" s="65" t="str">
        <f>_xlfn.XLOOKUP(A111,T_Custos[Produto],T_Custos[Und])</f>
        <v>kg</v>
      </c>
      <c r="D111" s="1"/>
      <c r="E111" s="1"/>
      <c r="F111" s="1"/>
      <c r="G111" s="1"/>
      <c r="H111" s="1"/>
      <c r="I111" s="1"/>
      <c r="J111" s="1"/>
      <c r="K111" s="85"/>
      <c r="L111" s="1"/>
      <c r="M111" s="1"/>
      <c r="N111" s="1"/>
      <c r="O111" s="1"/>
      <c r="P111" s="1"/>
      <c r="Q111" s="1"/>
      <c r="R111" s="1"/>
      <c r="S111" s="85"/>
      <c r="T111" s="85"/>
      <c r="U111" s="85"/>
      <c r="V111" s="85"/>
      <c r="W111" s="85"/>
      <c r="X111" s="85"/>
      <c r="Y111" s="85"/>
      <c r="Z111" s="85"/>
      <c r="AA111" s="85"/>
      <c r="AB111" s="85"/>
      <c r="AC111" s="85"/>
      <c r="AD111" s="85"/>
      <c r="AE111" s="85"/>
      <c r="AF111" s="85"/>
      <c r="AG111" s="85"/>
      <c r="AH111" s="85"/>
      <c r="AI111" s="85"/>
      <c r="AJ111" s="85"/>
      <c r="AK111" s="85"/>
      <c r="AL111" s="85"/>
      <c r="AM111" s="85"/>
      <c r="AN111" s="85"/>
      <c r="AO111" s="85"/>
      <c r="AP111" s="85" t="s">
        <v>591</v>
      </c>
      <c r="AQ111" s="85"/>
    </row>
    <row r="112" spans="1:43" x14ac:dyDescent="0.35">
      <c r="A112" s="134" t="s">
        <v>40</v>
      </c>
      <c r="B112" s="48">
        <f>_xlfn.XLOOKUP(A112,T_Custos[Produto],T_Custos[Peso])</f>
        <v>0.5</v>
      </c>
      <c r="C112" s="49" t="str">
        <f>_xlfn.XLOOKUP(A112,T_Custos[Produto],T_Custos[Und])</f>
        <v>kg</v>
      </c>
      <c r="D112" s="1" t="s">
        <v>252</v>
      </c>
      <c r="E112" s="1" t="s">
        <v>261</v>
      </c>
      <c r="F112" s="1" t="s">
        <v>248</v>
      </c>
      <c r="G112" s="1" t="s">
        <v>255</v>
      </c>
      <c r="H112" s="1" t="s">
        <v>258</v>
      </c>
      <c r="I112" s="1" t="s">
        <v>260</v>
      </c>
      <c r="J112" s="1" t="s">
        <v>492</v>
      </c>
      <c r="K112" s="85" t="s">
        <v>552</v>
      </c>
      <c r="L112" s="1" t="s">
        <v>259</v>
      </c>
      <c r="M112" s="1" t="s">
        <v>251</v>
      </c>
      <c r="N112" s="1" t="s">
        <v>257</v>
      </c>
      <c r="O112" s="1" t="s">
        <v>247</v>
      </c>
      <c r="P112" s="1"/>
      <c r="Q112" s="1"/>
      <c r="R112" s="1" t="s">
        <v>256</v>
      </c>
      <c r="S112" s="85" t="s">
        <v>442</v>
      </c>
      <c r="T112" s="85" t="s">
        <v>443</v>
      </c>
      <c r="U112" s="85" t="s">
        <v>444</v>
      </c>
      <c r="V112" s="85" t="s">
        <v>445</v>
      </c>
      <c r="W112" s="85" t="s">
        <v>446</v>
      </c>
      <c r="X112" s="85" t="s">
        <v>452</v>
      </c>
      <c r="Y112" s="85"/>
      <c r="Z112" s="85"/>
      <c r="AA112" s="85" t="s">
        <v>489</v>
      </c>
      <c r="AB112" s="85" t="s">
        <v>490</v>
      </c>
      <c r="AC112" s="85"/>
      <c r="AD112" s="85"/>
      <c r="AE112" s="85"/>
      <c r="AF112" s="85"/>
      <c r="AG112" s="85"/>
      <c r="AH112" s="85"/>
      <c r="AI112" s="85"/>
      <c r="AJ112" s="85"/>
      <c r="AK112" s="85"/>
      <c r="AL112" s="85"/>
      <c r="AM112" s="85"/>
      <c r="AN112" s="85"/>
      <c r="AO112" s="1" t="s">
        <v>559</v>
      </c>
      <c r="AP112" s="85" t="s">
        <v>591</v>
      </c>
      <c r="AQ112" s="85" t="s">
        <v>597</v>
      </c>
    </row>
    <row r="113" spans="1:43" x14ac:dyDescent="0.35">
      <c r="A113" s="134" t="s">
        <v>407</v>
      </c>
      <c r="B113" s="48">
        <f>_xlfn.XLOOKUP(A113,T_Custos[Produto],T_Custos[Peso])</f>
        <v>1</v>
      </c>
      <c r="C113" s="49" t="str">
        <f>_xlfn.XLOOKUP(A113,T_Custos[Produto],T_Custos[Und])</f>
        <v>pc</v>
      </c>
      <c r="D113" s="1"/>
      <c r="E113" s="1"/>
      <c r="F113" s="1"/>
      <c r="G113" s="1"/>
      <c r="H113" s="1"/>
      <c r="I113" s="1"/>
      <c r="J113" s="1"/>
      <c r="K113" s="85"/>
      <c r="L113" s="1"/>
      <c r="M113" s="1"/>
      <c r="N113" s="1"/>
      <c r="O113" s="1"/>
      <c r="P113" s="47" t="s">
        <v>253</v>
      </c>
      <c r="Q113" s="47" t="s">
        <v>254</v>
      </c>
      <c r="R113" s="1"/>
      <c r="S113" s="85" t="s">
        <v>442</v>
      </c>
      <c r="T113" s="85" t="s">
        <v>443</v>
      </c>
      <c r="U113" s="85" t="s">
        <v>444</v>
      </c>
      <c r="V113" s="85" t="s">
        <v>445</v>
      </c>
      <c r="W113" s="85" t="s">
        <v>446</v>
      </c>
      <c r="X113" s="85" t="s">
        <v>452</v>
      </c>
      <c r="Y113" s="85"/>
      <c r="Z113" s="85"/>
      <c r="AA113" s="85"/>
      <c r="AB113" s="85"/>
      <c r="AC113" s="85"/>
      <c r="AD113" s="85"/>
      <c r="AE113" s="85"/>
      <c r="AF113" s="85"/>
      <c r="AG113" s="85"/>
      <c r="AH113" s="85"/>
      <c r="AI113" s="85"/>
      <c r="AJ113" s="85"/>
      <c r="AK113" s="85"/>
      <c r="AL113" s="85"/>
      <c r="AM113" s="85"/>
      <c r="AN113" s="85"/>
      <c r="AO113" s="1"/>
      <c r="AP113" s="85"/>
      <c r="AQ113" s="85"/>
    </row>
    <row r="114" spans="1:43" x14ac:dyDescent="0.35">
      <c r="A114" s="134" t="s">
        <v>476</v>
      </c>
      <c r="B114" s="48">
        <f>_xlfn.XLOOKUP(A114,T_Custos[Produto],T_Custos[Peso])</f>
        <v>2</v>
      </c>
      <c r="C114" s="49" t="str">
        <f>_xlfn.XLOOKUP(A114,T_Custos[Produto],T_Custos[Und])</f>
        <v>kg</v>
      </c>
      <c r="D114" s="1" t="s">
        <v>252</v>
      </c>
      <c r="E114" s="1" t="s">
        <v>261</v>
      </c>
      <c r="F114" s="1" t="s">
        <v>248</v>
      </c>
      <c r="G114" s="1" t="s">
        <v>255</v>
      </c>
      <c r="H114" s="1" t="s">
        <v>258</v>
      </c>
      <c r="I114" s="1" t="s">
        <v>260</v>
      </c>
      <c r="J114" s="1" t="s">
        <v>492</v>
      </c>
      <c r="K114" s="85" t="s">
        <v>552</v>
      </c>
      <c r="L114" s="1" t="s">
        <v>259</v>
      </c>
      <c r="M114" s="1" t="s">
        <v>251</v>
      </c>
      <c r="N114" s="1" t="s">
        <v>257</v>
      </c>
      <c r="O114" s="1" t="s">
        <v>247</v>
      </c>
      <c r="P114" s="1"/>
      <c r="Q114" s="1"/>
      <c r="R114" s="1" t="s">
        <v>256</v>
      </c>
      <c r="S114" s="85" t="s">
        <v>442</v>
      </c>
      <c r="T114" s="85" t="s">
        <v>443</v>
      </c>
      <c r="U114" s="85" t="s">
        <v>444</v>
      </c>
      <c r="V114" s="85" t="s">
        <v>445</v>
      </c>
      <c r="W114" s="85" t="s">
        <v>446</v>
      </c>
      <c r="X114" s="85" t="s">
        <v>452</v>
      </c>
      <c r="Y114" s="85"/>
      <c r="Z114" s="85"/>
      <c r="AA114" s="85" t="s">
        <v>489</v>
      </c>
      <c r="AB114" s="85" t="s">
        <v>490</v>
      </c>
      <c r="AC114" s="85"/>
      <c r="AD114" s="85"/>
      <c r="AE114" s="85"/>
      <c r="AF114" s="85"/>
      <c r="AG114" s="85"/>
      <c r="AH114" s="85"/>
      <c r="AI114" s="85"/>
      <c r="AJ114" s="85"/>
      <c r="AK114" s="85"/>
      <c r="AL114" s="85"/>
      <c r="AM114" s="85"/>
      <c r="AN114" s="85"/>
      <c r="AO114" s="1" t="s">
        <v>559</v>
      </c>
      <c r="AP114" s="85" t="s">
        <v>591</v>
      </c>
      <c r="AQ114" s="85" t="s">
        <v>597</v>
      </c>
    </row>
    <row r="115" spans="1:43" x14ac:dyDescent="0.35">
      <c r="A115" s="134" t="s">
        <v>231</v>
      </c>
      <c r="B115" s="48">
        <f>_xlfn.XLOOKUP(A115,T_Custos[Produto],T_Custos[Peso])</f>
        <v>1</v>
      </c>
      <c r="C115" s="49" t="str">
        <f>_xlfn.XLOOKUP(A115,T_Custos[Produto],T_Custos[Und])</f>
        <v>un</v>
      </c>
      <c r="D115" s="1" t="s">
        <v>252</v>
      </c>
      <c r="E115" s="1" t="s">
        <v>261</v>
      </c>
      <c r="F115" s="1" t="s">
        <v>248</v>
      </c>
      <c r="G115" s="1" t="s">
        <v>255</v>
      </c>
      <c r="H115" s="1" t="s">
        <v>258</v>
      </c>
      <c r="I115" s="1" t="s">
        <v>260</v>
      </c>
      <c r="J115" s="1" t="s">
        <v>492</v>
      </c>
      <c r="K115" s="85" t="s">
        <v>552</v>
      </c>
      <c r="L115" s="1" t="s">
        <v>259</v>
      </c>
      <c r="M115" s="1" t="s">
        <v>251</v>
      </c>
      <c r="N115" s="1" t="s">
        <v>257</v>
      </c>
      <c r="O115" s="1" t="s">
        <v>247</v>
      </c>
      <c r="P115" s="1"/>
      <c r="Q115" s="1"/>
      <c r="R115" s="1" t="s">
        <v>256</v>
      </c>
      <c r="S115" s="85" t="s">
        <v>442</v>
      </c>
      <c r="T115" s="85" t="s">
        <v>443</v>
      </c>
      <c r="U115" s="85" t="s">
        <v>444</v>
      </c>
      <c r="V115" s="85" t="s">
        <v>445</v>
      </c>
      <c r="W115" s="85" t="s">
        <v>446</v>
      </c>
      <c r="X115" s="85"/>
      <c r="Y115" s="85" t="s">
        <v>463</v>
      </c>
      <c r="Z115" s="85"/>
      <c r="AA115" s="85" t="s">
        <v>489</v>
      </c>
      <c r="AB115" s="85" t="s">
        <v>490</v>
      </c>
      <c r="AC115" s="85"/>
      <c r="AD115" s="85"/>
      <c r="AE115" s="85"/>
      <c r="AF115" s="85"/>
      <c r="AG115" s="85"/>
      <c r="AH115" s="85"/>
      <c r="AI115" s="85"/>
      <c r="AJ115" s="85"/>
      <c r="AK115" s="85"/>
      <c r="AL115" s="85"/>
      <c r="AM115" s="85"/>
      <c r="AN115" s="85"/>
      <c r="AO115" s="1" t="s">
        <v>559</v>
      </c>
      <c r="AP115" s="85"/>
      <c r="AQ115" s="85" t="s">
        <v>597</v>
      </c>
    </row>
    <row r="116" spans="1:43" x14ac:dyDescent="0.35">
      <c r="A116" s="134" t="s">
        <v>42</v>
      </c>
      <c r="B116" s="48">
        <f>_xlfn.XLOOKUP(A116,T_Custos[Produto],T_Custos[Peso])</f>
        <v>2.5</v>
      </c>
      <c r="C116" s="49" t="str">
        <f>_xlfn.XLOOKUP(A116,T_Custos[Produto],T_Custos[Und])</f>
        <v>kg</v>
      </c>
      <c r="D116" s="1" t="s">
        <v>252</v>
      </c>
      <c r="E116" s="1" t="s">
        <v>261</v>
      </c>
      <c r="F116" s="1" t="s">
        <v>248</v>
      </c>
      <c r="G116" s="1" t="s">
        <v>255</v>
      </c>
      <c r="H116" s="1" t="s">
        <v>258</v>
      </c>
      <c r="I116" s="1" t="s">
        <v>260</v>
      </c>
      <c r="J116" s="1" t="s">
        <v>492</v>
      </c>
      <c r="K116" s="85" t="s">
        <v>552</v>
      </c>
      <c r="L116" s="1" t="s">
        <v>259</v>
      </c>
      <c r="M116" s="1" t="s">
        <v>251</v>
      </c>
      <c r="N116" s="1" t="s">
        <v>257</v>
      </c>
      <c r="O116" s="1" t="s">
        <v>247</v>
      </c>
      <c r="P116" s="1"/>
      <c r="Q116" s="1"/>
      <c r="R116" s="1" t="s">
        <v>256</v>
      </c>
      <c r="S116" s="85" t="s">
        <v>442</v>
      </c>
      <c r="T116" s="85" t="s">
        <v>443</v>
      </c>
      <c r="U116" s="85" t="s">
        <v>444</v>
      </c>
      <c r="V116" s="85" t="s">
        <v>445</v>
      </c>
      <c r="W116" s="85" t="s">
        <v>446</v>
      </c>
      <c r="X116" s="85" t="s">
        <v>452</v>
      </c>
      <c r="Y116" s="85"/>
      <c r="Z116" s="85"/>
      <c r="AA116" s="85" t="s">
        <v>489</v>
      </c>
      <c r="AB116" s="85" t="s">
        <v>490</v>
      </c>
      <c r="AC116" s="85"/>
      <c r="AD116" s="85"/>
      <c r="AE116" s="85"/>
      <c r="AF116" s="85"/>
      <c r="AG116" s="85"/>
      <c r="AH116" s="85"/>
      <c r="AI116" s="85"/>
      <c r="AJ116" s="85"/>
      <c r="AK116" s="85"/>
      <c r="AL116" s="85"/>
      <c r="AM116" s="85" t="s">
        <v>537</v>
      </c>
      <c r="AN116" s="85" t="s">
        <v>538</v>
      </c>
      <c r="AO116" s="1" t="s">
        <v>559</v>
      </c>
      <c r="AP116" s="85" t="s">
        <v>591</v>
      </c>
      <c r="AQ116" s="85" t="s">
        <v>597</v>
      </c>
    </row>
    <row r="117" spans="1:43" x14ac:dyDescent="0.35">
      <c r="A117" s="134" t="s">
        <v>457</v>
      </c>
      <c r="B117" s="48">
        <f>_xlfn.XLOOKUP(A117,T_Custos[Produto],T_Custos[Peso])</f>
        <v>6</v>
      </c>
      <c r="C117" s="49" t="str">
        <f>_xlfn.XLOOKUP(A117,T_Custos[Produto],T_Custos[Und])</f>
        <v>kg</v>
      </c>
      <c r="D117" s="1" t="s">
        <v>252</v>
      </c>
      <c r="E117" s="1" t="s">
        <v>261</v>
      </c>
      <c r="F117" s="1" t="s">
        <v>248</v>
      </c>
      <c r="G117" s="1" t="s">
        <v>255</v>
      </c>
      <c r="H117" s="1" t="s">
        <v>258</v>
      </c>
      <c r="I117" s="1" t="s">
        <v>260</v>
      </c>
      <c r="J117" s="1" t="s">
        <v>492</v>
      </c>
      <c r="K117" s="85" t="s">
        <v>552</v>
      </c>
      <c r="L117" s="1" t="s">
        <v>259</v>
      </c>
      <c r="M117" s="1" t="s">
        <v>251</v>
      </c>
      <c r="N117" s="1" t="s">
        <v>257</v>
      </c>
      <c r="O117" s="1" t="s">
        <v>247</v>
      </c>
      <c r="P117" s="1"/>
      <c r="Q117" s="1"/>
      <c r="R117" s="1" t="s">
        <v>256</v>
      </c>
      <c r="S117" s="85" t="s">
        <v>442</v>
      </c>
      <c r="T117" s="85" t="s">
        <v>443</v>
      </c>
      <c r="U117" s="85" t="s">
        <v>444</v>
      </c>
      <c r="V117" s="85" t="s">
        <v>445</v>
      </c>
      <c r="W117" s="85" t="s">
        <v>446</v>
      </c>
      <c r="X117" s="85" t="s">
        <v>452</v>
      </c>
      <c r="Y117" s="85"/>
      <c r="Z117" s="85"/>
      <c r="AA117" s="85" t="s">
        <v>489</v>
      </c>
      <c r="AB117" s="85" t="s">
        <v>490</v>
      </c>
      <c r="AC117" s="85"/>
      <c r="AD117" s="85"/>
      <c r="AE117" s="85"/>
      <c r="AF117" s="85"/>
      <c r="AG117" s="85"/>
      <c r="AH117" s="85"/>
      <c r="AI117" s="85"/>
      <c r="AJ117" s="85"/>
      <c r="AK117" s="85"/>
      <c r="AL117" s="85"/>
      <c r="AM117" s="85" t="s">
        <v>537</v>
      </c>
      <c r="AN117" s="85" t="s">
        <v>538</v>
      </c>
      <c r="AO117" s="1" t="s">
        <v>559</v>
      </c>
      <c r="AP117" s="85" t="s">
        <v>591</v>
      </c>
      <c r="AQ117" s="85" t="s">
        <v>597</v>
      </c>
    </row>
    <row r="118" spans="1:43" x14ac:dyDescent="0.35">
      <c r="A118" s="134" t="s">
        <v>41</v>
      </c>
      <c r="B118" s="48">
        <f>_xlfn.XLOOKUP(A118,T_Custos[Produto],T_Custos[Peso])</f>
        <v>13</v>
      </c>
      <c r="C118" s="49" t="str">
        <f>_xlfn.XLOOKUP(A118,T_Custos[Produto],T_Custos[Und])</f>
        <v>kg</v>
      </c>
      <c r="D118" s="1" t="s">
        <v>252</v>
      </c>
      <c r="E118" s="1" t="s">
        <v>261</v>
      </c>
      <c r="F118" s="1" t="s">
        <v>248</v>
      </c>
      <c r="G118" s="1" t="s">
        <v>255</v>
      </c>
      <c r="H118" s="1" t="s">
        <v>258</v>
      </c>
      <c r="I118" s="1" t="s">
        <v>260</v>
      </c>
      <c r="J118" s="1" t="s">
        <v>492</v>
      </c>
      <c r="K118" s="85" t="s">
        <v>552</v>
      </c>
      <c r="L118" s="1" t="s">
        <v>259</v>
      </c>
      <c r="M118" s="1" t="s">
        <v>251</v>
      </c>
      <c r="N118" s="1" t="s">
        <v>257</v>
      </c>
      <c r="O118" s="1" t="s">
        <v>247</v>
      </c>
      <c r="P118" s="1"/>
      <c r="Q118" s="1"/>
      <c r="R118" s="1" t="s">
        <v>256</v>
      </c>
      <c r="S118" s="85" t="s">
        <v>442</v>
      </c>
      <c r="T118" s="85" t="s">
        <v>443</v>
      </c>
      <c r="U118" s="85" t="s">
        <v>444</v>
      </c>
      <c r="V118" s="85" t="s">
        <v>445</v>
      </c>
      <c r="W118" s="85" t="s">
        <v>446</v>
      </c>
      <c r="X118" s="85" t="s">
        <v>452</v>
      </c>
      <c r="Y118" s="85"/>
      <c r="Z118" s="85"/>
      <c r="AA118" s="85" t="s">
        <v>489</v>
      </c>
      <c r="AB118" s="85" t="s">
        <v>490</v>
      </c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 t="s">
        <v>537</v>
      </c>
      <c r="AN118" s="85" t="s">
        <v>538</v>
      </c>
      <c r="AO118" s="1" t="s">
        <v>559</v>
      </c>
      <c r="AP118" s="85" t="s">
        <v>591</v>
      </c>
      <c r="AQ118" s="85" t="s">
        <v>597</v>
      </c>
    </row>
    <row r="119" spans="1:43" x14ac:dyDescent="0.35">
      <c r="A119" s="134" t="s">
        <v>43</v>
      </c>
      <c r="B119" s="48">
        <f>_xlfn.XLOOKUP(A119,T_Custos[Produto],T_Custos[Peso])</f>
        <v>15</v>
      </c>
      <c r="C119" s="49" t="str">
        <f>_xlfn.XLOOKUP(A119,T_Custos[Produto],T_Custos[Und])</f>
        <v>kg</v>
      </c>
      <c r="D119" s="1" t="s">
        <v>252</v>
      </c>
      <c r="E119" s="1" t="s">
        <v>261</v>
      </c>
      <c r="F119" s="1" t="s">
        <v>248</v>
      </c>
      <c r="G119" s="1" t="s">
        <v>255</v>
      </c>
      <c r="H119" s="1" t="s">
        <v>258</v>
      </c>
      <c r="I119" s="1" t="s">
        <v>260</v>
      </c>
      <c r="J119" s="1" t="s">
        <v>492</v>
      </c>
      <c r="K119" s="85" t="s">
        <v>552</v>
      </c>
      <c r="L119" s="1" t="s">
        <v>259</v>
      </c>
      <c r="M119" s="1" t="s">
        <v>251</v>
      </c>
      <c r="N119" s="1" t="s">
        <v>257</v>
      </c>
      <c r="O119" s="1" t="s">
        <v>247</v>
      </c>
      <c r="P119" s="1"/>
      <c r="Q119" s="1"/>
      <c r="R119" s="1" t="s">
        <v>256</v>
      </c>
      <c r="S119" s="85" t="s">
        <v>442</v>
      </c>
      <c r="T119" s="85" t="s">
        <v>443</v>
      </c>
      <c r="U119" s="85" t="s">
        <v>444</v>
      </c>
      <c r="V119" s="85" t="s">
        <v>445</v>
      </c>
      <c r="W119" s="85" t="s">
        <v>446</v>
      </c>
      <c r="X119" s="85" t="s">
        <v>452</v>
      </c>
      <c r="Y119" s="85"/>
      <c r="Z119" s="85"/>
      <c r="AA119" s="85" t="s">
        <v>489</v>
      </c>
      <c r="AB119" s="85" t="s">
        <v>490</v>
      </c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5"/>
      <c r="AO119" s="1" t="s">
        <v>559</v>
      </c>
      <c r="AP119" s="85" t="s">
        <v>591</v>
      </c>
      <c r="AQ119" s="85" t="s">
        <v>597</v>
      </c>
    </row>
    <row r="120" spans="1:43" x14ac:dyDescent="0.35">
      <c r="A120" s="134" t="s">
        <v>44</v>
      </c>
      <c r="B120" s="48">
        <f>_xlfn.XLOOKUP(A120,T_Custos[Produto],T_Custos[Peso])</f>
        <v>1</v>
      </c>
      <c r="C120" s="49" t="str">
        <f>_xlfn.XLOOKUP(A120,T_Custos[Produto],T_Custos[Und])</f>
        <v>kg</v>
      </c>
      <c r="D120" s="1" t="s">
        <v>252</v>
      </c>
      <c r="E120" s="1" t="s">
        <v>261</v>
      </c>
      <c r="F120" s="1" t="s">
        <v>248</v>
      </c>
      <c r="G120" s="1" t="s">
        <v>255</v>
      </c>
      <c r="H120" s="1" t="s">
        <v>258</v>
      </c>
      <c r="I120" s="1" t="s">
        <v>260</v>
      </c>
      <c r="J120" s="1" t="s">
        <v>492</v>
      </c>
      <c r="K120" s="85" t="s">
        <v>552</v>
      </c>
      <c r="L120" s="1" t="s">
        <v>259</v>
      </c>
      <c r="M120" s="1" t="s">
        <v>251</v>
      </c>
      <c r="N120" s="1" t="s">
        <v>257</v>
      </c>
      <c r="O120" s="1" t="s">
        <v>247</v>
      </c>
      <c r="P120" s="1"/>
      <c r="Q120" s="1"/>
      <c r="R120" s="1" t="s">
        <v>256</v>
      </c>
      <c r="S120" s="85" t="s">
        <v>442</v>
      </c>
      <c r="T120" s="85" t="s">
        <v>443</v>
      </c>
      <c r="U120" s="85" t="s">
        <v>444</v>
      </c>
      <c r="V120" s="85" t="s">
        <v>445</v>
      </c>
      <c r="W120" s="85" t="s">
        <v>446</v>
      </c>
      <c r="X120" s="85"/>
      <c r="Y120" s="85"/>
      <c r="Z120" s="85"/>
      <c r="AA120" s="85" t="s">
        <v>489</v>
      </c>
      <c r="AB120" s="85" t="s">
        <v>490</v>
      </c>
      <c r="AC120" s="85"/>
      <c r="AD120" s="85"/>
      <c r="AE120" s="85"/>
      <c r="AF120" s="85"/>
      <c r="AG120" s="85"/>
      <c r="AH120" s="85"/>
      <c r="AI120" s="85"/>
      <c r="AJ120" s="85"/>
      <c r="AK120" s="85"/>
      <c r="AL120" s="85"/>
      <c r="AM120" s="85"/>
      <c r="AN120" s="85"/>
      <c r="AO120" s="1" t="s">
        <v>559</v>
      </c>
      <c r="AP120" s="85" t="s">
        <v>591</v>
      </c>
      <c r="AQ120" s="85" t="s">
        <v>597</v>
      </c>
    </row>
    <row r="121" spans="1:43" x14ac:dyDescent="0.35">
      <c r="A121" s="85" t="s">
        <v>45</v>
      </c>
      <c r="B121" s="48">
        <f>_xlfn.XLOOKUP(A121,T_Custos[Produto],T_Custos[Peso])</f>
        <v>19</v>
      </c>
      <c r="C121" s="49" t="str">
        <f>_xlfn.XLOOKUP(A121,T_Custos[Produto],T_Custos[Und])</f>
        <v>kg</v>
      </c>
      <c r="D121" s="1" t="s">
        <v>252</v>
      </c>
      <c r="E121" s="1" t="s">
        <v>261</v>
      </c>
      <c r="F121" s="1" t="s">
        <v>248</v>
      </c>
      <c r="G121" s="1" t="s">
        <v>255</v>
      </c>
      <c r="H121" s="1" t="s">
        <v>258</v>
      </c>
      <c r="I121" s="1" t="s">
        <v>260</v>
      </c>
      <c r="J121" s="1" t="s">
        <v>492</v>
      </c>
      <c r="K121" s="85" t="s">
        <v>552</v>
      </c>
      <c r="L121" s="1" t="s">
        <v>259</v>
      </c>
      <c r="M121" s="1" t="s">
        <v>251</v>
      </c>
      <c r="N121" s="1" t="s">
        <v>257</v>
      </c>
      <c r="O121" s="1" t="s">
        <v>247</v>
      </c>
      <c r="P121" s="1"/>
      <c r="Q121" s="1"/>
      <c r="R121" s="1" t="s">
        <v>256</v>
      </c>
      <c r="S121" s="85" t="s">
        <v>442</v>
      </c>
      <c r="T121" s="85" t="s">
        <v>443</v>
      </c>
      <c r="U121" s="85" t="s">
        <v>444</v>
      </c>
      <c r="V121" s="85" t="s">
        <v>445</v>
      </c>
      <c r="W121" s="85" t="s">
        <v>446</v>
      </c>
      <c r="X121" s="85" t="s">
        <v>452</v>
      </c>
      <c r="Y121" s="85"/>
      <c r="Z121" s="85"/>
      <c r="AA121" s="85" t="s">
        <v>489</v>
      </c>
      <c r="AB121" s="85" t="s">
        <v>490</v>
      </c>
      <c r="AC121" s="85"/>
      <c r="AD121" s="85"/>
      <c r="AE121" s="85"/>
      <c r="AF121" s="85"/>
      <c r="AG121" s="85"/>
      <c r="AH121" s="85" t="s">
        <v>517</v>
      </c>
      <c r="AI121" s="85"/>
      <c r="AJ121" s="85" t="s">
        <v>519</v>
      </c>
      <c r="AK121" s="85" t="s">
        <v>520</v>
      </c>
      <c r="AL121" s="85" t="s">
        <v>521</v>
      </c>
      <c r="AM121" s="85"/>
      <c r="AN121" s="85"/>
      <c r="AO121" s="1" t="s">
        <v>559</v>
      </c>
      <c r="AP121" s="85" t="s">
        <v>591</v>
      </c>
      <c r="AQ121" s="85" t="s">
        <v>597</v>
      </c>
    </row>
    <row r="122" spans="1:43" x14ac:dyDescent="0.35">
      <c r="A122" s="85" t="s">
        <v>46</v>
      </c>
      <c r="B122" s="48">
        <f>_xlfn.XLOOKUP(A122,T_Custos[Produto],T_Custos[Peso])</f>
        <v>19</v>
      </c>
      <c r="C122" s="49" t="str">
        <f>_xlfn.XLOOKUP(A122,T_Custos[Produto],T_Custos[Und])</f>
        <v>kg</v>
      </c>
      <c r="D122" s="1" t="s">
        <v>252</v>
      </c>
      <c r="E122" s="1" t="s">
        <v>261</v>
      </c>
      <c r="F122" s="1" t="s">
        <v>248</v>
      </c>
      <c r="G122" s="1" t="s">
        <v>255</v>
      </c>
      <c r="H122" s="1" t="s">
        <v>258</v>
      </c>
      <c r="I122" s="1" t="s">
        <v>260</v>
      </c>
      <c r="J122" s="1" t="s">
        <v>492</v>
      </c>
      <c r="K122" s="85" t="s">
        <v>552</v>
      </c>
      <c r="L122" s="1" t="s">
        <v>259</v>
      </c>
      <c r="M122" s="1" t="s">
        <v>251</v>
      </c>
      <c r="N122" s="1" t="s">
        <v>257</v>
      </c>
      <c r="O122" s="1" t="s">
        <v>247</v>
      </c>
      <c r="P122" s="1"/>
      <c r="Q122" s="1"/>
      <c r="R122" s="1" t="s">
        <v>256</v>
      </c>
      <c r="S122" s="85" t="s">
        <v>442</v>
      </c>
      <c r="T122" s="85" t="s">
        <v>443</v>
      </c>
      <c r="U122" s="85" t="s">
        <v>444</v>
      </c>
      <c r="V122" s="85" t="s">
        <v>445</v>
      </c>
      <c r="W122" s="85" t="s">
        <v>446</v>
      </c>
      <c r="X122" s="85" t="s">
        <v>452</v>
      </c>
      <c r="Y122" s="85"/>
      <c r="Z122" s="85"/>
      <c r="AA122" s="85" t="s">
        <v>489</v>
      </c>
      <c r="AB122" s="85" t="s">
        <v>490</v>
      </c>
      <c r="AC122" s="85"/>
      <c r="AD122" s="85"/>
      <c r="AE122" s="85"/>
      <c r="AF122" s="85"/>
      <c r="AG122" s="85"/>
      <c r="AH122" s="85"/>
      <c r="AI122" s="85"/>
      <c r="AJ122" s="85"/>
      <c r="AK122" s="85"/>
      <c r="AL122" s="85"/>
      <c r="AM122" s="85"/>
      <c r="AN122" s="85"/>
      <c r="AO122" s="1" t="s">
        <v>559</v>
      </c>
      <c r="AP122" s="85" t="s">
        <v>591</v>
      </c>
      <c r="AQ122" s="85" t="s">
        <v>597</v>
      </c>
    </row>
    <row r="123" spans="1:43" x14ac:dyDescent="0.35">
      <c r="A123" s="134" t="s">
        <v>197</v>
      </c>
      <c r="B123" s="48">
        <f>_xlfn.XLOOKUP(A123,T_Custos[Produto],T_Custos[Peso])</f>
        <v>1</v>
      </c>
      <c r="C123" s="49" t="str">
        <f>_xlfn.XLOOKUP(A123,T_Custos[Produto],T_Custos[Und])</f>
        <v>un</v>
      </c>
      <c r="D123" s="1" t="s">
        <v>252</v>
      </c>
      <c r="E123" s="1" t="s">
        <v>261</v>
      </c>
      <c r="F123" s="1" t="s">
        <v>248</v>
      </c>
      <c r="G123" s="1" t="s">
        <v>255</v>
      </c>
      <c r="H123" s="1" t="s">
        <v>258</v>
      </c>
      <c r="I123" s="1" t="s">
        <v>260</v>
      </c>
      <c r="J123" s="1"/>
      <c r="K123" s="85"/>
      <c r="L123" s="1" t="s">
        <v>259</v>
      </c>
      <c r="M123" s="1" t="s">
        <v>251</v>
      </c>
      <c r="N123" s="1" t="s">
        <v>257</v>
      </c>
      <c r="O123" s="1"/>
      <c r="P123" s="1"/>
      <c r="Q123" s="1"/>
      <c r="R123" s="1" t="s">
        <v>256</v>
      </c>
      <c r="S123" s="85" t="s">
        <v>442</v>
      </c>
      <c r="T123" s="85" t="s">
        <v>443</v>
      </c>
      <c r="U123" s="85" t="s">
        <v>444</v>
      </c>
      <c r="V123" s="85" t="s">
        <v>445</v>
      </c>
      <c r="W123" s="85" t="s">
        <v>446</v>
      </c>
      <c r="X123" s="85"/>
      <c r="Y123" s="85"/>
      <c r="Z123" s="85"/>
      <c r="AA123" s="85" t="s">
        <v>489</v>
      </c>
      <c r="AB123" s="85" t="s">
        <v>490</v>
      </c>
      <c r="AC123" s="85"/>
      <c r="AD123" s="85"/>
      <c r="AE123" s="85" t="s">
        <v>509</v>
      </c>
      <c r="AF123" s="85"/>
      <c r="AG123" s="85"/>
      <c r="AH123" s="85"/>
      <c r="AI123" s="85"/>
      <c r="AJ123" s="85"/>
      <c r="AK123" s="85"/>
      <c r="AL123" s="85"/>
      <c r="AM123" s="85"/>
      <c r="AN123" s="85"/>
      <c r="AO123" s="1"/>
      <c r="AP123" s="85"/>
      <c r="AQ123" s="85"/>
    </row>
    <row r="124" spans="1:43" x14ac:dyDescent="0.35">
      <c r="A124" s="179" t="s">
        <v>600</v>
      </c>
      <c r="B124" s="64">
        <f>_xlfn.XLOOKUP(A124,T_Custos[Produto],T_Custos[Peso])</f>
        <v>19</v>
      </c>
      <c r="C124" s="180" t="str">
        <f>_xlfn.XLOOKUP(A124,T_Custos[Produto],T_Custos[Und])</f>
        <v>kg</v>
      </c>
      <c r="D124" s="1" t="s">
        <v>252</v>
      </c>
      <c r="E124" s="1" t="s">
        <v>261</v>
      </c>
      <c r="F124" s="1" t="s">
        <v>248</v>
      </c>
      <c r="G124" s="1" t="s">
        <v>255</v>
      </c>
      <c r="H124" s="1" t="s">
        <v>258</v>
      </c>
      <c r="I124" s="1" t="s">
        <v>260</v>
      </c>
      <c r="J124" s="1" t="s">
        <v>492</v>
      </c>
      <c r="K124" s="85" t="s">
        <v>552</v>
      </c>
      <c r="L124" s="1" t="s">
        <v>259</v>
      </c>
      <c r="M124" s="1" t="s">
        <v>251</v>
      </c>
      <c r="N124" s="1" t="s">
        <v>257</v>
      </c>
      <c r="O124" s="1" t="s">
        <v>247</v>
      </c>
      <c r="P124" s="1"/>
      <c r="Q124" s="1"/>
      <c r="R124" s="1" t="s">
        <v>256</v>
      </c>
      <c r="S124" s="85" t="s">
        <v>442</v>
      </c>
      <c r="T124" s="85" t="s">
        <v>443</v>
      </c>
      <c r="U124" s="85" t="s">
        <v>444</v>
      </c>
      <c r="V124" s="85" t="s">
        <v>445</v>
      </c>
      <c r="W124" s="85" t="s">
        <v>446</v>
      </c>
      <c r="X124" s="85" t="s">
        <v>452</v>
      </c>
      <c r="Y124" s="85" t="s">
        <v>463</v>
      </c>
      <c r="Z124" s="85" t="s">
        <v>465</v>
      </c>
      <c r="AA124" s="85" t="s">
        <v>489</v>
      </c>
      <c r="AB124" s="85" t="s">
        <v>490</v>
      </c>
      <c r="AC124" s="85" t="s">
        <v>503</v>
      </c>
      <c r="AD124" s="85" t="s">
        <v>507</v>
      </c>
      <c r="AE124" s="85"/>
      <c r="AF124" s="85" t="s">
        <v>515</v>
      </c>
      <c r="AG124" s="85" t="s">
        <v>516</v>
      </c>
      <c r="AH124" s="85"/>
      <c r="AI124" s="85"/>
      <c r="AJ124" s="85"/>
      <c r="AK124" s="85"/>
      <c r="AL124" s="85"/>
      <c r="AM124" s="85" t="s">
        <v>537</v>
      </c>
      <c r="AN124" s="85" t="s">
        <v>538</v>
      </c>
      <c r="AO124" s="1" t="s">
        <v>559</v>
      </c>
      <c r="AP124" s="85" t="s">
        <v>591</v>
      </c>
      <c r="AQ124" s="85" t="s">
        <v>597</v>
      </c>
    </row>
    <row r="125" spans="1:43" x14ac:dyDescent="0.35">
      <c r="A125" s="179" t="s">
        <v>599</v>
      </c>
      <c r="B125" s="64">
        <f>_xlfn.XLOOKUP(A125,T_Custos[Produto],T_Custos[Peso])</f>
        <v>19</v>
      </c>
      <c r="C125" s="180" t="str">
        <f>_xlfn.XLOOKUP(A125,T_Custos[Produto],T_Custos[Und])</f>
        <v>kg</v>
      </c>
      <c r="D125" s="1" t="s">
        <v>252</v>
      </c>
      <c r="E125" s="1" t="s">
        <v>261</v>
      </c>
      <c r="F125" s="1" t="s">
        <v>248</v>
      </c>
      <c r="G125" s="1" t="s">
        <v>255</v>
      </c>
      <c r="H125" s="1" t="s">
        <v>258</v>
      </c>
      <c r="I125" s="1" t="s">
        <v>260</v>
      </c>
      <c r="J125" s="1" t="s">
        <v>492</v>
      </c>
      <c r="K125" s="85" t="s">
        <v>552</v>
      </c>
      <c r="L125" s="1" t="s">
        <v>259</v>
      </c>
      <c r="M125" s="1" t="s">
        <v>251</v>
      </c>
      <c r="N125" s="1" t="s">
        <v>257</v>
      </c>
      <c r="O125" s="1" t="s">
        <v>247</v>
      </c>
      <c r="P125" s="1"/>
      <c r="Q125" s="1"/>
      <c r="R125" s="1" t="s">
        <v>256</v>
      </c>
      <c r="S125" s="85" t="s">
        <v>442</v>
      </c>
      <c r="T125" s="85" t="s">
        <v>443</v>
      </c>
      <c r="U125" s="85" t="s">
        <v>444</v>
      </c>
      <c r="V125" s="85" t="s">
        <v>445</v>
      </c>
      <c r="W125" s="85" t="s">
        <v>446</v>
      </c>
      <c r="X125" s="85" t="s">
        <v>452</v>
      </c>
      <c r="Y125" s="85" t="s">
        <v>463</v>
      </c>
      <c r="Z125" s="85" t="s">
        <v>465</v>
      </c>
      <c r="AA125" s="85" t="s">
        <v>489</v>
      </c>
      <c r="AB125" s="85" t="s">
        <v>490</v>
      </c>
      <c r="AC125" s="85" t="s">
        <v>503</v>
      </c>
      <c r="AD125" s="85" t="s">
        <v>507</v>
      </c>
      <c r="AE125" s="85"/>
      <c r="AF125" s="85" t="s">
        <v>515</v>
      </c>
      <c r="AG125" s="85" t="s">
        <v>516</v>
      </c>
      <c r="AH125" s="85"/>
      <c r="AI125" s="85"/>
      <c r="AJ125" s="85"/>
      <c r="AK125" s="85"/>
      <c r="AL125" s="85"/>
      <c r="AM125" s="85" t="s">
        <v>537</v>
      </c>
      <c r="AN125" s="85" t="s">
        <v>538</v>
      </c>
      <c r="AO125" s="1" t="s">
        <v>559</v>
      </c>
      <c r="AP125" s="85" t="s">
        <v>591</v>
      </c>
      <c r="AQ125" s="85" t="s">
        <v>597</v>
      </c>
    </row>
    <row r="126" spans="1:43" x14ac:dyDescent="0.35">
      <c r="A126" s="134" t="s">
        <v>601</v>
      </c>
      <c r="B126" s="48">
        <f>_xlfn.XLOOKUP(A126,T_Custos[Produto],T_Custos[Peso])</f>
        <v>19</v>
      </c>
      <c r="C126" s="49" t="str">
        <f>_xlfn.XLOOKUP(A126,T_Custos[Produto],T_Custos[Und])</f>
        <v>kg</v>
      </c>
      <c r="D126" s="1" t="s">
        <v>252</v>
      </c>
      <c r="E126" s="1" t="s">
        <v>261</v>
      </c>
      <c r="F126" s="1" t="s">
        <v>248</v>
      </c>
      <c r="G126" s="1" t="s">
        <v>255</v>
      </c>
      <c r="H126" s="1" t="s">
        <v>258</v>
      </c>
      <c r="I126" s="1" t="s">
        <v>260</v>
      </c>
      <c r="J126" s="1" t="s">
        <v>492</v>
      </c>
      <c r="K126" s="85" t="s">
        <v>552</v>
      </c>
      <c r="L126" s="1" t="s">
        <v>259</v>
      </c>
      <c r="M126" s="1" t="s">
        <v>251</v>
      </c>
      <c r="N126" s="1" t="s">
        <v>257</v>
      </c>
      <c r="O126" s="1" t="s">
        <v>247</v>
      </c>
      <c r="P126" s="1"/>
      <c r="Q126" s="1"/>
      <c r="R126" s="1" t="s">
        <v>256</v>
      </c>
      <c r="S126" s="85" t="s">
        <v>442</v>
      </c>
      <c r="T126" s="85" t="s">
        <v>443</v>
      </c>
      <c r="U126" s="85" t="s">
        <v>444</v>
      </c>
      <c r="V126" s="85" t="s">
        <v>445</v>
      </c>
      <c r="W126" s="85" t="s">
        <v>446</v>
      </c>
      <c r="X126" s="85" t="s">
        <v>452</v>
      </c>
      <c r="Y126" s="85" t="s">
        <v>463</v>
      </c>
      <c r="Z126" s="85" t="s">
        <v>465</v>
      </c>
      <c r="AA126" s="85" t="s">
        <v>489</v>
      </c>
      <c r="AB126" s="85" t="s">
        <v>490</v>
      </c>
      <c r="AC126" s="85" t="s">
        <v>503</v>
      </c>
      <c r="AD126" s="85" t="s">
        <v>507</v>
      </c>
      <c r="AE126" s="85"/>
      <c r="AF126" s="85" t="s">
        <v>515</v>
      </c>
      <c r="AG126" s="85" t="s">
        <v>516</v>
      </c>
      <c r="AH126" s="85"/>
      <c r="AI126" s="85"/>
      <c r="AJ126" s="85"/>
      <c r="AK126" s="85"/>
      <c r="AL126" s="85"/>
      <c r="AM126" s="85" t="s">
        <v>537</v>
      </c>
      <c r="AN126" s="85" t="s">
        <v>538</v>
      </c>
      <c r="AO126" s="1" t="s">
        <v>559</v>
      </c>
      <c r="AP126" s="85" t="s">
        <v>591</v>
      </c>
      <c r="AQ126" s="85" t="s">
        <v>597</v>
      </c>
    </row>
    <row r="127" spans="1:43" x14ac:dyDescent="0.35">
      <c r="A127" s="134" t="s">
        <v>602</v>
      </c>
      <c r="B127" s="48">
        <f>_xlfn.XLOOKUP(A127,T_Custos[Produto],T_Custos[Peso])</f>
        <v>1</v>
      </c>
      <c r="C127" s="49" t="str">
        <f>_xlfn.XLOOKUP(A127,T_Custos[Produto],T_Custos[Und])</f>
        <v>und</v>
      </c>
      <c r="D127" s="1"/>
      <c r="E127" s="1"/>
      <c r="F127" s="1"/>
      <c r="G127" s="1"/>
      <c r="H127" s="1"/>
      <c r="I127" s="1"/>
      <c r="J127" s="1"/>
      <c r="K127" s="85"/>
      <c r="L127" s="1"/>
      <c r="M127" s="1"/>
      <c r="N127" s="1"/>
      <c r="O127" s="1"/>
      <c r="P127" s="47" t="s">
        <v>253</v>
      </c>
      <c r="Q127" s="47" t="s">
        <v>254</v>
      </c>
      <c r="R127" s="1"/>
      <c r="S127" s="85" t="s">
        <v>442</v>
      </c>
      <c r="T127" s="85" t="s">
        <v>443</v>
      </c>
      <c r="U127" s="85" t="s">
        <v>444</v>
      </c>
      <c r="V127" s="85" t="s">
        <v>445</v>
      </c>
      <c r="W127" s="85" t="s">
        <v>446</v>
      </c>
      <c r="X127" s="85"/>
      <c r="Y127" s="85"/>
      <c r="Z127" s="85"/>
      <c r="AA127" s="85"/>
      <c r="AB127" s="85"/>
      <c r="AC127" s="85"/>
      <c r="AD127" s="85"/>
      <c r="AE127" s="85"/>
      <c r="AF127" s="85"/>
      <c r="AG127" s="85"/>
      <c r="AH127" s="85"/>
      <c r="AI127" s="85"/>
      <c r="AJ127" s="85"/>
      <c r="AK127" s="85"/>
      <c r="AL127" s="85"/>
      <c r="AM127" s="85"/>
      <c r="AN127" s="85"/>
      <c r="AO127" s="1"/>
      <c r="AP127" s="85"/>
      <c r="AQ127" s="85"/>
    </row>
    <row r="128" spans="1:43" x14ac:dyDescent="0.35">
      <c r="A128" s="134" t="s">
        <v>535</v>
      </c>
      <c r="B128" s="132">
        <f>_xlfn.XLOOKUP(A128,T_Custos[Produto],T_Custos[Peso])</f>
        <v>19</v>
      </c>
      <c r="C128" s="133" t="str">
        <f>_xlfn.XLOOKUP(A128,T_Custos[Produto],T_Custos[Und])</f>
        <v>kg</v>
      </c>
      <c r="D128" s="1" t="s">
        <v>252</v>
      </c>
      <c r="E128" s="1" t="s">
        <v>261</v>
      </c>
      <c r="F128" s="1" t="s">
        <v>248</v>
      </c>
      <c r="G128" s="1" t="s">
        <v>255</v>
      </c>
      <c r="H128" s="1" t="s">
        <v>258</v>
      </c>
      <c r="I128" s="1" t="s">
        <v>260</v>
      </c>
      <c r="J128" s="1" t="s">
        <v>492</v>
      </c>
      <c r="K128" s="85" t="s">
        <v>552</v>
      </c>
      <c r="L128" s="1" t="s">
        <v>259</v>
      </c>
      <c r="M128" s="1" t="s">
        <v>251</v>
      </c>
      <c r="N128" s="1" t="s">
        <v>257</v>
      </c>
      <c r="O128" s="1" t="s">
        <v>247</v>
      </c>
      <c r="P128" s="1"/>
      <c r="Q128" s="1"/>
      <c r="R128" s="1" t="s">
        <v>256</v>
      </c>
      <c r="S128" s="85" t="s">
        <v>442</v>
      </c>
      <c r="T128" s="85" t="s">
        <v>443</v>
      </c>
      <c r="U128" s="85" t="s">
        <v>444</v>
      </c>
      <c r="V128" s="85" t="s">
        <v>445</v>
      </c>
      <c r="W128" s="85" t="s">
        <v>446</v>
      </c>
      <c r="X128" s="85" t="s">
        <v>452</v>
      </c>
      <c r="Y128" s="85" t="s">
        <v>463</v>
      </c>
      <c r="Z128" s="85" t="s">
        <v>465</v>
      </c>
      <c r="AA128" s="85" t="s">
        <v>489</v>
      </c>
      <c r="AB128" s="85" t="s">
        <v>490</v>
      </c>
      <c r="AC128" s="85" t="s">
        <v>503</v>
      </c>
      <c r="AD128" s="85" t="s">
        <v>507</v>
      </c>
      <c r="AE128" s="85"/>
      <c r="AF128" s="85" t="s">
        <v>515</v>
      </c>
      <c r="AG128" s="85" t="s">
        <v>516</v>
      </c>
      <c r="AH128" s="85"/>
      <c r="AI128" s="85"/>
      <c r="AJ128" s="85"/>
      <c r="AK128" s="85"/>
      <c r="AL128" s="85"/>
      <c r="AM128" s="85" t="s">
        <v>537</v>
      </c>
      <c r="AN128" s="85" t="s">
        <v>538</v>
      </c>
      <c r="AO128" s="1" t="s">
        <v>559</v>
      </c>
      <c r="AP128" s="85" t="s">
        <v>591</v>
      </c>
      <c r="AQ128" s="85" t="s">
        <v>597</v>
      </c>
    </row>
    <row r="129" spans="1:43" x14ac:dyDescent="0.35">
      <c r="A129" s="134" t="s">
        <v>536</v>
      </c>
      <c r="B129" s="132">
        <f>_xlfn.XLOOKUP(A129,T_Custos[Produto],T_Custos[Peso])</f>
        <v>1</v>
      </c>
      <c r="C129" s="133" t="str">
        <f>_xlfn.XLOOKUP(A129,T_Custos[Produto],T_Custos[Und])</f>
        <v>und</v>
      </c>
      <c r="D129" s="1"/>
      <c r="E129" s="1"/>
      <c r="F129" s="1"/>
      <c r="G129" s="1"/>
      <c r="H129" s="1"/>
      <c r="I129" s="1"/>
      <c r="J129" s="1"/>
      <c r="K129" s="85"/>
      <c r="L129" s="1"/>
      <c r="M129" s="1"/>
      <c r="N129" s="1"/>
      <c r="O129" s="1"/>
      <c r="P129" s="47" t="s">
        <v>253</v>
      </c>
      <c r="Q129" s="47" t="s">
        <v>254</v>
      </c>
      <c r="R129" s="1"/>
      <c r="S129" s="85" t="s">
        <v>442</v>
      </c>
      <c r="T129" s="85" t="s">
        <v>443</v>
      </c>
      <c r="U129" s="85" t="s">
        <v>444</v>
      </c>
      <c r="V129" s="85" t="s">
        <v>445</v>
      </c>
      <c r="W129" s="85" t="s">
        <v>446</v>
      </c>
      <c r="X129" s="85"/>
      <c r="Y129" s="85"/>
      <c r="Z129" s="85"/>
      <c r="AA129" s="85"/>
      <c r="AB129" s="85"/>
      <c r="AC129" s="85"/>
      <c r="AD129" s="85"/>
      <c r="AE129" s="85"/>
      <c r="AF129" s="85"/>
      <c r="AG129" s="85"/>
      <c r="AH129" s="85"/>
      <c r="AI129" s="85"/>
      <c r="AJ129" s="85"/>
      <c r="AK129" s="85"/>
      <c r="AL129" s="85"/>
      <c r="AM129" s="85"/>
      <c r="AN129" s="85"/>
      <c r="AO129" s="1"/>
      <c r="AP129" s="85"/>
      <c r="AQ129" s="85"/>
    </row>
    <row r="130" spans="1:43" x14ac:dyDescent="0.35">
      <c r="A130" s="134" t="s">
        <v>478</v>
      </c>
      <c r="B130" s="48">
        <f>_xlfn.XLOOKUP(A130,T_Custos[Produto],T_Custos[Peso])</f>
        <v>1</v>
      </c>
      <c r="C130" s="49" t="str">
        <f>_xlfn.XLOOKUP(A130,T_Custos[Produto],T_Custos[Und])</f>
        <v>kg</v>
      </c>
      <c r="D130" s="1" t="s">
        <v>252</v>
      </c>
      <c r="E130" s="1" t="s">
        <v>261</v>
      </c>
      <c r="F130" s="1" t="s">
        <v>248</v>
      </c>
      <c r="G130" s="1" t="s">
        <v>255</v>
      </c>
      <c r="H130" s="1" t="s">
        <v>258</v>
      </c>
      <c r="I130" s="1" t="s">
        <v>260</v>
      </c>
      <c r="J130" s="1" t="s">
        <v>492</v>
      </c>
      <c r="K130" s="85" t="s">
        <v>552</v>
      </c>
      <c r="L130" s="1" t="s">
        <v>259</v>
      </c>
      <c r="M130" s="1" t="s">
        <v>251</v>
      </c>
      <c r="N130" s="1" t="s">
        <v>257</v>
      </c>
      <c r="O130" s="1" t="s">
        <v>247</v>
      </c>
      <c r="P130" s="1"/>
      <c r="Q130" s="1"/>
      <c r="R130" s="1" t="s">
        <v>256</v>
      </c>
      <c r="S130" s="85" t="s">
        <v>442</v>
      </c>
      <c r="T130" s="85" t="s">
        <v>443</v>
      </c>
      <c r="U130" s="85" t="s">
        <v>444</v>
      </c>
      <c r="V130" s="85" t="s">
        <v>445</v>
      </c>
      <c r="W130" s="85" t="s">
        <v>446</v>
      </c>
      <c r="X130" s="85" t="s">
        <v>452</v>
      </c>
      <c r="Y130" s="85"/>
      <c r="Z130" s="85"/>
      <c r="AA130" s="85" t="s">
        <v>489</v>
      </c>
      <c r="AB130" s="85" t="s">
        <v>490</v>
      </c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 t="s">
        <v>537</v>
      </c>
      <c r="AN130" s="85" t="s">
        <v>538</v>
      </c>
      <c r="AO130" s="1" t="s">
        <v>559</v>
      </c>
      <c r="AP130" s="85" t="s">
        <v>591</v>
      </c>
      <c r="AQ130" s="85" t="s">
        <v>597</v>
      </c>
    </row>
    <row r="131" spans="1:43" x14ac:dyDescent="0.35">
      <c r="A131" s="134" t="s">
        <v>408</v>
      </c>
      <c r="B131" s="48">
        <f>_xlfn.XLOOKUP(A131,T_Custos[Produto],T_Custos[Peso])</f>
        <v>1</v>
      </c>
      <c r="C131" s="49" t="str">
        <f>_xlfn.XLOOKUP(A131,T_Custos[Produto],T_Custos[Und])</f>
        <v>rd</v>
      </c>
      <c r="D131" s="1"/>
      <c r="E131" s="1"/>
      <c r="F131" s="1"/>
      <c r="G131" s="1"/>
      <c r="H131" s="1"/>
      <c r="I131" s="1"/>
      <c r="J131" s="1"/>
      <c r="K131" s="85"/>
      <c r="L131" s="1"/>
      <c r="M131" s="1"/>
      <c r="N131" s="1"/>
      <c r="O131" s="1"/>
      <c r="P131" s="47" t="s">
        <v>253</v>
      </c>
      <c r="Q131" s="47" t="s">
        <v>254</v>
      </c>
      <c r="R131" s="1"/>
      <c r="S131" s="85" t="s">
        <v>442</v>
      </c>
      <c r="T131" s="85" t="s">
        <v>443</v>
      </c>
      <c r="U131" s="85" t="s">
        <v>444</v>
      </c>
      <c r="V131" s="85" t="s">
        <v>445</v>
      </c>
      <c r="W131" s="85" t="s">
        <v>446</v>
      </c>
      <c r="X131" s="85" t="s">
        <v>452</v>
      </c>
      <c r="Y131" s="85"/>
      <c r="Z131" s="85"/>
      <c r="AA131" s="85"/>
      <c r="AB131" s="85"/>
      <c r="AC131" s="85"/>
      <c r="AD131" s="85"/>
      <c r="AE131" s="85"/>
      <c r="AF131" s="85"/>
      <c r="AG131" s="85"/>
      <c r="AH131" s="85"/>
      <c r="AI131" s="85"/>
      <c r="AJ131" s="85"/>
      <c r="AK131" s="85"/>
      <c r="AL131" s="85"/>
      <c r="AM131" s="85"/>
      <c r="AN131" s="85"/>
      <c r="AO131" s="1"/>
      <c r="AP131" s="85"/>
      <c r="AQ131" s="85"/>
    </row>
    <row r="132" spans="1:43" x14ac:dyDescent="0.35">
      <c r="A132" s="134" t="s">
        <v>48</v>
      </c>
      <c r="B132" s="48">
        <f>_xlfn.XLOOKUP(A132,T_Custos[Produto],T_Custos[Peso])</f>
        <v>19</v>
      </c>
      <c r="C132" s="49" t="str">
        <f>_xlfn.XLOOKUP(A132,T_Custos[Produto],T_Custos[Und])</f>
        <v>kg</v>
      </c>
      <c r="D132" s="1" t="s">
        <v>252</v>
      </c>
      <c r="E132" s="1" t="s">
        <v>261</v>
      </c>
      <c r="F132" s="1" t="s">
        <v>248</v>
      </c>
      <c r="G132" s="1" t="s">
        <v>255</v>
      </c>
      <c r="H132" s="1" t="s">
        <v>258</v>
      </c>
      <c r="I132" s="1" t="s">
        <v>260</v>
      </c>
      <c r="J132" s="1" t="s">
        <v>492</v>
      </c>
      <c r="K132" s="85" t="s">
        <v>552</v>
      </c>
      <c r="L132" s="1" t="s">
        <v>259</v>
      </c>
      <c r="M132" s="1" t="s">
        <v>251</v>
      </c>
      <c r="N132" s="1" t="s">
        <v>257</v>
      </c>
      <c r="O132" s="1" t="s">
        <v>247</v>
      </c>
      <c r="P132" s="1"/>
      <c r="Q132" s="1"/>
      <c r="R132" s="1" t="s">
        <v>256</v>
      </c>
      <c r="S132" s="85" t="s">
        <v>442</v>
      </c>
      <c r="T132" s="85" t="s">
        <v>443</v>
      </c>
      <c r="U132" s="85" t="s">
        <v>444</v>
      </c>
      <c r="V132" s="85" t="s">
        <v>445</v>
      </c>
      <c r="W132" s="85" t="s">
        <v>446</v>
      </c>
      <c r="X132" s="85" t="s">
        <v>452</v>
      </c>
      <c r="Y132" s="85" t="s">
        <v>463</v>
      </c>
      <c r="Z132" s="85"/>
      <c r="AA132" s="85" t="s">
        <v>489</v>
      </c>
      <c r="AB132" s="85" t="s">
        <v>490</v>
      </c>
      <c r="AC132" s="85"/>
      <c r="AD132" s="85"/>
      <c r="AE132" s="85"/>
      <c r="AF132" s="85"/>
      <c r="AG132" s="85" t="s">
        <v>516</v>
      </c>
      <c r="AH132" s="85"/>
      <c r="AI132" s="85" t="s">
        <v>518</v>
      </c>
      <c r="AJ132" s="85" t="s">
        <v>519</v>
      </c>
      <c r="AK132" s="85" t="s">
        <v>520</v>
      </c>
      <c r="AL132" s="85" t="s">
        <v>521</v>
      </c>
      <c r="AM132" s="85" t="s">
        <v>537</v>
      </c>
      <c r="AN132" s="85" t="s">
        <v>538</v>
      </c>
      <c r="AO132" s="1" t="s">
        <v>559</v>
      </c>
      <c r="AP132" s="85" t="s">
        <v>591</v>
      </c>
      <c r="AQ132" s="85" t="s">
        <v>597</v>
      </c>
    </row>
    <row r="133" spans="1:43" x14ac:dyDescent="0.35">
      <c r="A133" s="134" t="s">
        <v>409</v>
      </c>
      <c r="B133" s="48">
        <f>_xlfn.XLOOKUP(A133,T_Custos[Produto],T_Custos[Peso])</f>
        <v>1</v>
      </c>
      <c r="C133" s="49" t="str">
        <f>_xlfn.XLOOKUP(A133,T_Custos[Produto],T_Custos[Und])</f>
        <v>rd</v>
      </c>
      <c r="D133" s="1"/>
      <c r="E133" s="1"/>
      <c r="F133" s="1"/>
      <c r="G133" s="1"/>
      <c r="H133" s="1"/>
      <c r="I133" s="1"/>
      <c r="J133" s="1"/>
      <c r="K133" s="85"/>
      <c r="L133" s="1"/>
      <c r="M133" s="1"/>
      <c r="N133" s="1"/>
      <c r="O133" s="1"/>
      <c r="P133" s="47" t="s">
        <v>253</v>
      </c>
      <c r="Q133" s="47" t="s">
        <v>254</v>
      </c>
      <c r="R133" s="1"/>
      <c r="S133" s="85" t="s">
        <v>442</v>
      </c>
      <c r="T133" s="85" t="s">
        <v>443</v>
      </c>
      <c r="U133" s="85" t="s">
        <v>444</v>
      </c>
      <c r="V133" s="85" t="s">
        <v>445</v>
      </c>
      <c r="W133" s="85" t="s">
        <v>446</v>
      </c>
      <c r="X133" s="85" t="s">
        <v>452</v>
      </c>
      <c r="Y133" s="85"/>
      <c r="Z133" s="85"/>
      <c r="AA133" s="85"/>
      <c r="AB133" s="85"/>
      <c r="AC133" s="85"/>
      <c r="AD133" s="85"/>
      <c r="AE133" s="85"/>
      <c r="AF133" s="85"/>
      <c r="AG133" s="85"/>
      <c r="AH133" s="85"/>
      <c r="AI133" s="85"/>
      <c r="AJ133" s="85"/>
      <c r="AK133" s="85"/>
      <c r="AL133" s="85"/>
      <c r="AM133" s="85"/>
      <c r="AN133" s="85"/>
      <c r="AO133" s="1"/>
      <c r="AP133" s="85"/>
      <c r="AQ133" s="85"/>
    </row>
    <row r="134" spans="1:43" x14ac:dyDescent="0.35">
      <c r="A134" s="134" t="s">
        <v>480</v>
      </c>
      <c r="B134" s="48">
        <f>_xlfn.XLOOKUP(A134,T_Custos[Produto],T_Custos[Peso])</f>
        <v>1</v>
      </c>
      <c r="C134" s="49" t="str">
        <f>_xlfn.XLOOKUP(A134,T_Custos[Produto],T_Custos[Und])</f>
        <v>kg</v>
      </c>
      <c r="D134" s="1" t="s">
        <v>252</v>
      </c>
      <c r="E134" s="1" t="s">
        <v>261</v>
      </c>
      <c r="F134" s="1" t="s">
        <v>248</v>
      </c>
      <c r="G134" s="1" t="s">
        <v>255</v>
      </c>
      <c r="H134" s="1" t="s">
        <v>258</v>
      </c>
      <c r="I134" s="1" t="s">
        <v>260</v>
      </c>
      <c r="J134" s="1" t="s">
        <v>492</v>
      </c>
      <c r="K134" s="85" t="s">
        <v>552</v>
      </c>
      <c r="L134" s="1" t="s">
        <v>259</v>
      </c>
      <c r="M134" s="1" t="s">
        <v>251</v>
      </c>
      <c r="N134" s="1" t="s">
        <v>257</v>
      </c>
      <c r="O134" s="1" t="s">
        <v>247</v>
      </c>
      <c r="P134" s="1"/>
      <c r="Q134" s="1"/>
      <c r="R134" s="1" t="s">
        <v>256</v>
      </c>
      <c r="S134" s="85" t="s">
        <v>442</v>
      </c>
      <c r="T134" s="85" t="s">
        <v>443</v>
      </c>
      <c r="U134" s="85" t="s">
        <v>444</v>
      </c>
      <c r="V134" s="85" t="s">
        <v>445</v>
      </c>
      <c r="W134" s="85" t="s">
        <v>446</v>
      </c>
      <c r="X134" s="85" t="s">
        <v>452</v>
      </c>
      <c r="Y134" s="85"/>
      <c r="Z134" s="85"/>
      <c r="AA134" s="85"/>
      <c r="AB134" s="85"/>
      <c r="AC134" s="85"/>
      <c r="AD134" s="85"/>
      <c r="AE134" s="85"/>
      <c r="AF134" s="85"/>
      <c r="AG134" s="85"/>
      <c r="AH134" s="85"/>
      <c r="AI134" s="85"/>
      <c r="AJ134" s="85"/>
      <c r="AK134" s="85"/>
      <c r="AL134" s="85"/>
      <c r="AM134" s="85"/>
      <c r="AN134" s="85"/>
      <c r="AO134" s="1" t="s">
        <v>559</v>
      </c>
      <c r="AP134" s="85" t="s">
        <v>591</v>
      </c>
      <c r="AQ134" s="85" t="s">
        <v>597</v>
      </c>
    </row>
    <row r="135" spans="1:43" x14ac:dyDescent="0.35">
      <c r="A135" s="134" t="s">
        <v>372</v>
      </c>
      <c r="B135" s="48">
        <f>_xlfn.XLOOKUP(A135,T_Custos[Produto],T_Custos[Peso])</f>
        <v>1</v>
      </c>
      <c r="C135" s="49" t="str">
        <f>_xlfn.XLOOKUP(A135,T_Custos[Produto],T_Custos[Und])</f>
        <v>und</v>
      </c>
      <c r="D135" s="1"/>
      <c r="E135" s="1"/>
      <c r="F135" s="1"/>
      <c r="G135" s="1"/>
      <c r="H135" s="1"/>
      <c r="I135" s="1"/>
      <c r="J135" s="1"/>
      <c r="K135" s="85"/>
      <c r="L135" s="1"/>
      <c r="M135" s="1"/>
      <c r="N135" s="1"/>
      <c r="O135" s="1"/>
      <c r="P135" s="47" t="s">
        <v>253</v>
      </c>
      <c r="Q135" s="47" t="s">
        <v>254</v>
      </c>
      <c r="R135" s="1"/>
      <c r="S135" s="85" t="s">
        <v>442</v>
      </c>
      <c r="T135" s="85" t="s">
        <v>443</v>
      </c>
      <c r="U135" s="85" t="s">
        <v>444</v>
      </c>
      <c r="V135" s="85" t="s">
        <v>445</v>
      </c>
      <c r="W135" s="85" t="s">
        <v>446</v>
      </c>
      <c r="X135" s="85"/>
      <c r="Y135" s="85"/>
      <c r="Z135" s="85"/>
      <c r="AA135" s="85"/>
      <c r="AB135" s="85"/>
      <c r="AC135" s="85"/>
      <c r="AD135" s="85"/>
      <c r="AE135" s="85"/>
      <c r="AF135" s="85"/>
      <c r="AG135" s="85"/>
      <c r="AH135" s="85"/>
      <c r="AI135" s="85"/>
      <c r="AJ135" s="85"/>
      <c r="AK135" s="85"/>
      <c r="AL135" s="85"/>
      <c r="AM135" s="85"/>
      <c r="AN135" s="85"/>
      <c r="AO135" s="1"/>
      <c r="AP135" s="85"/>
      <c r="AQ135" s="85"/>
    </row>
    <row r="136" spans="1:43" x14ac:dyDescent="0.35">
      <c r="A136" s="134" t="s">
        <v>213</v>
      </c>
      <c r="B136" s="48">
        <f>_xlfn.XLOOKUP(A136,T_Custos[Produto],T_Custos[Peso])</f>
        <v>1</v>
      </c>
      <c r="C136" s="49" t="str">
        <f>_xlfn.XLOOKUP(A136,T_Custos[Produto],T_Custos[Und])</f>
        <v>un</v>
      </c>
      <c r="D136" s="1" t="s">
        <v>252</v>
      </c>
      <c r="E136" s="1" t="s">
        <v>261</v>
      </c>
      <c r="F136" s="1" t="s">
        <v>248</v>
      </c>
      <c r="G136" s="1" t="s">
        <v>255</v>
      </c>
      <c r="H136" s="1" t="s">
        <v>258</v>
      </c>
      <c r="I136" s="1" t="s">
        <v>260</v>
      </c>
      <c r="J136" s="1" t="s">
        <v>492</v>
      </c>
      <c r="K136" s="85" t="s">
        <v>552</v>
      </c>
      <c r="L136" s="1" t="s">
        <v>259</v>
      </c>
      <c r="M136" s="1" t="s">
        <v>251</v>
      </c>
      <c r="N136" s="1" t="s">
        <v>257</v>
      </c>
      <c r="O136" s="1" t="s">
        <v>247</v>
      </c>
      <c r="P136" s="1"/>
      <c r="Q136" s="1"/>
      <c r="R136" s="1" t="s">
        <v>256</v>
      </c>
      <c r="S136" s="85" t="s">
        <v>442</v>
      </c>
      <c r="T136" s="85" t="s">
        <v>443</v>
      </c>
      <c r="U136" s="85" t="s">
        <v>444</v>
      </c>
      <c r="V136" s="85" t="s">
        <v>445</v>
      </c>
      <c r="W136" s="85" t="s">
        <v>446</v>
      </c>
      <c r="X136" s="85"/>
      <c r="Y136" s="85"/>
      <c r="Z136" s="85"/>
      <c r="AA136" s="85" t="s">
        <v>489</v>
      </c>
      <c r="AB136" s="85" t="s">
        <v>490</v>
      </c>
      <c r="AC136" s="85"/>
      <c r="AD136" s="85"/>
      <c r="AE136" s="85"/>
      <c r="AF136" s="85"/>
      <c r="AG136" s="85"/>
      <c r="AH136" s="85"/>
      <c r="AI136" s="85"/>
      <c r="AJ136" s="85"/>
      <c r="AK136" s="85"/>
      <c r="AL136" s="85"/>
      <c r="AM136" s="85"/>
      <c r="AN136" s="85"/>
      <c r="AO136" s="1" t="s">
        <v>559</v>
      </c>
      <c r="AP136" s="85"/>
      <c r="AQ136" s="85" t="s">
        <v>597</v>
      </c>
    </row>
    <row r="137" spans="1:43" x14ac:dyDescent="0.35">
      <c r="A137" s="134" t="s">
        <v>198</v>
      </c>
      <c r="B137" s="48">
        <f>_xlfn.XLOOKUP(A137,T_Custos[Produto],T_Custos[Peso])</f>
        <v>1</v>
      </c>
      <c r="C137" s="49" t="str">
        <f>_xlfn.XLOOKUP(A137,T_Custos[Produto],T_Custos[Und])</f>
        <v>un</v>
      </c>
      <c r="D137" s="1" t="s">
        <v>252</v>
      </c>
      <c r="E137" s="1" t="s">
        <v>261</v>
      </c>
      <c r="F137" s="1" t="s">
        <v>248</v>
      </c>
      <c r="G137" s="1" t="s">
        <v>255</v>
      </c>
      <c r="H137" s="1" t="s">
        <v>258</v>
      </c>
      <c r="I137" s="1" t="s">
        <v>260</v>
      </c>
      <c r="J137" s="1" t="s">
        <v>492</v>
      </c>
      <c r="K137" s="85" t="s">
        <v>552</v>
      </c>
      <c r="L137" s="1" t="s">
        <v>259</v>
      </c>
      <c r="M137" s="1" t="s">
        <v>251</v>
      </c>
      <c r="N137" s="1" t="s">
        <v>257</v>
      </c>
      <c r="O137" s="1" t="s">
        <v>247</v>
      </c>
      <c r="P137" s="1"/>
      <c r="Q137" s="1"/>
      <c r="R137" s="1" t="s">
        <v>256</v>
      </c>
      <c r="S137" s="85" t="s">
        <v>442</v>
      </c>
      <c r="T137" s="85" t="s">
        <v>443</v>
      </c>
      <c r="U137" s="85" t="s">
        <v>444</v>
      </c>
      <c r="V137" s="85" t="s">
        <v>445</v>
      </c>
      <c r="W137" s="85" t="s">
        <v>446</v>
      </c>
      <c r="X137" s="85"/>
      <c r="Y137" s="85" t="s">
        <v>463</v>
      </c>
      <c r="Z137" s="85"/>
      <c r="AA137" s="85" t="s">
        <v>489</v>
      </c>
      <c r="AB137" s="85" t="s">
        <v>490</v>
      </c>
      <c r="AC137" s="85"/>
      <c r="AD137" s="85" t="s">
        <v>507</v>
      </c>
      <c r="AE137" s="85"/>
      <c r="AF137" s="85"/>
      <c r="AG137" s="85"/>
      <c r="AH137" s="85"/>
      <c r="AI137" s="85"/>
      <c r="AJ137" s="85"/>
      <c r="AK137" s="85"/>
      <c r="AL137" s="85"/>
      <c r="AM137" s="85"/>
      <c r="AN137" s="85"/>
      <c r="AO137" s="1" t="s">
        <v>559</v>
      </c>
      <c r="AP137" s="85"/>
      <c r="AQ137" s="85" t="s">
        <v>597</v>
      </c>
    </row>
    <row r="138" spans="1:43" x14ac:dyDescent="0.35">
      <c r="A138" s="134" t="s">
        <v>573</v>
      </c>
      <c r="B138" s="64">
        <f>_xlfn.XLOOKUP(A138,T_Custos[Produto],T_Custos[Peso])</f>
        <v>1</v>
      </c>
      <c r="C138" s="65" t="str">
        <f>_xlfn.XLOOKUP(A138,T_Custos[Produto],T_Custos[Und])</f>
        <v>kg</v>
      </c>
      <c r="D138" s="1"/>
      <c r="E138" s="1"/>
      <c r="F138" s="1"/>
      <c r="G138" s="1"/>
      <c r="H138" s="1"/>
      <c r="I138" s="1"/>
      <c r="J138" s="1"/>
      <c r="K138" s="85"/>
      <c r="L138" s="1"/>
      <c r="M138" s="1"/>
      <c r="N138" s="1"/>
      <c r="O138" s="1"/>
      <c r="P138" s="1"/>
      <c r="Q138" s="1"/>
      <c r="R138" s="1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C138" s="85"/>
      <c r="AD138" s="85"/>
      <c r="AE138" s="85"/>
      <c r="AF138" s="85"/>
      <c r="AG138" s="85"/>
      <c r="AH138" s="85"/>
      <c r="AI138" s="85"/>
      <c r="AJ138" s="85"/>
      <c r="AK138" s="85"/>
      <c r="AL138" s="85"/>
      <c r="AM138" s="85"/>
      <c r="AN138" s="85"/>
      <c r="AO138" s="85"/>
      <c r="AP138" s="85" t="s">
        <v>591</v>
      </c>
      <c r="AQ138" s="85"/>
    </row>
    <row r="139" spans="1:43" x14ac:dyDescent="0.35">
      <c r="A139" s="134" t="s">
        <v>49</v>
      </c>
      <c r="B139" s="48">
        <f>_xlfn.XLOOKUP(A139,T_Custos[Produto],T_Custos[Peso])</f>
        <v>20</v>
      </c>
      <c r="C139" s="49" t="str">
        <f>_xlfn.XLOOKUP(A139,T_Custos[Produto],T_Custos[Und])</f>
        <v>kg</v>
      </c>
      <c r="D139" s="1" t="s">
        <v>252</v>
      </c>
      <c r="E139" s="1" t="s">
        <v>261</v>
      </c>
      <c r="F139" s="1" t="s">
        <v>248</v>
      </c>
      <c r="G139" s="1" t="s">
        <v>255</v>
      </c>
      <c r="H139" s="1" t="s">
        <v>258</v>
      </c>
      <c r="I139" s="1" t="s">
        <v>260</v>
      </c>
      <c r="J139" s="1" t="s">
        <v>492</v>
      </c>
      <c r="K139" s="85" t="s">
        <v>552</v>
      </c>
      <c r="L139" s="1" t="s">
        <v>259</v>
      </c>
      <c r="M139" s="1" t="s">
        <v>251</v>
      </c>
      <c r="N139" s="1" t="s">
        <v>257</v>
      </c>
      <c r="O139" s="1" t="s">
        <v>247</v>
      </c>
      <c r="P139" s="1"/>
      <c r="Q139" s="1"/>
      <c r="R139" s="1" t="s">
        <v>256</v>
      </c>
      <c r="S139" s="85" t="s">
        <v>442</v>
      </c>
      <c r="T139" s="85" t="s">
        <v>443</v>
      </c>
      <c r="U139" s="85" t="s">
        <v>444</v>
      </c>
      <c r="V139" s="85" t="s">
        <v>445</v>
      </c>
      <c r="W139" s="85" t="s">
        <v>446</v>
      </c>
      <c r="X139" s="85" t="s">
        <v>452</v>
      </c>
      <c r="Y139" s="85" t="s">
        <v>463</v>
      </c>
      <c r="Z139" s="85" t="s">
        <v>465</v>
      </c>
      <c r="AA139" s="85" t="s">
        <v>489</v>
      </c>
      <c r="AB139" s="85" t="s">
        <v>490</v>
      </c>
      <c r="AC139" s="85"/>
      <c r="AD139" s="85"/>
      <c r="AE139" s="85"/>
      <c r="AF139" s="85" t="s">
        <v>515</v>
      </c>
      <c r="AG139" s="85" t="s">
        <v>516</v>
      </c>
      <c r="AH139" s="85" t="s">
        <v>517</v>
      </c>
      <c r="AI139" s="85" t="s">
        <v>518</v>
      </c>
      <c r="AJ139" s="85" t="s">
        <v>519</v>
      </c>
      <c r="AK139" s="85" t="s">
        <v>520</v>
      </c>
      <c r="AL139" s="85" t="s">
        <v>521</v>
      </c>
      <c r="AM139" s="85" t="s">
        <v>537</v>
      </c>
      <c r="AN139" s="85" t="s">
        <v>538</v>
      </c>
      <c r="AO139" s="1" t="s">
        <v>559</v>
      </c>
      <c r="AP139" s="85" t="s">
        <v>591</v>
      </c>
      <c r="AQ139" s="85" t="s">
        <v>597</v>
      </c>
    </row>
    <row r="140" spans="1:43" x14ac:dyDescent="0.35">
      <c r="A140" s="134" t="s">
        <v>373</v>
      </c>
      <c r="B140" s="48">
        <f>_xlfn.XLOOKUP(A140,T_Custos[Produto],T_Custos[Peso])</f>
        <v>1</v>
      </c>
      <c r="C140" s="49" t="str">
        <f>_xlfn.XLOOKUP(A140,T_Custos[Produto],T_Custos[Und])</f>
        <v>und</v>
      </c>
      <c r="D140" s="1"/>
      <c r="E140" s="1"/>
      <c r="F140" s="1"/>
      <c r="G140" s="1"/>
      <c r="H140" s="1"/>
      <c r="I140" s="1"/>
      <c r="J140" s="1"/>
      <c r="K140" s="85"/>
      <c r="L140" s="1"/>
      <c r="M140" s="1"/>
      <c r="N140" s="1"/>
      <c r="O140" s="1"/>
      <c r="P140" s="47" t="s">
        <v>253</v>
      </c>
      <c r="Q140" s="47" t="s">
        <v>254</v>
      </c>
      <c r="R140" s="1"/>
      <c r="S140" s="85" t="s">
        <v>442</v>
      </c>
      <c r="T140" s="85" t="s">
        <v>443</v>
      </c>
      <c r="U140" s="85" t="s">
        <v>444</v>
      </c>
      <c r="V140" s="85" t="s">
        <v>445</v>
      </c>
      <c r="W140" s="85" t="s">
        <v>446</v>
      </c>
      <c r="X140" s="85"/>
      <c r="Y140" s="85"/>
      <c r="Z140" s="85"/>
      <c r="AA140" s="85"/>
      <c r="AB140" s="85"/>
      <c r="AC140" s="85"/>
      <c r="AD140" s="85"/>
      <c r="AE140" s="85"/>
      <c r="AF140" s="85"/>
      <c r="AG140" s="85"/>
      <c r="AH140" s="85"/>
      <c r="AI140" s="85"/>
      <c r="AJ140" s="85"/>
      <c r="AK140" s="85"/>
      <c r="AL140" s="85"/>
      <c r="AM140" s="85"/>
      <c r="AN140" s="85"/>
      <c r="AO140" s="1"/>
      <c r="AP140" s="85"/>
      <c r="AQ140" s="85"/>
    </row>
    <row r="141" spans="1:43" x14ac:dyDescent="0.35">
      <c r="A141" s="134" t="s">
        <v>51</v>
      </c>
      <c r="B141" s="48">
        <f>_xlfn.XLOOKUP(A141,T_Custos[Produto],T_Custos[Peso])</f>
        <v>20</v>
      </c>
      <c r="C141" s="49" t="str">
        <f>_xlfn.XLOOKUP(A141,T_Custos[Produto],T_Custos[Und])</f>
        <v>kg</v>
      </c>
      <c r="D141" s="1" t="s">
        <v>252</v>
      </c>
      <c r="E141" s="1" t="s">
        <v>261</v>
      </c>
      <c r="F141" s="1" t="s">
        <v>248</v>
      </c>
      <c r="G141" s="1" t="s">
        <v>255</v>
      </c>
      <c r="H141" s="1" t="s">
        <v>258</v>
      </c>
      <c r="I141" s="1" t="s">
        <v>260</v>
      </c>
      <c r="J141" s="1" t="s">
        <v>492</v>
      </c>
      <c r="K141" s="85" t="s">
        <v>552</v>
      </c>
      <c r="L141" s="1" t="s">
        <v>259</v>
      </c>
      <c r="M141" s="1" t="s">
        <v>251</v>
      </c>
      <c r="N141" s="1" t="s">
        <v>257</v>
      </c>
      <c r="O141" s="1" t="s">
        <v>247</v>
      </c>
      <c r="P141" s="1"/>
      <c r="Q141" s="1"/>
      <c r="R141" s="1" t="s">
        <v>256</v>
      </c>
      <c r="S141" s="85" t="s">
        <v>442</v>
      </c>
      <c r="T141" s="85" t="s">
        <v>443</v>
      </c>
      <c r="U141" s="85" t="s">
        <v>444</v>
      </c>
      <c r="V141" s="85" t="s">
        <v>445</v>
      </c>
      <c r="W141" s="85" t="s">
        <v>446</v>
      </c>
      <c r="X141" s="85" t="s">
        <v>452</v>
      </c>
      <c r="Y141" s="85"/>
      <c r="Z141" s="85"/>
      <c r="AA141" s="85" t="s">
        <v>489</v>
      </c>
      <c r="AB141" s="85" t="s">
        <v>490</v>
      </c>
      <c r="AC141" s="85" t="s">
        <v>503</v>
      </c>
      <c r="AD141" s="85" t="s">
        <v>507</v>
      </c>
      <c r="AE141" s="85" t="s">
        <v>509</v>
      </c>
      <c r="AF141" s="85"/>
      <c r="AG141" s="85"/>
      <c r="AH141" s="85"/>
      <c r="AI141" s="85"/>
      <c r="AJ141" s="85"/>
      <c r="AK141" s="85"/>
      <c r="AL141" s="85"/>
      <c r="AM141" s="85"/>
      <c r="AN141" s="85"/>
      <c r="AO141" s="1" t="s">
        <v>559</v>
      </c>
      <c r="AP141" s="85"/>
      <c r="AQ141" s="85" t="s">
        <v>597</v>
      </c>
    </row>
    <row r="142" spans="1:43" x14ac:dyDescent="0.35">
      <c r="A142" s="134" t="s">
        <v>50</v>
      </c>
      <c r="B142" s="48">
        <f>_xlfn.XLOOKUP(A142,T_Custos[Produto],T_Custos[Peso])</f>
        <v>20</v>
      </c>
      <c r="C142" s="49" t="str">
        <f>_xlfn.XLOOKUP(A142,T_Custos[Produto],T_Custos[Und])</f>
        <v>kg</v>
      </c>
      <c r="D142" s="1" t="s">
        <v>252</v>
      </c>
      <c r="E142" s="1" t="s">
        <v>261</v>
      </c>
      <c r="F142" s="1" t="s">
        <v>248</v>
      </c>
      <c r="G142" s="1" t="s">
        <v>255</v>
      </c>
      <c r="H142" s="1" t="s">
        <v>258</v>
      </c>
      <c r="I142" s="1" t="s">
        <v>260</v>
      </c>
      <c r="J142" s="1" t="s">
        <v>492</v>
      </c>
      <c r="K142" s="85" t="s">
        <v>552</v>
      </c>
      <c r="L142" s="1" t="s">
        <v>259</v>
      </c>
      <c r="M142" s="1" t="s">
        <v>251</v>
      </c>
      <c r="N142" s="1" t="s">
        <v>257</v>
      </c>
      <c r="O142" s="1" t="s">
        <v>247</v>
      </c>
      <c r="P142" s="1"/>
      <c r="Q142" s="1"/>
      <c r="R142" s="1" t="s">
        <v>256</v>
      </c>
      <c r="S142" s="85" t="s">
        <v>442</v>
      </c>
      <c r="T142" s="85" t="s">
        <v>443</v>
      </c>
      <c r="U142" s="85" t="s">
        <v>444</v>
      </c>
      <c r="V142" s="85" t="s">
        <v>445</v>
      </c>
      <c r="W142" s="85" t="s">
        <v>446</v>
      </c>
      <c r="X142" s="85" t="s">
        <v>452</v>
      </c>
      <c r="Y142" s="85"/>
      <c r="Z142" s="85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5"/>
      <c r="AO142" s="1" t="s">
        <v>559</v>
      </c>
      <c r="AP142" s="85" t="s">
        <v>591</v>
      </c>
      <c r="AQ142" s="85" t="s">
        <v>597</v>
      </c>
    </row>
    <row r="143" spans="1:43" x14ac:dyDescent="0.35">
      <c r="A143" s="134" t="s">
        <v>52</v>
      </c>
      <c r="B143" s="48">
        <f>_xlfn.XLOOKUP(A143,T_Custos[Produto],T_Custos[Peso])</f>
        <v>5</v>
      </c>
      <c r="C143" s="49" t="str">
        <f>_xlfn.XLOOKUP(A143,T_Custos[Produto],T_Custos[Und])</f>
        <v>kg</v>
      </c>
      <c r="D143" s="1" t="s">
        <v>252</v>
      </c>
      <c r="E143" s="1" t="s">
        <v>261</v>
      </c>
      <c r="F143" s="1" t="s">
        <v>248</v>
      </c>
      <c r="G143" s="1" t="s">
        <v>255</v>
      </c>
      <c r="H143" s="1" t="s">
        <v>258</v>
      </c>
      <c r="I143" s="1" t="s">
        <v>260</v>
      </c>
      <c r="J143" s="1" t="s">
        <v>492</v>
      </c>
      <c r="K143" s="85" t="s">
        <v>552</v>
      </c>
      <c r="L143" s="1" t="s">
        <v>259</v>
      </c>
      <c r="M143" s="1" t="s">
        <v>251</v>
      </c>
      <c r="N143" s="1" t="s">
        <v>257</v>
      </c>
      <c r="O143" s="1" t="s">
        <v>247</v>
      </c>
      <c r="P143" s="1"/>
      <c r="Q143" s="1"/>
      <c r="R143" s="1" t="s">
        <v>256</v>
      </c>
      <c r="S143" s="85" t="s">
        <v>442</v>
      </c>
      <c r="T143" s="85" t="s">
        <v>443</v>
      </c>
      <c r="U143" s="85" t="s">
        <v>444</v>
      </c>
      <c r="V143" s="85" t="s">
        <v>445</v>
      </c>
      <c r="W143" s="85" t="s">
        <v>446</v>
      </c>
      <c r="X143" s="85" t="s">
        <v>452</v>
      </c>
      <c r="Y143" s="85"/>
      <c r="Z143" s="85"/>
      <c r="AA143" s="85" t="s">
        <v>489</v>
      </c>
      <c r="AB143" s="85" t="s">
        <v>490</v>
      </c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5"/>
      <c r="AO143" s="1" t="s">
        <v>559</v>
      </c>
      <c r="AP143" s="85" t="s">
        <v>591</v>
      </c>
      <c r="AQ143" s="85" t="s">
        <v>597</v>
      </c>
    </row>
    <row r="144" spans="1:43" x14ac:dyDescent="0.35">
      <c r="A144" s="134" t="s">
        <v>534</v>
      </c>
      <c r="B144" s="132">
        <f>_xlfn.XLOOKUP(A144,T_Custos[Produto],T_Custos[Peso])</f>
        <v>10</v>
      </c>
      <c r="C144" s="133" t="str">
        <f>_xlfn.XLOOKUP(A144,T_Custos[Produto],T_Custos[Und])</f>
        <v>kg</v>
      </c>
      <c r="D144" s="1" t="s">
        <v>252</v>
      </c>
      <c r="E144" s="1" t="s">
        <v>261</v>
      </c>
      <c r="F144" s="1" t="s">
        <v>248</v>
      </c>
      <c r="G144" s="1" t="s">
        <v>255</v>
      </c>
      <c r="H144" s="1" t="s">
        <v>258</v>
      </c>
      <c r="I144" s="1" t="s">
        <v>260</v>
      </c>
      <c r="J144" s="1" t="s">
        <v>492</v>
      </c>
      <c r="K144" s="85" t="s">
        <v>552</v>
      </c>
      <c r="L144" s="1" t="s">
        <v>259</v>
      </c>
      <c r="M144" s="1" t="s">
        <v>251</v>
      </c>
      <c r="N144" s="1" t="s">
        <v>257</v>
      </c>
      <c r="O144" s="1" t="s">
        <v>247</v>
      </c>
      <c r="P144" s="1"/>
      <c r="Q144" s="1"/>
      <c r="R144" s="1" t="s">
        <v>256</v>
      </c>
      <c r="S144" s="85" t="s">
        <v>442</v>
      </c>
      <c r="T144" s="85" t="s">
        <v>443</v>
      </c>
      <c r="U144" s="85" t="s">
        <v>444</v>
      </c>
      <c r="V144" s="85" t="s">
        <v>445</v>
      </c>
      <c r="W144" s="85" t="s">
        <v>446</v>
      </c>
      <c r="X144" s="85" t="s">
        <v>452</v>
      </c>
      <c r="Y144" s="85"/>
      <c r="Z144" s="85"/>
      <c r="AA144" s="85" t="s">
        <v>489</v>
      </c>
      <c r="AB144" s="85" t="s">
        <v>490</v>
      </c>
      <c r="AC144" s="85"/>
      <c r="AD144" s="85"/>
      <c r="AE144" s="85"/>
      <c r="AF144" s="85"/>
      <c r="AG144" s="85"/>
      <c r="AH144" s="85"/>
      <c r="AI144" s="85"/>
      <c r="AJ144" s="85"/>
      <c r="AK144" s="85"/>
      <c r="AL144" s="85"/>
      <c r="AM144" s="85"/>
      <c r="AN144" s="85"/>
      <c r="AO144" s="1" t="s">
        <v>559</v>
      </c>
      <c r="AP144" s="85" t="s">
        <v>591</v>
      </c>
      <c r="AQ144" s="85" t="s">
        <v>597</v>
      </c>
    </row>
    <row r="145" spans="1:43" x14ac:dyDescent="0.35">
      <c r="A145" s="85" t="s">
        <v>458</v>
      </c>
      <c r="B145" s="48">
        <f>_xlfn.XLOOKUP(A145,T_Custos[Produto],T_Custos[Peso])</f>
        <v>1</v>
      </c>
      <c r="C145" s="49" t="str">
        <f>_xlfn.XLOOKUP(A145,T_Custos[Produto],T_Custos[Und])</f>
        <v>bd</v>
      </c>
      <c r="D145" s="1" t="s">
        <v>252</v>
      </c>
      <c r="E145" s="1" t="s">
        <v>261</v>
      </c>
      <c r="F145" s="1" t="s">
        <v>248</v>
      </c>
      <c r="G145" s="1" t="s">
        <v>255</v>
      </c>
      <c r="H145" s="1" t="s">
        <v>258</v>
      </c>
      <c r="I145" s="1" t="s">
        <v>260</v>
      </c>
      <c r="J145" s="1" t="s">
        <v>492</v>
      </c>
      <c r="K145" s="85" t="s">
        <v>552</v>
      </c>
      <c r="L145" s="1" t="s">
        <v>259</v>
      </c>
      <c r="M145" s="1" t="s">
        <v>251</v>
      </c>
      <c r="N145" s="1" t="s">
        <v>257</v>
      </c>
      <c r="O145" s="1" t="s">
        <v>247</v>
      </c>
      <c r="P145" s="1"/>
      <c r="Q145" s="1"/>
      <c r="R145" s="1" t="s">
        <v>256</v>
      </c>
      <c r="S145" s="85" t="s">
        <v>442</v>
      </c>
      <c r="T145" s="85" t="s">
        <v>443</v>
      </c>
      <c r="U145" s="85" t="s">
        <v>444</v>
      </c>
      <c r="V145" s="85" t="s">
        <v>445</v>
      </c>
      <c r="W145" s="85" t="s">
        <v>446</v>
      </c>
      <c r="X145" s="85" t="s">
        <v>452</v>
      </c>
      <c r="Y145" s="85"/>
      <c r="Z145" s="85"/>
      <c r="AA145" s="85"/>
      <c r="AB145" s="85"/>
      <c r="AC145" s="85"/>
      <c r="AD145" s="85"/>
      <c r="AE145" s="85"/>
      <c r="AF145" s="85"/>
      <c r="AG145" s="85"/>
      <c r="AH145" s="85"/>
      <c r="AI145" s="85"/>
      <c r="AJ145" s="85"/>
      <c r="AK145" s="85"/>
      <c r="AL145" s="85"/>
      <c r="AM145" s="85"/>
      <c r="AN145" s="85"/>
      <c r="AO145" s="1" t="s">
        <v>559</v>
      </c>
      <c r="AP145" s="85" t="s">
        <v>591</v>
      </c>
      <c r="AQ145" s="85" t="s">
        <v>597</v>
      </c>
    </row>
    <row r="146" spans="1:43" x14ac:dyDescent="0.35">
      <c r="A146" s="134" t="s">
        <v>531</v>
      </c>
      <c r="B146" s="48">
        <f>_xlfn.XLOOKUP(A146,T_Custos[Produto],T_Custos[Peso])</f>
        <v>5</v>
      </c>
      <c r="C146" s="49" t="str">
        <f>_xlfn.XLOOKUP(A146,T_Custos[Produto],T_Custos[Und])</f>
        <v>kg</v>
      </c>
      <c r="D146" s="1" t="s">
        <v>252</v>
      </c>
      <c r="E146" s="1" t="s">
        <v>261</v>
      </c>
      <c r="F146" s="1" t="s">
        <v>248</v>
      </c>
      <c r="G146" s="1" t="s">
        <v>255</v>
      </c>
      <c r="H146" s="1" t="s">
        <v>258</v>
      </c>
      <c r="I146" s="1" t="s">
        <v>260</v>
      </c>
      <c r="J146" s="1" t="s">
        <v>492</v>
      </c>
      <c r="K146" s="85" t="s">
        <v>552</v>
      </c>
      <c r="L146" s="1" t="s">
        <v>259</v>
      </c>
      <c r="M146" s="1" t="s">
        <v>251</v>
      </c>
      <c r="N146" s="1" t="s">
        <v>257</v>
      </c>
      <c r="O146" s="1" t="s">
        <v>247</v>
      </c>
      <c r="P146" s="1"/>
      <c r="Q146" s="1"/>
      <c r="R146" s="1" t="s">
        <v>256</v>
      </c>
      <c r="S146" s="85" t="s">
        <v>442</v>
      </c>
      <c r="T146" s="85" t="s">
        <v>443</v>
      </c>
      <c r="U146" s="85" t="s">
        <v>444</v>
      </c>
      <c r="V146" s="85" t="s">
        <v>445</v>
      </c>
      <c r="W146" s="85" t="s">
        <v>446</v>
      </c>
      <c r="X146" s="85" t="s">
        <v>452</v>
      </c>
      <c r="Y146" s="85"/>
      <c r="Z146" s="85"/>
      <c r="AA146" s="85" t="s">
        <v>489</v>
      </c>
      <c r="AB146" s="85" t="s">
        <v>490</v>
      </c>
      <c r="AC146" s="85"/>
      <c r="AD146" s="85"/>
      <c r="AE146" s="85"/>
      <c r="AF146" s="85"/>
      <c r="AG146" s="85"/>
      <c r="AH146" s="85"/>
      <c r="AI146" s="85"/>
      <c r="AJ146" s="85"/>
      <c r="AK146" s="85"/>
      <c r="AL146" s="85"/>
      <c r="AM146" s="85"/>
      <c r="AN146" s="85"/>
      <c r="AO146" s="1" t="s">
        <v>559</v>
      </c>
      <c r="AP146" s="85" t="s">
        <v>591</v>
      </c>
      <c r="AQ146" s="85" t="s">
        <v>597</v>
      </c>
    </row>
    <row r="147" spans="1:43" x14ac:dyDescent="0.35">
      <c r="A147" s="134" t="s">
        <v>475</v>
      </c>
      <c r="B147" s="48">
        <f>_xlfn.XLOOKUP(A147,T_Custos[Produto],T_Custos[Peso])</f>
        <v>1</v>
      </c>
      <c r="C147" s="49" t="str">
        <f>_xlfn.XLOOKUP(A147,T_Custos[Produto],T_Custos[Und])</f>
        <v>un</v>
      </c>
      <c r="D147" s="1" t="s">
        <v>252</v>
      </c>
      <c r="E147" s="1" t="s">
        <v>261</v>
      </c>
      <c r="F147" s="1" t="s">
        <v>248</v>
      </c>
      <c r="G147" s="1" t="s">
        <v>255</v>
      </c>
      <c r="H147" s="1" t="s">
        <v>258</v>
      </c>
      <c r="I147" s="1" t="s">
        <v>260</v>
      </c>
      <c r="J147" s="1" t="s">
        <v>492</v>
      </c>
      <c r="K147" s="85" t="s">
        <v>552</v>
      </c>
      <c r="L147" s="1" t="s">
        <v>259</v>
      </c>
      <c r="M147" s="1" t="s">
        <v>251</v>
      </c>
      <c r="N147" s="1" t="s">
        <v>257</v>
      </c>
      <c r="O147" s="1" t="s">
        <v>247</v>
      </c>
      <c r="P147" s="1"/>
      <c r="Q147" s="1"/>
      <c r="R147" s="1" t="s">
        <v>256</v>
      </c>
      <c r="S147" s="85" t="s">
        <v>442</v>
      </c>
      <c r="T147" s="85" t="s">
        <v>443</v>
      </c>
      <c r="U147" s="85" t="s">
        <v>444</v>
      </c>
      <c r="V147" s="85" t="s">
        <v>445</v>
      </c>
      <c r="W147" s="85" t="s">
        <v>446</v>
      </c>
      <c r="X147" s="85"/>
      <c r="Y147" s="85"/>
      <c r="Z147" s="85"/>
      <c r="AA147" s="85" t="s">
        <v>489</v>
      </c>
      <c r="AB147" s="85" t="s">
        <v>490</v>
      </c>
      <c r="AC147" s="85"/>
      <c r="AD147" s="85"/>
      <c r="AE147" s="85"/>
      <c r="AF147" s="85"/>
      <c r="AG147" s="85"/>
      <c r="AH147" s="85"/>
      <c r="AI147" s="85"/>
      <c r="AJ147" s="85"/>
      <c r="AK147" s="85"/>
      <c r="AL147" s="85"/>
      <c r="AM147" s="85"/>
      <c r="AN147" s="85"/>
      <c r="AO147" s="1" t="s">
        <v>559</v>
      </c>
      <c r="AP147" s="85"/>
      <c r="AQ147" s="85" t="s">
        <v>597</v>
      </c>
    </row>
    <row r="148" spans="1:43" x14ac:dyDescent="0.35">
      <c r="A148" s="134" t="s">
        <v>199</v>
      </c>
      <c r="B148" s="48">
        <f>_xlfn.XLOOKUP(A148,T_Custos[Produto],T_Custos[Peso])</f>
        <v>1</v>
      </c>
      <c r="C148" s="49" t="str">
        <f>_xlfn.XLOOKUP(A148,T_Custos[Produto],T_Custos[Und])</f>
        <v>un</v>
      </c>
      <c r="D148" s="1" t="s">
        <v>252</v>
      </c>
      <c r="E148" s="1" t="s">
        <v>261</v>
      </c>
      <c r="F148" s="1" t="s">
        <v>248</v>
      </c>
      <c r="G148" s="1" t="s">
        <v>255</v>
      </c>
      <c r="H148" s="1" t="s">
        <v>258</v>
      </c>
      <c r="I148" s="1" t="s">
        <v>260</v>
      </c>
      <c r="J148" s="1" t="s">
        <v>492</v>
      </c>
      <c r="K148" s="85" t="s">
        <v>552</v>
      </c>
      <c r="L148" s="1" t="s">
        <v>259</v>
      </c>
      <c r="M148" s="1" t="s">
        <v>251</v>
      </c>
      <c r="N148" s="1" t="s">
        <v>257</v>
      </c>
      <c r="O148" s="1" t="s">
        <v>247</v>
      </c>
      <c r="P148" s="1"/>
      <c r="Q148" s="1"/>
      <c r="R148" s="1" t="s">
        <v>256</v>
      </c>
      <c r="S148" s="85" t="s">
        <v>442</v>
      </c>
      <c r="T148" s="85" t="s">
        <v>443</v>
      </c>
      <c r="U148" s="85" t="s">
        <v>444</v>
      </c>
      <c r="V148" s="85" t="s">
        <v>445</v>
      </c>
      <c r="W148" s="85" t="s">
        <v>446</v>
      </c>
      <c r="X148" s="85"/>
      <c r="Y148" s="85"/>
      <c r="Z148" s="85" t="s">
        <v>465</v>
      </c>
      <c r="AA148" s="85" t="s">
        <v>489</v>
      </c>
      <c r="AB148" s="85" t="s">
        <v>490</v>
      </c>
      <c r="AC148" s="85" t="s">
        <v>503</v>
      </c>
      <c r="AD148" s="85"/>
      <c r="AE148" s="85"/>
      <c r="AF148" s="85"/>
      <c r="AG148" s="85"/>
      <c r="AH148" s="85"/>
      <c r="AI148" s="85"/>
      <c r="AJ148" s="85"/>
      <c r="AK148" s="85"/>
      <c r="AL148" s="85"/>
      <c r="AM148" s="85"/>
      <c r="AN148" s="85"/>
      <c r="AO148" s="1" t="s">
        <v>559</v>
      </c>
      <c r="AP148" s="85"/>
      <c r="AQ148" s="85" t="s">
        <v>597</v>
      </c>
    </row>
    <row r="149" spans="1:43" x14ac:dyDescent="0.35">
      <c r="A149" s="134" t="s">
        <v>410</v>
      </c>
      <c r="B149" s="48">
        <f>_xlfn.XLOOKUP(A149,T_Custos[Produto],T_Custos[Peso])</f>
        <v>1</v>
      </c>
      <c r="C149" s="49" t="str">
        <f>_xlfn.XLOOKUP(A149,T_Custos[Produto],T_Custos[Und])</f>
        <v>pc</v>
      </c>
      <c r="D149" s="1"/>
      <c r="E149" s="1"/>
      <c r="F149" s="1"/>
      <c r="G149" s="1"/>
      <c r="H149" s="1"/>
      <c r="I149" s="1"/>
      <c r="J149" s="1"/>
      <c r="K149" s="85"/>
      <c r="L149" s="1"/>
      <c r="M149" s="1"/>
      <c r="N149" s="1"/>
      <c r="O149" s="1"/>
      <c r="P149" s="47" t="s">
        <v>253</v>
      </c>
      <c r="Q149" s="47" t="s">
        <v>254</v>
      </c>
      <c r="R149" s="1"/>
      <c r="S149" s="85" t="s">
        <v>442</v>
      </c>
      <c r="T149" s="85" t="s">
        <v>443</v>
      </c>
      <c r="U149" s="85" t="s">
        <v>444</v>
      </c>
      <c r="V149" s="85" t="s">
        <v>445</v>
      </c>
      <c r="W149" s="85" t="s">
        <v>446</v>
      </c>
      <c r="X149" s="85" t="s">
        <v>452</v>
      </c>
      <c r="Y149" s="85"/>
      <c r="Z149" s="85"/>
      <c r="AA149" s="85"/>
      <c r="AB149" s="85"/>
      <c r="AC149" s="85"/>
      <c r="AD149" s="85"/>
      <c r="AE149" s="85"/>
      <c r="AF149" s="85"/>
      <c r="AG149" s="85"/>
      <c r="AH149" s="85"/>
      <c r="AI149" s="85"/>
      <c r="AJ149" s="85"/>
      <c r="AK149" s="85"/>
      <c r="AL149" s="85"/>
      <c r="AM149" s="85"/>
      <c r="AN149" s="85"/>
      <c r="AO149" s="1"/>
      <c r="AP149" s="85"/>
      <c r="AQ149" s="85"/>
    </row>
    <row r="150" spans="1:43" x14ac:dyDescent="0.35">
      <c r="A150" s="134" t="s">
        <v>574</v>
      </c>
      <c r="B150" s="64">
        <f>_xlfn.XLOOKUP(A150,T_Custos[Produto],T_Custos[Peso])</f>
        <v>1</v>
      </c>
      <c r="C150" s="65" t="str">
        <f>_xlfn.XLOOKUP(A150,T_Custos[Produto],T_Custos[Und])</f>
        <v>kg</v>
      </c>
      <c r="D150" s="1"/>
      <c r="E150" s="1"/>
      <c r="F150" s="1"/>
      <c r="G150" s="1"/>
      <c r="H150" s="1"/>
      <c r="I150" s="1"/>
      <c r="J150" s="1"/>
      <c r="K150" s="85"/>
      <c r="L150" s="1"/>
      <c r="M150" s="1"/>
      <c r="N150" s="1"/>
      <c r="O150" s="1"/>
      <c r="P150" s="1"/>
      <c r="Q150" s="1"/>
      <c r="R150" s="1"/>
      <c r="S150" s="85"/>
      <c r="T150" s="85"/>
      <c r="U150" s="85"/>
      <c r="V150" s="85"/>
      <c r="W150" s="85"/>
      <c r="X150" s="85"/>
      <c r="Y150" s="85"/>
      <c r="Z150" s="85"/>
      <c r="AA150" s="85"/>
      <c r="AB150" s="85"/>
      <c r="AC150" s="85"/>
      <c r="AD150" s="85"/>
      <c r="AE150" s="85"/>
      <c r="AF150" s="85"/>
      <c r="AG150" s="85"/>
      <c r="AH150" s="85"/>
      <c r="AI150" s="85"/>
      <c r="AJ150" s="85"/>
      <c r="AK150" s="85"/>
      <c r="AL150" s="85"/>
      <c r="AM150" s="85"/>
      <c r="AN150" s="85"/>
      <c r="AO150" s="85"/>
      <c r="AP150" s="85" t="s">
        <v>591</v>
      </c>
      <c r="AQ150" s="85"/>
    </row>
    <row r="151" spans="1:43" x14ac:dyDescent="0.35">
      <c r="A151" s="134" t="s">
        <v>575</v>
      </c>
      <c r="B151" s="64">
        <f>_xlfn.XLOOKUP(A151,T_Custos[Produto],T_Custos[Peso])</f>
        <v>1</v>
      </c>
      <c r="C151" s="65" t="str">
        <f>_xlfn.XLOOKUP(A151,T_Custos[Produto],T_Custos[Und])</f>
        <v>kg</v>
      </c>
      <c r="D151" s="1"/>
      <c r="E151" s="1"/>
      <c r="F151" s="1"/>
      <c r="G151" s="1"/>
      <c r="H151" s="1"/>
      <c r="I151" s="1"/>
      <c r="J151" s="1"/>
      <c r="K151" s="85"/>
      <c r="L151" s="1"/>
      <c r="M151" s="1"/>
      <c r="N151" s="1"/>
      <c r="O151" s="1"/>
      <c r="P151" s="1"/>
      <c r="Q151" s="1"/>
      <c r="R151" s="1"/>
      <c r="S151" s="85"/>
      <c r="T151" s="85"/>
      <c r="U151" s="85"/>
      <c r="V151" s="85"/>
      <c r="W151" s="85"/>
      <c r="X151" s="85"/>
      <c r="Y151" s="85"/>
      <c r="Z151" s="85"/>
      <c r="AA151" s="85"/>
      <c r="AB151" s="85"/>
      <c r="AC151" s="85"/>
      <c r="AD151" s="85"/>
      <c r="AE151" s="85"/>
      <c r="AF151" s="85"/>
      <c r="AG151" s="85"/>
      <c r="AH151" s="85"/>
      <c r="AI151" s="85"/>
      <c r="AJ151" s="85"/>
      <c r="AK151" s="85"/>
      <c r="AL151" s="85"/>
      <c r="AM151" s="85"/>
      <c r="AN151" s="85"/>
      <c r="AO151" s="85"/>
      <c r="AP151" s="85" t="s">
        <v>591</v>
      </c>
      <c r="AQ151" s="85"/>
    </row>
    <row r="152" spans="1:43" x14ac:dyDescent="0.35">
      <c r="A152" s="134" t="s">
        <v>226</v>
      </c>
      <c r="B152" s="48">
        <f>_xlfn.XLOOKUP(A152,T_Custos[Produto],T_Custos[Peso])</f>
        <v>1</v>
      </c>
      <c r="C152" s="49" t="str">
        <f>_xlfn.XLOOKUP(A152,T_Custos[Produto],T_Custos[Und])</f>
        <v>un</v>
      </c>
      <c r="D152" s="1" t="s">
        <v>252</v>
      </c>
      <c r="E152" s="1" t="s">
        <v>261</v>
      </c>
      <c r="F152" s="1" t="s">
        <v>248</v>
      </c>
      <c r="G152" s="1" t="s">
        <v>255</v>
      </c>
      <c r="H152" s="1" t="s">
        <v>258</v>
      </c>
      <c r="I152" s="1" t="s">
        <v>260</v>
      </c>
      <c r="J152" s="1" t="s">
        <v>492</v>
      </c>
      <c r="K152" s="85" t="s">
        <v>552</v>
      </c>
      <c r="L152" s="1" t="s">
        <v>259</v>
      </c>
      <c r="M152" s="1" t="s">
        <v>251</v>
      </c>
      <c r="N152" s="1" t="s">
        <v>257</v>
      </c>
      <c r="O152" s="1" t="s">
        <v>247</v>
      </c>
      <c r="P152" s="1"/>
      <c r="Q152" s="1"/>
      <c r="R152" s="1" t="s">
        <v>256</v>
      </c>
      <c r="S152" s="85" t="s">
        <v>442</v>
      </c>
      <c r="T152" s="85" t="s">
        <v>443</v>
      </c>
      <c r="U152" s="85" t="s">
        <v>444</v>
      </c>
      <c r="V152" s="85" t="s">
        <v>445</v>
      </c>
      <c r="W152" s="85" t="s">
        <v>446</v>
      </c>
      <c r="X152" s="85"/>
      <c r="Y152" s="85"/>
      <c r="Z152" s="85" t="s">
        <v>465</v>
      </c>
      <c r="AA152" s="85" t="s">
        <v>489</v>
      </c>
      <c r="AB152" s="85" t="s">
        <v>490</v>
      </c>
      <c r="AC152" s="85" t="s">
        <v>503</v>
      </c>
      <c r="AD152" s="85"/>
      <c r="AE152" s="85"/>
      <c r="AF152" s="85"/>
      <c r="AG152" s="85"/>
      <c r="AH152" s="85"/>
      <c r="AI152" s="85"/>
      <c r="AJ152" s="85"/>
      <c r="AK152" s="85"/>
      <c r="AL152" s="85"/>
      <c r="AM152" s="85"/>
      <c r="AN152" s="85"/>
      <c r="AO152" s="1" t="s">
        <v>559</v>
      </c>
      <c r="AP152" s="85"/>
      <c r="AQ152" s="85" t="s">
        <v>597</v>
      </c>
    </row>
    <row r="153" spans="1:43" x14ac:dyDescent="0.35">
      <c r="A153" s="134" t="s">
        <v>53</v>
      </c>
      <c r="B153" s="48">
        <f>_xlfn.XLOOKUP(A153,T_Custos[Produto],T_Custos[Peso])</f>
        <v>18</v>
      </c>
      <c r="C153" s="49" t="str">
        <f>_xlfn.XLOOKUP(A153,T_Custos[Produto],T_Custos[Und])</f>
        <v>kg</v>
      </c>
      <c r="D153" s="1" t="s">
        <v>252</v>
      </c>
      <c r="E153" s="1" t="s">
        <v>261</v>
      </c>
      <c r="F153" s="1" t="s">
        <v>248</v>
      </c>
      <c r="G153" s="1" t="s">
        <v>255</v>
      </c>
      <c r="H153" s="1" t="s">
        <v>258</v>
      </c>
      <c r="I153" s="1" t="s">
        <v>260</v>
      </c>
      <c r="J153" s="1" t="s">
        <v>492</v>
      </c>
      <c r="K153" s="85" t="s">
        <v>552</v>
      </c>
      <c r="L153" s="1" t="s">
        <v>259</v>
      </c>
      <c r="M153" s="1" t="s">
        <v>251</v>
      </c>
      <c r="N153" s="1" t="s">
        <v>257</v>
      </c>
      <c r="O153" s="1" t="s">
        <v>247</v>
      </c>
      <c r="P153" s="1"/>
      <c r="Q153" s="1"/>
      <c r="R153" s="1" t="s">
        <v>256</v>
      </c>
      <c r="S153" s="85" t="s">
        <v>442</v>
      </c>
      <c r="T153" s="85" t="s">
        <v>443</v>
      </c>
      <c r="U153" s="85" t="s">
        <v>444</v>
      </c>
      <c r="V153" s="85" t="s">
        <v>445</v>
      </c>
      <c r="W153" s="85" t="s">
        <v>446</v>
      </c>
      <c r="X153" s="85" t="s">
        <v>452</v>
      </c>
      <c r="Y153" s="85" t="s">
        <v>463</v>
      </c>
      <c r="Z153" s="85" t="s">
        <v>465</v>
      </c>
      <c r="AA153" s="85" t="s">
        <v>489</v>
      </c>
      <c r="AB153" s="85" t="s">
        <v>490</v>
      </c>
      <c r="AC153" s="85" t="s">
        <v>503</v>
      </c>
      <c r="AD153" s="85" t="s">
        <v>507</v>
      </c>
      <c r="AE153" s="85" t="s">
        <v>509</v>
      </c>
      <c r="AF153" s="85" t="s">
        <v>515</v>
      </c>
      <c r="AG153" s="85" t="s">
        <v>516</v>
      </c>
      <c r="AH153" s="85" t="s">
        <v>517</v>
      </c>
      <c r="AI153" s="85" t="s">
        <v>518</v>
      </c>
      <c r="AJ153" s="85" t="s">
        <v>519</v>
      </c>
      <c r="AK153" s="85"/>
      <c r="AL153" s="85" t="s">
        <v>521</v>
      </c>
      <c r="AM153" s="85" t="s">
        <v>537</v>
      </c>
      <c r="AN153" s="85" t="s">
        <v>538</v>
      </c>
      <c r="AO153" s="1" t="s">
        <v>559</v>
      </c>
      <c r="AP153" s="85" t="s">
        <v>591</v>
      </c>
      <c r="AQ153" s="85" t="s">
        <v>597</v>
      </c>
    </row>
    <row r="154" spans="1:43" x14ac:dyDescent="0.35">
      <c r="A154" s="134" t="s">
        <v>374</v>
      </c>
      <c r="B154" s="48">
        <f>_xlfn.XLOOKUP(A154,T_Custos[Produto],T_Custos[Peso])</f>
        <v>1</v>
      </c>
      <c r="C154" s="49" t="str">
        <f>_xlfn.XLOOKUP(A154,T_Custos[Produto],T_Custos[Und])</f>
        <v>und</v>
      </c>
      <c r="D154" s="1"/>
      <c r="E154" s="1"/>
      <c r="F154" s="1"/>
      <c r="G154" s="1"/>
      <c r="H154" s="1"/>
      <c r="I154" s="1"/>
      <c r="J154" s="1"/>
      <c r="K154" s="85"/>
      <c r="L154" s="1"/>
      <c r="M154" s="1"/>
      <c r="N154" s="1"/>
      <c r="O154" s="1"/>
      <c r="P154" s="47" t="s">
        <v>253</v>
      </c>
      <c r="Q154" s="47" t="s">
        <v>254</v>
      </c>
      <c r="R154" s="1"/>
      <c r="S154" s="85" t="s">
        <v>442</v>
      </c>
      <c r="T154" s="85" t="s">
        <v>443</v>
      </c>
      <c r="U154" s="85" t="s">
        <v>444</v>
      </c>
      <c r="V154" s="85" t="s">
        <v>445</v>
      </c>
      <c r="W154" s="85" t="s">
        <v>446</v>
      </c>
      <c r="X154" s="85"/>
      <c r="Y154" s="85"/>
      <c r="Z154" s="85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5"/>
      <c r="AO154" s="1"/>
      <c r="AP154" s="85"/>
      <c r="AQ154" s="85"/>
    </row>
    <row r="155" spans="1:43" x14ac:dyDescent="0.35">
      <c r="A155" s="134" t="s">
        <v>54</v>
      </c>
      <c r="B155" s="48">
        <f>_xlfn.XLOOKUP(A155,T_Custos[Produto],T_Custos[Peso])</f>
        <v>15</v>
      </c>
      <c r="C155" s="49" t="str">
        <f>_xlfn.XLOOKUP(A155,T_Custos[Produto],T_Custos[Und])</f>
        <v>kg</v>
      </c>
      <c r="D155" s="1" t="s">
        <v>252</v>
      </c>
      <c r="E155" s="1" t="s">
        <v>261</v>
      </c>
      <c r="F155" s="1" t="s">
        <v>248</v>
      </c>
      <c r="G155" s="1" t="s">
        <v>255</v>
      </c>
      <c r="H155" s="1" t="s">
        <v>258</v>
      </c>
      <c r="I155" s="1" t="s">
        <v>260</v>
      </c>
      <c r="J155" s="1" t="s">
        <v>492</v>
      </c>
      <c r="K155" s="85" t="s">
        <v>552</v>
      </c>
      <c r="L155" s="1" t="s">
        <v>259</v>
      </c>
      <c r="M155" s="1" t="s">
        <v>251</v>
      </c>
      <c r="N155" s="1" t="s">
        <v>257</v>
      </c>
      <c r="O155" s="1" t="s">
        <v>247</v>
      </c>
      <c r="P155" s="1"/>
      <c r="Q155" s="1"/>
      <c r="R155" s="1" t="s">
        <v>256</v>
      </c>
      <c r="S155" s="85" t="s">
        <v>442</v>
      </c>
      <c r="T155" s="85" t="s">
        <v>443</v>
      </c>
      <c r="U155" s="85" t="s">
        <v>444</v>
      </c>
      <c r="V155" s="85" t="s">
        <v>445</v>
      </c>
      <c r="W155" s="85" t="s">
        <v>446</v>
      </c>
      <c r="X155" s="85" t="s">
        <v>452</v>
      </c>
      <c r="Y155" s="85"/>
      <c r="Z155" s="85"/>
      <c r="AA155" s="85" t="s">
        <v>489</v>
      </c>
      <c r="AB155" s="85" t="s">
        <v>490</v>
      </c>
      <c r="AC155" s="85"/>
      <c r="AD155" s="85"/>
      <c r="AE155" s="85"/>
      <c r="AF155" s="85"/>
      <c r="AG155" s="85"/>
      <c r="AH155" s="85"/>
      <c r="AI155" s="85"/>
      <c r="AJ155" s="85"/>
      <c r="AK155" s="85"/>
      <c r="AL155" s="85"/>
      <c r="AM155" s="85" t="s">
        <v>537</v>
      </c>
      <c r="AN155" s="85" t="s">
        <v>538</v>
      </c>
      <c r="AO155" s="1" t="s">
        <v>559</v>
      </c>
      <c r="AP155" s="85" t="s">
        <v>591</v>
      </c>
      <c r="AQ155" s="85" t="s">
        <v>597</v>
      </c>
    </row>
    <row r="156" spans="1:43" x14ac:dyDescent="0.35">
      <c r="A156" s="85" t="s">
        <v>55</v>
      </c>
      <c r="B156" s="48">
        <f>_xlfn.XLOOKUP(A156,T_Custos[Produto],T_Custos[Peso])</f>
        <v>1</v>
      </c>
      <c r="C156" s="49" t="str">
        <f>_xlfn.XLOOKUP(A156,T_Custos[Produto],T_Custos[Und])</f>
        <v>un</v>
      </c>
      <c r="D156" s="1" t="s">
        <v>252</v>
      </c>
      <c r="E156" s="1" t="s">
        <v>261</v>
      </c>
      <c r="F156" s="1" t="s">
        <v>248</v>
      </c>
      <c r="G156" s="1" t="s">
        <v>255</v>
      </c>
      <c r="H156" s="1" t="s">
        <v>258</v>
      </c>
      <c r="I156" s="1" t="s">
        <v>260</v>
      </c>
      <c r="J156" s="1" t="s">
        <v>492</v>
      </c>
      <c r="K156" s="85" t="s">
        <v>552</v>
      </c>
      <c r="L156" s="1" t="s">
        <v>259</v>
      </c>
      <c r="M156" s="1" t="s">
        <v>251</v>
      </c>
      <c r="N156" s="1" t="s">
        <v>257</v>
      </c>
      <c r="O156" s="1" t="s">
        <v>247</v>
      </c>
      <c r="P156" s="1"/>
      <c r="Q156" s="1"/>
      <c r="R156" s="1" t="s">
        <v>256</v>
      </c>
      <c r="S156" s="85" t="s">
        <v>442</v>
      </c>
      <c r="T156" s="85" t="s">
        <v>443</v>
      </c>
      <c r="U156" s="85" t="s">
        <v>444</v>
      </c>
      <c r="V156" s="85" t="s">
        <v>445</v>
      </c>
      <c r="W156" s="85" t="s">
        <v>446</v>
      </c>
      <c r="X156" s="85"/>
      <c r="Y156" s="85"/>
      <c r="Z156" s="85"/>
      <c r="AA156" s="85"/>
      <c r="AB156" s="85"/>
      <c r="AC156" s="85"/>
      <c r="AD156" s="85"/>
      <c r="AE156" s="85"/>
      <c r="AF156" s="85"/>
      <c r="AG156" s="85"/>
      <c r="AH156" s="85"/>
      <c r="AI156" s="85"/>
      <c r="AJ156" s="85"/>
      <c r="AK156" s="85"/>
      <c r="AL156" s="85"/>
      <c r="AM156" s="85"/>
      <c r="AN156" s="85"/>
      <c r="AO156" s="1" t="s">
        <v>559</v>
      </c>
      <c r="AP156" s="85" t="s">
        <v>591</v>
      </c>
      <c r="AQ156" s="85" t="s">
        <v>597</v>
      </c>
    </row>
    <row r="157" spans="1:43" x14ac:dyDescent="0.35">
      <c r="A157" s="134" t="s">
        <v>56</v>
      </c>
      <c r="B157" s="48">
        <f>_xlfn.XLOOKUP(A157,T_Custos[Produto],T_Custos[Peso])</f>
        <v>1</v>
      </c>
      <c r="C157" s="49" t="str">
        <f>_xlfn.XLOOKUP(A157,T_Custos[Produto],T_Custos[Und])</f>
        <v>un</v>
      </c>
      <c r="D157" s="1" t="s">
        <v>252</v>
      </c>
      <c r="E157" s="1" t="s">
        <v>261</v>
      </c>
      <c r="F157" s="1" t="s">
        <v>248</v>
      </c>
      <c r="G157" s="1" t="s">
        <v>255</v>
      </c>
      <c r="H157" s="1" t="s">
        <v>258</v>
      </c>
      <c r="I157" s="1" t="s">
        <v>260</v>
      </c>
      <c r="J157" s="1" t="s">
        <v>492</v>
      </c>
      <c r="K157" s="85" t="s">
        <v>552</v>
      </c>
      <c r="L157" s="1" t="s">
        <v>259</v>
      </c>
      <c r="M157" s="1" t="s">
        <v>251</v>
      </c>
      <c r="N157" s="1" t="s">
        <v>257</v>
      </c>
      <c r="O157" s="1" t="s">
        <v>247</v>
      </c>
      <c r="P157" s="1"/>
      <c r="Q157" s="1"/>
      <c r="R157" s="1" t="s">
        <v>256</v>
      </c>
      <c r="S157" s="85" t="s">
        <v>442</v>
      </c>
      <c r="T157" s="85" t="s">
        <v>443</v>
      </c>
      <c r="U157" s="85" t="s">
        <v>444</v>
      </c>
      <c r="V157" s="85" t="s">
        <v>445</v>
      </c>
      <c r="W157" s="85" t="s">
        <v>446</v>
      </c>
      <c r="X157" s="85"/>
      <c r="Y157" s="85"/>
      <c r="Z157" s="85"/>
      <c r="AA157" s="85" t="s">
        <v>489</v>
      </c>
      <c r="AB157" s="85" t="s">
        <v>490</v>
      </c>
      <c r="AC157" s="85"/>
      <c r="AD157" s="85"/>
      <c r="AE157" s="85"/>
      <c r="AF157" s="85"/>
      <c r="AG157" s="85"/>
      <c r="AH157" s="85"/>
      <c r="AI157" s="85"/>
      <c r="AJ157" s="85"/>
      <c r="AK157" s="85"/>
      <c r="AL157" s="85"/>
      <c r="AM157" s="85" t="s">
        <v>537</v>
      </c>
      <c r="AN157" s="85" t="s">
        <v>538</v>
      </c>
      <c r="AO157" s="1" t="s">
        <v>559</v>
      </c>
      <c r="AP157" s="85" t="s">
        <v>591</v>
      </c>
      <c r="AQ157" s="85" t="s">
        <v>597</v>
      </c>
    </row>
    <row r="158" spans="1:43" x14ac:dyDescent="0.35">
      <c r="A158" s="134" t="s">
        <v>200</v>
      </c>
      <c r="B158" s="48">
        <f>_xlfn.XLOOKUP(A158,T_Custos[Produto],T_Custos[Peso])</f>
        <v>1</v>
      </c>
      <c r="C158" s="49" t="str">
        <f>_xlfn.XLOOKUP(A158,T_Custos[Produto],T_Custos[Und])</f>
        <v>un</v>
      </c>
      <c r="D158" s="1" t="s">
        <v>252</v>
      </c>
      <c r="E158" s="1" t="s">
        <v>261</v>
      </c>
      <c r="F158" s="1" t="s">
        <v>248</v>
      </c>
      <c r="G158" s="1" t="s">
        <v>255</v>
      </c>
      <c r="H158" s="1" t="s">
        <v>258</v>
      </c>
      <c r="I158" s="1" t="s">
        <v>260</v>
      </c>
      <c r="J158" s="1" t="s">
        <v>492</v>
      </c>
      <c r="K158" s="85" t="s">
        <v>552</v>
      </c>
      <c r="L158" s="1" t="s">
        <v>259</v>
      </c>
      <c r="M158" s="1" t="s">
        <v>251</v>
      </c>
      <c r="N158" s="1" t="s">
        <v>257</v>
      </c>
      <c r="O158" s="1" t="s">
        <v>247</v>
      </c>
      <c r="P158" s="1"/>
      <c r="Q158" s="1"/>
      <c r="R158" s="1" t="s">
        <v>256</v>
      </c>
      <c r="S158" s="85" t="s">
        <v>442</v>
      </c>
      <c r="T158" s="85" t="s">
        <v>443</v>
      </c>
      <c r="U158" s="85" t="s">
        <v>444</v>
      </c>
      <c r="V158" s="85" t="s">
        <v>445</v>
      </c>
      <c r="W158" s="85" t="s">
        <v>446</v>
      </c>
      <c r="X158" s="85"/>
      <c r="Y158" s="85" t="s">
        <v>463</v>
      </c>
      <c r="Z158" s="85"/>
      <c r="AA158" s="85" t="s">
        <v>489</v>
      </c>
      <c r="AB158" s="85" t="s">
        <v>490</v>
      </c>
      <c r="AC158" s="85" t="s">
        <v>503</v>
      </c>
      <c r="AD158" s="85" t="s">
        <v>507</v>
      </c>
      <c r="AE158" s="85" t="s">
        <v>509</v>
      </c>
      <c r="AF158" s="85"/>
      <c r="AG158" s="85"/>
      <c r="AH158" s="85"/>
      <c r="AI158" s="85"/>
      <c r="AJ158" s="85"/>
      <c r="AK158" s="85"/>
      <c r="AL158" s="85"/>
      <c r="AM158" s="85"/>
      <c r="AN158" s="85"/>
      <c r="AO158" s="1" t="s">
        <v>559</v>
      </c>
      <c r="AP158" s="85"/>
      <c r="AQ158" s="85" t="s">
        <v>597</v>
      </c>
    </row>
    <row r="159" spans="1:43" x14ac:dyDescent="0.35">
      <c r="A159" s="134" t="s">
        <v>576</v>
      </c>
      <c r="B159" s="64">
        <f>_xlfn.XLOOKUP(A159,T_Custos[Produto],T_Custos[Peso])</f>
        <v>1</v>
      </c>
      <c r="C159" s="65" t="str">
        <f>_xlfn.XLOOKUP(A159,T_Custos[Produto],T_Custos[Und])</f>
        <v>kg</v>
      </c>
      <c r="D159" s="1"/>
      <c r="E159" s="1"/>
      <c r="F159" s="1"/>
      <c r="G159" s="1"/>
      <c r="H159" s="1"/>
      <c r="I159" s="1"/>
      <c r="J159" s="1"/>
      <c r="K159" s="85"/>
      <c r="L159" s="1"/>
      <c r="M159" s="1"/>
      <c r="N159" s="1"/>
      <c r="O159" s="1"/>
      <c r="P159" s="1"/>
      <c r="Q159" s="1"/>
      <c r="R159" s="1"/>
      <c r="S159" s="85"/>
      <c r="T159" s="85"/>
      <c r="U159" s="85"/>
      <c r="V159" s="85"/>
      <c r="W159" s="85"/>
      <c r="X159" s="85"/>
      <c r="Y159" s="85"/>
      <c r="Z159" s="85"/>
      <c r="AA159" s="85"/>
      <c r="AB159" s="85"/>
      <c r="AC159" s="85"/>
      <c r="AD159" s="85"/>
      <c r="AE159" s="85"/>
      <c r="AF159" s="85"/>
      <c r="AG159" s="85"/>
      <c r="AH159" s="85"/>
      <c r="AI159" s="85"/>
      <c r="AJ159" s="85"/>
      <c r="AK159" s="85"/>
      <c r="AL159" s="85"/>
      <c r="AM159" s="85"/>
      <c r="AN159" s="85"/>
      <c r="AO159" s="85"/>
      <c r="AP159" s="85" t="s">
        <v>591</v>
      </c>
      <c r="AQ159" s="85"/>
    </row>
    <row r="160" spans="1:43" x14ac:dyDescent="0.35">
      <c r="A160" s="134" t="s">
        <v>411</v>
      </c>
      <c r="B160" s="48">
        <f>_xlfn.XLOOKUP(A160,T_Custos[Produto],T_Custos[Peso])</f>
        <v>1</v>
      </c>
      <c r="C160" s="49" t="str">
        <f>_xlfn.XLOOKUP(A160,T_Custos[Produto],T_Custos[Und])</f>
        <v>bd</v>
      </c>
      <c r="D160" s="1" t="s">
        <v>252</v>
      </c>
      <c r="E160" s="1"/>
      <c r="F160" s="1"/>
      <c r="G160" s="1"/>
      <c r="H160" s="1"/>
      <c r="I160" s="1"/>
      <c r="J160" s="1"/>
      <c r="K160" s="85"/>
      <c r="L160" s="1"/>
      <c r="M160" s="1"/>
      <c r="N160" s="1"/>
      <c r="O160" s="1"/>
      <c r="P160" s="47" t="s">
        <v>253</v>
      </c>
      <c r="Q160" s="47" t="s">
        <v>254</v>
      </c>
      <c r="R160" s="1"/>
      <c r="S160" s="85" t="s">
        <v>442</v>
      </c>
      <c r="T160" s="85" t="s">
        <v>443</v>
      </c>
      <c r="U160" s="85" t="s">
        <v>444</v>
      </c>
      <c r="V160" s="85" t="s">
        <v>445</v>
      </c>
      <c r="W160" s="85" t="s">
        <v>446</v>
      </c>
      <c r="X160" s="85" t="s">
        <v>452</v>
      </c>
      <c r="Y160" s="85"/>
      <c r="Z160" s="85"/>
      <c r="AA160" s="85"/>
      <c r="AB160" s="85"/>
      <c r="AC160" s="85"/>
      <c r="AD160" s="85"/>
      <c r="AE160" s="85"/>
      <c r="AF160" s="85"/>
      <c r="AG160" s="85"/>
      <c r="AH160" s="85"/>
      <c r="AI160" s="85"/>
      <c r="AJ160" s="85"/>
      <c r="AK160" s="85"/>
      <c r="AL160" s="85"/>
      <c r="AM160" s="85"/>
      <c r="AN160" s="85"/>
      <c r="AO160" s="1"/>
      <c r="AP160" s="85"/>
      <c r="AQ160" s="85"/>
    </row>
    <row r="161" spans="1:43" x14ac:dyDescent="0.35">
      <c r="A161" s="134" t="s">
        <v>412</v>
      </c>
      <c r="B161" s="48">
        <f>_xlfn.XLOOKUP(A161,T_Custos[Produto],T_Custos[Peso])</f>
        <v>1</v>
      </c>
      <c r="C161" s="49" t="str">
        <f>_xlfn.XLOOKUP(A161,T_Custos[Produto],T_Custos[Und])</f>
        <v>bd</v>
      </c>
      <c r="D161" s="1" t="s">
        <v>252</v>
      </c>
      <c r="E161" s="1"/>
      <c r="F161" s="1"/>
      <c r="G161" s="1"/>
      <c r="H161" s="1"/>
      <c r="I161" s="1"/>
      <c r="J161" s="1" t="s">
        <v>492</v>
      </c>
      <c r="K161" s="85"/>
      <c r="L161" s="1"/>
      <c r="M161" s="1"/>
      <c r="N161" s="1"/>
      <c r="O161" s="1"/>
      <c r="P161" s="47" t="s">
        <v>253</v>
      </c>
      <c r="Q161" s="47" t="s">
        <v>254</v>
      </c>
      <c r="R161" s="1" t="s">
        <v>256</v>
      </c>
      <c r="S161" s="85" t="s">
        <v>442</v>
      </c>
      <c r="T161" s="85" t="s">
        <v>443</v>
      </c>
      <c r="U161" s="85" t="s">
        <v>444</v>
      </c>
      <c r="V161" s="85" t="s">
        <v>445</v>
      </c>
      <c r="W161" s="85" t="s">
        <v>446</v>
      </c>
      <c r="X161" s="85" t="s">
        <v>452</v>
      </c>
      <c r="Y161" s="85"/>
      <c r="Z161" s="85"/>
      <c r="AA161" s="85"/>
      <c r="AB161" s="85"/>
      <c r="AC161" s="85"/>
      <c r="AD161" s="85"/>
      <c r="AE161" s="85"/>
      <c r="AF161" s="85"/>
      <c r="AG161" s="85"/>
      <c r="AH161" s="85"/>
      <c r="AI161" s="85"/>
      <c r="AJ161" s="85"/>
      <c r="AK161" s="85"/>
      <c r="AL161" s="85"/>
      <c r="AM161" s="85"/>
      <c r="AN161" s="85"/>
      <c r="AO161" s="1"/>
      <c r="AP161" s="85"/>
      <c r="AQ161" s="85"/>
    </row>
    <row r="162" spans="1:43" x14ac:dyDescent="0.35">
      <c r="A162" s="134" t="s">
        <v>413</v>
      </c>
      <c r="B162" s="48">
        <f>_xlfn.XLOOKUP(A162,T_Custos[Produto],T_Custos[Peso])</f>
        <v>1</v>
      </c>
      <c r="C162" s="49" t="str">
        <f>_xlfn.XLOOKUP(A162,T_Custos[Produto],T_Custos[Und])</f>
        <v>bd</v>
      </c>
      <c r="D162" s="1" t="s">
        <v>252</v>
      </c>
      <c r="E162" s="1"/>
      <c r="F162" s="1"/>
      <c r="G162" s="1"/>
      <c r="H162" s="1"/>
      <c r="I162" s="1"/>
      <c r="J162" s="1"/>
      <c r="K162" s="85"/>
      <c r="L162" s="1"/>
      <c r="M162" s="1"/>
      <c r="N162" s="1"/>
      <c r="O162" s="1"/>
      <c r="P162" s="47" t="s">
        <v>253</v>
      </c>
      <c r="Q162" s="47" t="s">
        <v>254</v>
      </c>
      <c r="R162" s="1"/>
      <c r="S162" s="85" t="s">
        <v>442</v>
      </c>
      <c r="T162" s="85" t="s">
        <v>443</v>
      </c>
      <c r="U162" s="85" t="s">
        <v>444</v>
      </c>
      <c r="V162" s="85" t="s">
        <v>445</v>
      </c>
      <c r="W162" s="85" t="s">
        <v>446</v>
      </c>
      <c r="X162" s="85" t="s">
        <v>452</v>
      </c>
      <c r="Y162" s="85"/>
      <c r="Z162" s="85"/>
      <c r="AA162" s="85"/>
      <c r="AB162" s="85"/>
      <c r="AC162" s="85"/>
      <c r="AD162" s="85"/>
      <c r="AE162" s="85"/>
      <c r="AF162" s="85"/>
      <c r="AG162" s="85"/>
      <c r="AH162" s="85"/>
      <c r="AI162" s="85"/>
      <c r="AJ162" s="85"/>
      <c r="AK162" s="85"/>
      <c r="AL162" s="85"/>
      <c r="AM162" s="85"/>
      <c r="AN162" s="85"/>
      <c r="AO162" s="1"/>
      <c r="AP162" s="85"/>
      <c r="AQ162" s="85"/>
    </row>
    <row r="163" spans="1:43" x14ac:dyDescent="0.35">
      <c r="A163" s="134" t="s">
        <v>414</v>
      </c>
      <c r="B163" s="48">
        <f>_xlfn.XLOOKUP(A163,T_Custos[Produto],T_Custos[Peso])</f>
        <v>1</v>
      </c>
      <c r="C163" s="49" t="str">
        <f>_xlfn.XLOOKUP(A163,T_Custos[Produto],T_Custos[Und])</f>
        <v>bd</v>
      </c>
      <c r="D163" s="1" t="s">
        <v>252</v>
      </c>
      <c r="E163" s="1"/>
      <c r="F163" s="1"/>
      <c r="G163" s="1"/>
      <c r="H163" s="1"/>
      <c r="I163" s="1"/>
      <c r="J163" s="1" t="s">
        <v>492</v>
      </c>
      <c r="K163" s="85"/>
      <c r="L163" s="1"/>
      <c r="M163" s="1"/>
      <c r="N163" s="1"/>
      <c r="O163" s="1"/>
      <c r="P163" s="47" t="s">
        <v>253</v>
      </c>
      <c r="Q163" s="47" t="s">
        <v>254</v>
      </c>
      <c r="R163" s="1" t="s">
        <v>256</v>
      </c>
      <c r="S163" s="85" t="s">
        <v>442</v>
      </c>
      <c r="T163" s="85" t="s">
        <v>443</v>
      </c>
      <c r="U163" s="85" t="s">
        <v>444</v>
      </c>
      <c r="V163" s="85" t="s">
        <v>445</v>
      </c>
      <c r="W163" s="85" t="s">
        <v>446</v>
      </c>
      <c r="X163" s="85" t="s">
        <v>452</v>
      </c>
      <c r="Y163" s="85"/>
      <c r="Z163" s="85"/>
      <c r="AA163" s="85"/>
      <c r="AB163" s="85"/>
      <c r="AC163" s="85"/>
      <c r="AD163" s="85"/>
      <c r="AE163" s="85"/>
      <c r="AF163" s="85"/>
      <c r="AG163" s="85"/>
      <c r="AH163" s="85"/>
      <c r="AI163" s="85"/>
      <c r="AJ163" s="85"/>
      <c r="AK163" s="85"/>
      <c r="AL163" s="85"/>
      <c r="AM163" s="85"/>
      <c r="AN163" s="85"/>
      <c r="AO163" s="1"/>
      <c r="AP163" s="85"/>
      <c r="AQ163" s="85"/>
    </row>
    <row r="164" spans="1:43" x14ac:dyDescent="0.35">
      <c r="A164" s="134" t="s">
        <v>415</v>
      </c>
      <c r="B164" s="48">
        <f>_xlfn.XLOOKUP(A164,T_Custos[Produto],T_Custos[Peso])</f>
        <v>1</v>
      </c>
      <c r="C164" s="49" t="str">
        <f>_xlfn.XLOOKUP(A164,T_Custos[Produto],T_Custos[Und])</f>
        <v>bd</v>
      </c>
      <c r="D164" s="1" t="s">
        <v>252</v>
      </c>
      <c r="E164" s="1"/>
      <c r="F164" s="1"/>
      <c r="G164" s="1"/>
      <c r="H164" s="1"/>
      <c r="I164" s="1"/>
      <c r="J164" s="1"/>
      <c r="K164" s="85"/>
      <c r="L164" s="1"/>
      <c r="M164" s="1"/>
      <c r="N164" s="1"/>
      <c r="O164" s="1"/>
      <c r="P164" s="47" t="s">
        <v>253</v>
      </c>
      <c r="Q164" s="47" t="s">
        <v>254</v>
      </c>
      <c r="R164" s="1"/>
      <c r="S164" s="85" t="s">
        <v>442</v>
      </c>
      <c r="T164" s="85" t="s">
        <v>443</v>
      </c>
      <c r="U164" s="85" t="s">
        <v>444</v>
      </c>
      <c r="V164" s="85" t="s">
        <v>445</v>
      </c>
      <c r="W164" s="85" t="s">
        <v>446</v>
      </c>
      <c r="X164" s="85" t="s">
        <v>452</v>
      </c>
      <c r="Y164" s="85"/>
      <c r="Z164" s="85"/>
      <c r="AA164" s="85"/>
      <c r="AB164" s="85"/>
      <c r="AC164" s="85"/>
      <c r="AD164" s="85"/>
      <c r="AE164" s="85"/>
      <c r="AF164" s="85"/>
      <c r="AG164" s="85"/>
      <c r="AH164" s="85"/>
      <c r="AI164" s="85"/>
      <c r="AJ164" s="85"/>
      <c r="AK164" s="85"/>
      <c r="AL164" s="85"/>
      <c r="AM164" s="85"/>
      <c r="AN164" s="85"/>
      <c r="AO164" s="1"/>
      <c r="AP164" s="85"/>
      <c r="AQ164" s="85"/>
    </row>
    <row r="165" spans="1:43" x14ac:dyDescent="0.35">
      <c r="A165" s="134" t="s">
        <v>201</v>
      </c>
      <c r="B165" s="48">
        <f>_xlfn.XLOOKUP(A165,T_Custos[Produto],T_Custos[Peso])</f>
        <v>1</v>
      </c>
      <c r="C165" s="49" t="str">
        <f>_xlfn.XLOOKUP(A165,T_Custos[Produto],T_Custos[Und])</f>
        <v>un</v>
      </c>
      <c r="D165" s="1" t="s">
        <v>252</v>
      </c>
      <c r="E165" s="1" t="s">
        <v>261</v>
      </c>
      <c r="F165" s="1" t="s">
        <v>248</v>
      </c>
      <c r="G165" s="1" t="s">
        <v>255</v>
      </c>
      <c r="H165" s="1" t="s">
        <v>258</v>
      </c>
      <c r="I165" s="1" t="s">
        <v>260</v>
      </c>
      <c r="J165" s="1" t="s">
        <v>492</v>
      </c>
      <c r="K165" s="85" t="s">
        <v>552</v>
      </c>
      <c r="L165" s="1" t="s">
        <v>259</v>
      </c>
      <c r="M165" s="1" t="s">
        <v>251</v>
      </c>
      <c r="N165" s="1" t="s">
        <v>257</v>
      </c>
      <c r="O165" s="1" t="s">
        <v>247</v>
      </c>
      <c r="P165" s="1"/>
      <c r="Q165" s="1"/>
      <c r="R165" s="1" t="s">
        <v>256</v>
      </c>
      <c r="S165" s="85" t="s">
        <v>442</v>
      </c>
      <c r="T165" s="85" t="s">
        <v>443</v>
      </c>
      <c r="U165" s="85" t="s">
        <v>444</v>
      </c>
      <c r="V165" s="85" t="s">
        <v>445</v>
      </c>
      <c r="W165" s="85" t="s">
        <v>446</v>
      </c>
      <c r="X165" s="85"/>
      <c r="Y165" s="85"/>
      <c r="Z165" s="85" t="s">
        <v>465</v>
      </c>
      <c r="AA165" s="85" t="s">
        <v>489</v>
      </c>
      <c r="AB165" s="85" t="s">
        <v>490</v>
      </c>
      <c r="AC165" s="85" t="s">
        <v>503</v>
      </c>
      <c r="AD165" s="85"/>
      <c r="AE165" s="85" t="s">
        <v>509</v>
      </c>
      <c r="AF165" s="85"/>
      <c r="AG165" s="85"/>
      <c r="AH165" s="85"/>
      <c r="AI165" s="85"/>
      <c r="AJ165" s="85"/>
      <c r="AK165" s="85"/>
      <c r="AL165" s="85"/>
      <c r="AM165" s="85"/>
      <c r="AN165" s="85"/>
      <c r="AO165" s="1" t="s">
        <v>559</v>
      </c>
      <c r="AP165" s="85"/>
      <c r="AQ165" s="85" t="s">
        <v>597</v>
      </c>
    </row>
    <row r="166" spans="1:43" x14ac:dyDescent="0.35">
      <c r="A166" s="134" t="s">
        <v>202</v>
      </c>
      <c r="B166" s="48">
        <f>_xlfn.XLOOKUP(A166,T_Custos[Produto],T_Custos[Peso])</f>
        <v>1</v>
      </c>
      <c r="C166" s="49" t="str">
        <f>_xlfn.XLOOKUP(A166,T_Custos[Produto],T_Custos[Und])</f>
        <v>un</v>
      </c>
      <c r="D166" s="1" t="s">
        <v>252</v>
      </c>
      <c r="E166" s="1" t="s">
        <v>261</v>
      </c>
      <c r="F166" s="1" t="s">
        <v>248</v>
      </c>
      <c r="G166" s="1" t="s">
        <v>255</v>
      </c>
      <c r="H166" s="1" t="s">
        <v>258</v>
      </c>
      <c r="I166" s="1" t="s">
        <v>260</v>
      </c>
      <c r="J166" s="1" t="s">
        <v>492</v>
      </c>
      <c r="K166" s="85" t="s">
        <v>552</v>
      </c>
      <c r="L166" s="1" t="s">
        <v>259</v>
      </c>
      <c r="M166" s="1" t="s">
        <v>251</v>
      </c>
      <c r="N166" s="1" t="s">
        <v>257</v>
      </c>
      <c r="O166" s="1" t="s">
        <v>247</v>
      </c>
      <c r="P166" s="1"/>
      <c r="Q166" s="1"/>
      <c r="R166" s="1" t="s">
        <v>256</v>
      </c>
      <c r="S166" s="85" t="s">
        <v>442</v>
      </c>
      <c r="T166" s="85" t="s">
        <v>443</v>
      </c>
      <c r="U166" s="85" t="s">
        <v>444</v>
      </c>
      <c r="V166" s="85" t="s">
        <v>445</v>
      </c>
      <c r="W166" s="85" t="s">
        <v>446</v>
      </c>
      <c r="X166" s="85"/>
      <c r="Y166" s="85"/>
      <c r="Z166" s="85" t="s">
        <v>465</v>
      </c>
      <c r="AA166" s="85" t="s">
        <v>489</v>
      </c>
      <c r="AB166" s="85" t="s">
        <v>490</v>
      </c>
      <c r="AC166" s="85" t="s">
        <v>503</v>
      </c>
      <c r="AD166" s="85" t="s">
        <v>507</v>
      </c>
      <c r="AE166" s="85"/>
      <c r="AF166" s="85"/>
      <c r="AG166" s="85"/>
      <c r="AH166" s="85"/>
      <c r="AI166" s="85"/>
      <c r="AJ166" s="85"/>
      <c r="AK166" s="85"/>
      <c r="AL166" s="85"/>
      <c r="AM166" s="85"/>
      <c r="AN166" s="85"/>
      <c r="AO166" s="1" t="s">
        <v>559</v>
      </c>
      <c r="AP166" s="85"/>
      <c r="AQ166" s="85" t="s">
        <v>597</v>
      </c>
    </row>
    <row r="167" spans="1:43" x14ac:dyDescent="0.35">
      <c r="A167" s="134" t="s">
        <v>577</v>
      </c>
      <c r="B167" s="64">
        <f>_xlfn.XLOOKUP(A167,T_Custos[Produto],T_Custos[Peso])</f>
        <v>1</v>
      </c>
      <c r="C167" s="65" t="str">
        <f>_xlfn.XLOOKUP(A167,T_Custos[Produto],T_Custos[Und])</f>
        <v>kg</v>
      </c>
      <c r="D167" s="1"/>
      <c r="E167" s="1"/>
      <c r="F167" s="1"/>
      <c r="G167" s="1"/>
      <c r="H167" s="1"/>
      <c r="I167" s="1"/>
      <c r="J167" s="1"/>
      <c r="K167" s="85"/>
      <c r="L167" s="1"/>
      <c r="M167" s="1"/>
      <c r="N167" s="1"/>
      <c r="O167" s="1"/>
      <c r="P167" s="1"/>
      <c r="Q167" s="1"/>
      <c r="R167" s="1"/>
      <c r="S167" s="85"/>
      <c r="T167" s="85"/>
      <c r="U167" s="85"/>
      <c r="V167" s="85"/>
      <c r="W167" s="85"/>
      <c r="X167" s="85"/>
      <c r="Y167" s="85"/>
      <c r="Z167" s="85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5"/>
      <c r="AO167" s="85"/>
      <c r="AP167" s="85" t="s">
        <v>591</v>
      </c>
      <c r="AQ167" s="85"/>
    </row>
    <row r="168" spans="1:43" x14ac:dyDescent="0.35">
      <c r="A168" s="134" t="s">
        <v>416</v>
      </c>
      <c r="B168" s="48">
        <f>_xlfn.XLOOKUP(A168,T_Custos[Produto],T_Custos[Peso])</f>
        <v>1</v>
      </c>
      <c r="C168" s="49" t="str">
        <f>_xlfn.XLOOKUP(A168,T_Custos[Produto],T_Custos[Und])</f>
        <v>pc</v>
      </c>
      <c r="D168" s="1"/>
      <c r="E168" s="1"/>
      <c r="F168" s="1"/>
      <c r="G168" s="1"/>
      <c r="H168" s="1"/>
      <c r="I168" s="1"/>
      <c r="J168" s="1"/>
      <c r="K168" s="85"/>
      <c r="L168" s="1"/>
      <c r="M168" s="1"/>
      <c r="N168" s="1"/>
      <c r="O168" s="1"/>
      <c r="P168" s="47" t="s">
        <v>253</v>
      </c>
      <c r="Q168" s="47" t="s">
        <v>254</v>
      </c>
      <c r="R168" s="1"/>
      <c r="S168" s="85" t="s">
        <v>442</v>
      </c>
      <c r="T168" s="85" t="s">
        <v>443</v>
      </c>
      <c r="U168" s="85" t="s">
        <v>444</v>
      </c>
      <c r="V168" s="85" t="s">
        <v>445</v>
      </c>
      <c r="W168" s="85" t="s">
        <v>446</v>
      </c>
      <c r="X168" s="85" t="s">
        <v>452</v>
      </c>
      <c r="Y168" s="85"/>
      <c r="Z168" s="85"/>
      <c r="AA168" s="85"/>
      <c r="AB168" s="85"/>
      <c r="AC168" s="85"/>
      <c r="AD168" s="85" t="s">
        <v>507</v>
      </c>
      <c r="AE168" s="85"/>
      <c r="AF168" s="85"/>
      <c r="AG168" s="85"/>
      <c r="AH168" s="85"/>
      <c r="AI168" s="85"/>
      <c r="AJ168" s="85"/>
      <c r="AK168" s="85"/>
      <c r="AL168" s="85"/>
      <c r="AM168" s="85"/>
      <c r="AN168" s="85"/>
      <c r="AO168" s="1"/>
      <c r="AP168" s="85"/>
      <c r="AQ168" s="85"/>
    </row>
    <row r="169" spans="1:43" x14ac:dyDescent="0.35">
      <c r="A169" s="134" t="s">
        <v>578</v>
      </c>
      <c r="B169" s="64">
        <f>_xlfn.XLOOKUP(A169,T_Custos[Produto],T_Custos[Peso])</f>
        <v>1</v>
      </c>
      <c r="C169" s="65" t="str">
        <f>_xlfn.XLOOKUP(A169,T_Custos[Produto],T_Custos[Und])</f>
        <v>kg</v>
      </c>
      <c r="D169" s="1"/>
      <c r="E169" s="1"/>
      <c r="F169" s="1"/>
      <c r="G169" s="1"/>
      <c r="H169" s="1"/>
      <c r="I169" s="1"/>
      <c r="J169" s="1"/>
      <c r="K169" s="85"/>
      <c r="L169" s="1"/>
      <c r="M169" s="1"/>
      <c r="N169" s="1"/>
      <c r="O169" s="1"/>
      <c r="P169" s="1"/>
      <c r="Q169" s="1"/>
      <c r="R169" s="1"/>
      <c r="S169" s="85"/>
      <c r="T169" s="85"/>
      <c r="U169" s="85"/>
      <c r="V169" s="85"/>
      <c r="W169" s="85"/>
      <c r="X169" s="85"/>
      <c r="Y169" s="85"/>
      <c r="Z169" s="85"/>
      <c r="AA169" s="85"/>
      <c r="AB169" s="85"/>
      <c r="AC169" s="85"/>
      <c r="AD169" s="85"/>
      <c r="AE169" s="85"/>
      <c r="AF169" s="85"/>
      <c r="AG169" s="85"/>
      <c r="AH169" s="85"/>
      <c r="AI169" s="85"/>
      <c r="AJ169" s="85"/>
      <c r="AK169" s="85"/>
      <c r="AL169" s="85"/>
      <c r="AM169" s="85"/>
      <c r="AN169" s="85"/>
      <c r="AO169" s="85"/>
      <c r="AP169" s="85" t="s">
        <v>591</v>
      </c>
      <c r="AQ169" s="85"/>
    </row>
    <row r="170" spans="1:43" x14ac:dyDescent="0.35">
      <c r="A170" s="134" t="s">
        <v>215</v>
      </c>
      <c r="B170" s="48">
        <f>_xlfn.XLOOKUP(A170,T_Custos[Produto],T_Custos[Peso])</f>
        <v>1</v>
      </c>
      <c r="C170" s="49" t="str">
        <f>_xlfn.XLOOKUP(A170,T_Custos[Produto],T_Custos[Und])</f>
        <v>un</v>
      </c>
      <c r="D170" s="1" t="s">
        <v>252</v>
      </c>
      <c r="E170" s="1" t="s">
        <v>261</v>
      </c>
      <c r="F170" s="1" t="s">
        <v>248</v>
      </c>
      <c r="G170" s="1" t="s">
        <v>255</v>
      </c>
      <c r="H170" s="1" t="s">
        <v>258</v>
      </c>
      <c r="I170" s="1" t="s">
        <v>260</v>
      </c>
      <c r="J170" s="1" t="s">
        <v>492</v>
      </c>
      <c r="K170" s="85" t="s">
        <v>552</v>
      </c>
      <c r="L170" s="1" t="s">
        <v>259</v>
      </c>
      <c r="M170" s="1" t="s">
        <v>251</v>
      </c>
      <c r="N170" s="1" t="s">
        <v>257</v>
      </c>
      <c r="O170" s="1" t="s">
        <v>247</v>
      </c>
      <c r="P170" s="1"/>
      <c r="Q170" s="1"/>
      <c r="R170" s="1" t="s">
        <v>256</v>
      </c>
      <c r="S170" s="85" t="s">
        <v>442</v>
      </c>
      <c r="T170" s="85" t="s">
        <v>443</v>
      </c>
      <c r="U170" s="85" t="s">
        <v>444</v>
      </c>
      <c r="V170" s="85" t="s">
        <v>445</v>
      </c>
      <c r="W170" s="85" t="s">
        <v>446</v>
      </c>
      <c r="X170" s="85"/>
      <c r="Y170" s="85"/>
      <c r="Z170" s="85"/>
      <c r="AA170" s="85" t="s">
        <v>489</v>
      </c>
      <c r="AB170" s="85" t="s">
        <v>490</v>
      </c>
      <c r="AC170" s="85"/>
      <c r="AD170" s="85"/>
      <c r="AE170" s="85"/>
      <c r="AF170" s="85"/>
      <c r="AG170" s="85"/>
      <c r="AH170" s="85"/>
      <c r="AI170" s="85"/>
      <c r="AJ170" s="85"/>
      <c r="AK170" s="85"/>
      <c r="AL170" s="85"/>
      <c r="AM170" s="85"/>
      <c r="AN170" s="85"/>
      <c r="AO170" s="1" t="s">
        <v>559</v>
      </c>
      <c r="AP170" s="85"/>
      <c r="AQ170" s="85" t="s">
        <v>597</v>
      </c>
    </row>
    <row r="171" spans="1:43" x14ac:dyDescent="0.35">
      <c r="A171" s="134" t="s">
        <v>59</v>
      </c>
      <c r="B171" s="48">
        <f>_xlfn.XLOOKUP(A171,T_Custos[Produto],T_Custos[Peso])</f>
        <v>10</v>
      </c>
      <c r="C171" s="49" t="str">
        <f>_xlfn.XLOOKUP(A171,T_Custos[Produto],T_Custos[Und])</f>
        <v>kg</v>
      </c>
      <c r="D171" s="1" t="s">
        <v>252</v>
      </c>
      <c r="E171" s="1" t="s">
        <v>261</v>
      </c>
      <c r="F171" s="1" t="s">
        <v>248</v>
      </c>
      <c r="G171" s="1" t="s">
        <v>255</v>
      </c>
      <c r="H171" s="1" t="s">
        <v>258</v>
      </c>
      <c r="I171" s="1" t="s">
        <v>260</v>
      </c>
      <c r="J171" s="1" t="s">
        <v>492</v>
      </c>
      <c r="K171" s="85" t="s">
        <v>552</v>
      </c>
      <c r="L171" s="1" t="s">
        <v>259</v>
      </c>
      <c r="M171" s="1" t="s">
        <v>251</v>
      </c>
      <c r="N171" s="1" t="s">
        <v>257</v>
      </c>
      <c r="O171" s="1" t="s">
        <v>247</v>
      </c>
      <c r="P171" s="1"/>
      <c r="Q171" s="1"/>
      <c r="R171" s="1" t="s">
        <v>256</v>
      </c>
      <c r="S171" s="85" t="s">
        <v>442</v>
      </c>
      <c r="T171" s="85" t="s">
        <v>443</v>
      </c>
      <c r="U171" s="85" t="s">
        <v>444</v>
      </c>
      <c r="V171" s="85" t="s">
        <v>445</v>
      </c>
      <c r="W171" s="85" t="s">
        <v>446</v>
      </c>
      <c r="X171" s="85" t="s">
        <v>452</v>
      </c>
      <c r="Y171" s="85"/>
      <c r="Z171" s="85"/>
      <c r="AA171" s="85" t="s">
        <v>489</v>
      </c>
      <c r="AB171" s="85" t="s">
        <v>490</v>
      </c>
      <c r="AC171" s="85"/>
      <c r="AD171" s="85" t="s">
        <v>507</v>
      </c>
      <c r="AE171" s="85"/>
      <c r="AF171" s="85"/>
      <c r="AG171" s="85"/>
      <c r="AH171" s="85"/>
      <c r="AI171" s="85"/>
      <c r="AJ171" s="85"/>
      <c r="AK171" s="85"/>
      <c r="AL171" s="85"/>
      <c r="AM171" s="85"/>
      <c r="AN171" s="85"/>
      <c r="AO171" s="1" t="s">
        <v>559</v>
      </c>
      <c r="AP171" s="85" t="s">
        <v>591</v>
      </c>
      <c r="AQ171" s="85" t="s">
        <v>597</v>
      </c>
    </row>
    <row r="172" spans="1:43" x14ac:dyDescent="0.35">
      <c r="A172" s="134" t="s">
        <v>58</v>
      </c>
      <c r="B172" s="48">
        <f>_xlfn.XLOOKUP(A172,T_Custos[Produto],T_Custos[Peso])</f>
        <v>9</v>
      </c>
      <c r="C172" s="49" t="str">
        <f>_xlfn.XLOOKUP(A172,T_Custos[Produto],T_Custos[Und])</f>
        <v>kg</v>
      </c>
      <c r="D172" s="1" t="s">
        <v>252</v>
      </c>
      <c r="E172" s="1" t="s">
        <v>261</v>
      </c>
      <c r="F172" s="1" t="s">
        <v>248</v>
      </c>
      <c r="G172" s="1" t="s">
        <v>255</v>
      </c>
      <c r="H172" s="1" t="s">
        <v>258</v>
      </c>
      <c r="I172" s="1" t="s">
        <v>260</v>
      </c>
      <c r="J172" s="1" t="s">
        <v>492</v>
      </c>
      <c r="K172" s="85" t="s">
        <v>552</v>
      </c>
      <c r="L172" s="1" t="s">
        <v>259</v>
      </c>
      <c r="M172" s="1" t="s">
        <v>251</v>
      </c>
      <c r="N172" s="1" t="s">
        <v>257</v>
      </c>
      <c r="O172" s="1" t="s">
        <v>247</v>
      </c>
      <c r="P172" s="1"/>
      <c r="Q172" s="1"/>
      <c r="R172" s="1" t="s">
        <v>256</v>
      </c>
      <c r="S172" s="85" t="s">
        <v>442</v>
      </c>
      <c r="T172" s="85" t="s">
        <v>443</v>
      </c>
      <c r="U172" s="85" t="s">
        <v>444</v>
      </c>
      <c r="V172" s="85" t="s">
        <v>445</v>
      </c>
      <c r="W172" s="85" t="s">
        <v>446</v>
      </c>
      <c r="X172" s="85" t="s">
        <v>452</v>
      </c>
      <c r="Y172" s="85" t="s">
        <v>463</v>
      </c>
      <c r="Z172" s="85"/>
      <c r="AA172" s="85" t="s">
        <v>489</v>
      </c>
      <c r="AB172" s="85" t="s">
        <v>490</v>
      </c>
      <c r="AC172" s="85"/>
      <c r="AD172" s="85"/>
      <c r="AE172" s="85"/>
      <c r="AF172" s="85"/>
      <c r="AG172" s="85"/>
      <c r="AH172" s="85"/>
      <c r="AI172" s="85"/>
      <c r="AJ172" s="85"/>
      <c r="AK172" s="85"/>
      <c r="AL172" s="85"/>
      <c r="AM172" s="85" t="s">
        <v>537</v>
      </c>
      <c r="AN172" s="85" t="s">
        <v>538</v>
      </c>
      <c r="AO172" s="1" t="s">
        <v>559</v>
      </c>
      <c r="AP172" s="85" t="s">
        <v>591</v>
      </c>
      <c r="AQ172" s="85" t="s">
        <v>597</v>
      </c>
    </row>
    <row r="173" spans="1:43" x14ac:dyDescent="0.35">
      <c r="A173" s="134" t="s">
        <v>417</v>
      </c>
      <c r="B173" s="48">
        <f>_xlfn.XLOOKUP(A173,T_Custos[Produto],T_Custos[Peso])</f>
        <v>1</v>
      </c>
      <c r="C173" s="49" t="str">
        <f>_xlfn.XLOOKUP(A173,T_Custos[Produto],T_Custos[Und])</f>
        <v>bd</v>
      </c>
      <c r="D173" s="1"/>
      <c r="E173" s="1"/>
      <c r="F173" s="1"/>
      <c r="G173" s="1"/>
      <c r="H173" s="1"/>
      <c r="I173" s="1"/>
      <c r="J173" s="1"/>
      <c r="K173" s="85"/>
      <c r="L173" s="1"/>
      <c r="M173" s="1"/>
      <c r="N173" s="1"/>
      <c r="O173" s="1"/>
      <c r="P173" s="47" t="s">
        <v>253</v>
      </c>
      <c r="Q173" s="47" t="s">
        <v>254</v>
      </c>
      <c r="R173" s="1"/>
      <c r="S173" s="85" t="s">
        <v>442</v>
      </c>
      <c r="T173" s="85" t="s">
        <v>443</v>
      </c>
      <c r="U173" s="85" t="s">
        <v>444</v>
      </c>
      <c r="V173" s="85" t="s">
        <v>445</v>
      </c>
      <c r="W173" s="85" t="s">
        <v>446</v>
      </c>
      <c r="X173" s="85" t="s">
        <v>452</v>
      </c>
      <c r="Y173" s="85"/>
      <c r="Z173" s="85"/>
      <c r="AA173" s="85"/>
      <c r="AB173" s="85"/>
      <c r="AC173" s="85"/>
      <c r="AD173" s="85"/>
      <c r="AE173" s="85"/>
      <c r="AF173" s="85"/>
      <c r="AG173" s="85"/>
      <c r="AH173" s="85"/>
      <c r="AI173" s="85"/>
      <c r="AJ173" s="85"/>
      <c r="AK173" s="85"/>
      <c r="AL173" s="85"/>
      <c r="AM173" s="85"/>
      <c r="AN173" s="85"/>
      <c r="AO173" s="1"/>
      <c r="AP173" s="85"/>
      <c r="AQ173" s="85"/>
    </row>
    <row r="174" spans="1:43" x14ac:dyDescent="0.35">
      <c r="A174" s="134" t="s">
        <v>459</v>
      </c>
      <c r="B174" s="48">
        <f>_xlfn.XLOOKUP(A174,T_Custos[Produto],T_Custos[Peso])</f>
        <v>1</v>
      </c>
      <c r="C174" s="49" t="str">
        <f>_xlfn.XLOOKUP(A174,T_Custos[Produto],T_Custos[Und])</f>
        <v>bd</v>
      </c>
      <c r="D174" s="1" t="s">
        <v>252</v>
      </c>
      <c r="E174" s="1" t="s">
        <v>261</v>
      </c>
      <c r="F174" s="1" t="s">
        <v>248</v>
      </c>
      <c r="G174" s="1" t="s">
        <v>255</v>
      </c>
      <c r="H174" s="1" t="s">
        <v>258</v>
      </c>
      <c r="I174" s="1" t="s">
        <v>260</v>
      </c>
      <c r="J174" s="1" t="s">
        <v>492</v>
      </c>
      <c r="K174" s="85" t="s">
        <v>552</v>
      </c>
      <c r="L174" s="1" t="s">
        <v>259</v>
      </c>
      <c r="M174" s="1" t="s">
        <v>251</v>
      </c>
      <c r="N174" s="1" t="s">
        <v>257</v>
      </c>
      <c r="O174" s="1" t="s">
        <v>247</v>
      </c>
      <c r="P174" s="1"/>
      <c r="Q174" s="1"/>
      <c r="R174" s="1" t="s">
        <v>256</v>
      </c>
      <c r="S174" s="85" t="s">
        <v>442</v>
      </c>
      <c r="T174" s="85" t="s">
        <v>443</v>
      </c>
      <c r="U174" s="85" t="s">
        <v>444</v>
      </c>
      <c r="V174" s="85" t="s">
        <v>445</v>
      </c>
      <c r="W174" s="85" t="s">
        <v>446</v>
      </c>
      <c r="X174" s="85" t="s">
        <v>452</v>
      </c>
      <c r="Y174" s="85"/>
      <c r="Z174" s="85"/>
      <c r="AA174" s="85" t="s">
        <v>489</v>
      </c>
      <c r="AB174" s="85" t="s">
        <v>490</v>
      </c>
      <c r="AC174" s="85"/>
      <c r="AD174" s="85"/>
      <c r="AE174" s="85"/>
      <c r="AF174" s="85"/>
      <c r="AG174" s="85"/>
      <c r="AH174" s="85"/>
      <c r="AI174" s="85"/>
      <c r="AJ174" s="85"/>
      <c r="AK174" s="85"/>
      <c r="AL174" s="85"/>
      <c r="AM174" s="85"/>
      <c r="AN174" s="85"/>
      <c r="AO174" s="1" t="s">
        <v>559</v>
      </c>
      <c r="AP174" s="85" t="s">
        <v>591</v>
      </c>
      <c r="AQ174" s="85" t="s">
        <v>597</v>
      </c>
    </row>
    <row r="175" spans="1:43" x14ac:dyDescent="0.35">
      <c r="A175" s="134" t="s">
        <v>203</v>
      </c>
      <c r="B175" s="48">
        <f>_xlfn.XLOOKUP(A175,T_Custos[Produto],T_Custos[Peso])</f>
        <v>1</v>
      </c>
      <c r="C175" s="49" t="str">
        <f>_xlfn.XLOOKUP(A175,T_Custos[Produto],T_Custos[Und])</f>
        <v>un</v>
      </c>
      <c r="D175" s="1" t="s">
        <v>252</v>
      </c>
      <c r="E175" s="1" t="s">
        <v>261</v>
      </c>
      <c r="F175" s="1" t="s">
        <v>248</v>
      </c>
      <c r="G175" s="1" t="s">
        <v>255</v>
      </c>
      <c r="H175" s="1" t="s">
        <v>258</v>
      </c>
      <c r="I175" s="1" t="s">
        <v>260</v>
      </c>
      <c r="J175" s="1" t="s">
        <v>492</v>
      </c>
      <c r="K175" s="85" t="s">
        <v>552</v>
      </c>
      <c r="L175" s="1" t="s">
        <v>259</v>
      </c>
      <c r="M175" s="1" t="s">
        <v>251</v>
      </c>
      <c r="N175" s="1" t="s">
        <v>257</v>
      </c>
      <c r="O175" s="1" t="s">
        <v>247</v>
      </c>
      <c r="P175" s="1"/>
      <c r="Q175" s="1"/>
      <c r="R175" s="1" t="s">
        <v>256</v>
      </c>
      <c r="S175" s="85" t="s">
        <v>442</v>
      </c>
      <c r="T175" s="85" t="s">
        <v>443</v>
      </c>
      <c r="U175" s="85" t="s">
        <v>444</v>
      </c>
      <c r="V175" s="85" t="s">
        <v>445</v>
      </c>
      <c r="W175" s="85" t="s">
        <v>446</v>
      </c>
      <c r="X175" s="85"/>
      <c r="Y175" s="85" t="s">
        <v>463</v>
      </c>
      <c r="Z175" s="85" t="s">
        <v>465</v>
      </c>
      <c r="AA175" s="85" t="s">
        <v>489</v>
      </c>
      <c r="AB175" s="85" t="s">
        <v>490</v>
      </c>
      <c r="AC175" s="85" t="s">
        <v>503</v>
      </c>
      <c r="AD175" s="85"/>
      <c r="AE175" s="85"/>
      <c r="AF175" s="85"/>
      <c r="AG175" s="85"/>
      <c r="AH175" s="85"/>
      <c r="AI175" s="85"/>
      <c r="AJ175" s="85"/>
      <c r="AK175" s="85"/>
      <c r="AL175" s="85"/>
      <c r="AM175" s="85"/>
      <c r="AN175" s="85"/>
      <c r="AO175" s="1" t="s">
        <v>559</v>
      </c>
      <c r="AP175" s="85"/>
      <c r="AQ175" s="85" t="s">
        <v>597</v>
      </c>
    </row>
    <row r="176" spans="1:43" x14ac:dyDescent="0.35">
      <c r="A176" s="134" t="s">
        <v>418</v>
      </c>
      <c r="B176" s="48">
        <f>_xlfn.XLOOKUP(A176,T_Custos[Produto],T_Custos[Peso])</f>
        <v>1</v>
      </c>
      <c r="C176" s="49" t="str">
        <f>_xlfn.XLOOKUP(A176,T_Custos[Produto],T_Custos[Und])</f>
        <v>pc</v>
      </c>
      <c r="D176" s="1"/>
      <c r="E176" s="1"/>
      <c r="F176" s="1"/>
      <c r="G176" s="1"/>
      <c r="H176" s="1"/>
      <c r="I176" s="1"/>
      <c r="J176" s="1"/>
      <c r="K176" s="85"/>
      <c r="L176" s="1"/>
      <c r="M176" s="1"/>
      <c r="N176" s="1"/>
      <c r="O176" s="1"/>
      <c r="P176" s="47" t="s">
        <v>253</v>
      </c>
      <c r="Q176" s="47" t="s">
        <v>254</v>
      </c>
      <c r="R176" s="1"/>
      <c r="S176" s="85" t="s">
        <v>442</v>
      </c>
      <c r="T176" s="85" t="s">
        <v>443</v>
      </c>
      <c r="U176" s="85" t="s">
        <v>444</v>
      </c>
      <c r="V176" s="85" t="s">
        <v>445</v>
      </c>
      <c r="W176" s="85" t="s">
        <v>446</v>
      </c>
      <c r="X176" s="85" t="s">
        <v>452</v>
      </c>
      <c r="Y176" s="85"/>
      <c r="Z176" s="85"/>
      <c r="AA176" s="85"/>
      <c r="AB176" s="85"/>
      <c r="AC176" s="85"/>
      <c r="AD176" s="85"/>
      <c r="AE176" s="85"/>
      <c r="AF176" s="85"/>
      <c r="AG176" s="85"/>
      <c r="AH176" s="85"/>
      <c r="AI176" s="85"/>
      <c r="AJ176" s="85"/>
      <c r="AK176" s="85"/>
      <c r="AL176" s="85"/>
      <c r="AM176" s="85"/>
      <c r="AN176" s="85"/>
      <c r="AO176" s="1"/>
      <c r="AP176" s="85"/>
      <c r="AQ176" s="85"/>
    </row>
    <row r="177" spans="1:43" x14ac:dyDescent="0.35">
      <c r="A177" s="134" t="s">
        <v>579</v>
      </c>
      <c r="B177" s="64">
        <f>_xlfn.XLOOKUP(A177,T_Custos[Produto],T_Custos[Peso])</f>
        <v>1</v>
      </c>
      <c r="C177" s="65" t="str">
        <f>_xlfn.XLOOKUP(A177,T_Custos[Produto],T_Custos[Und])</f>
        <v>kg</v>
      </c>
      <c r="D177" s="1"/>
      <c r="E177" s="1"/>
      <c r="F177" s="1"/>
      <c r="G177" s="1"/>
      <c r="H177" s="1"/>
      <c r="I177" s="1"/>
      <c r="J177" s="1"/>
      <c r="K177" s="85"/>
      <c r="L177" s="1"/>
      <c r="M177" s="1"/>
      <c r="N177" s="1"/>
      <c r="O177" s="1"/>
      <c r="P177" s="1"/>
      <c r="Q177" s="1"/>
      <c r="R177" s="1"/>
      <c r="S177" s="85"/>
      <c r="T177" s="85"/>
      <c r="U177" s="85"/>
      <c r="V177" s="85"/>
      <c r="W177" s="85"/>
      <c r="X177" s="85"/>
      <c r="Y177" s="85"/>
      <c r="Z177" s="85"/>
      <c r="AA177" s="85"/>
      <c r="AB177" s="85"/>
      <c r="AC177" s="85"/>
      <c r="AD177" s="85"/>
      <c r="AE177" s="85"/>
      <c r="AF177" s="85"/>
      <c r="AG177" s="85"/>
      <c r="AH177" s="85"/>
      <c r="AI177" s="85"/>
      <c r="AJ177" s="85"/>
      <c r="AK177" s="85"/>
      <c r="AL177" s="85"/>
      <c r="AM177" s="85"/>
      <c r="AN177" s="85"/>
      <c r="AO177" s="85"/>
      <c r="AP177" s="85" t="s">
        <v>591</v>
      </c>
      <c r="AQ177" s="85"/>
    </row>
    <row r="178" spans="1:43" x14ac:dyDescent="0.35">
      <c r="A178" s="134" t="s">
        <v>545</v>
      </c>
      <c r="B178" s="145">
        <f>_xlfn.XLOOKUP(A178,T_Custos[Produto],T_Custos[Peso])</f>
        <v>10</v>
      </c>
      <c r="C178" s="146" t="str">
        <f>_xlfn.XLOOKUP(A178,T_Custos[Produto],T_Custos[Und])</f>
        <v>bd</v>
      </c>
      <c r="D178" s="1" t="s">
        <v>252</v>
      </c>
      <c r="E178" s="1" t="s">
        <v>261</v>
      </c>
      <c r="F178" s="1" t="s">
        <v>248</v>
      </c>
      <c r="G178" s="1" t="s">
        <v>255</v>
      </c>
      <c r="H178" s="1" t="s">
        <v>258</v>
      </c>
      <c r="I178" s="1" t="s">
        <v>260</v>
      </c>
      <c r="J178" s="1" t="s">
        <v>492</v>
      </c>
      <c r="K178" s="85" t="s">
        <v>552</v>
      </c>
      <c r="L178" s="1" t="s">
        <v>259</v>
      </c>
      <c r="M178" s="1" t="s">
        <v>251</v>
      </c>
      <c r="N178" s="1" t="s">
        <v>257</v>
      </c>
      <c r="O178" s="1" t="s">
        <v>247</v>
      </c>
      <c r="P178" s="1"/>
      <c r="Q178" s="1"/>
      <c r="R178" s="1" t="s">
        <v>256</v>
      </c>
      <c r="S178" s="85" t="s">
        <v>442</v>
      </c>
      <c r="T178" s="85" t="s">
        <v>443</v>
      </c>
      <c r="U178" s="85" t="s">
        <v>444</v>
      </c>
      <c r="V178" s="85" t="s">
        <v>445</v>
      </c>
      <c r="W178" s="85" t="s">
        <v>446</v>
      </c>
      <c r="X178" s="85" t="s">
        <v>452</v>
      </c>
      <c r="Y178" s="85"/>
      <c r="Z178" s="85" t="s">
        <v>465</v>
      </c>
      <c r="AA178" s="85" t="s">
        <v>489</v>
      </c>
      <c r="AB178" s="85" t="s">
        <v>490</v>
      </c>
      <c r="AC178" s="85"/>
      <c r="AD178" s="85"/>
      <c r="AE178" s="85" t="s">
        <v>509</v>
      </c>
      <c r="AF178" s="85"/>
      <c r="AG178" s="85"/>
      <c r="AH178" s="85"/>
      <c r="AI178" s="85"/>
      <c r="AJ178" s="85"/>
      <c r="AK178" s="85"/>
      <c r="AL178" s="85"/>
      <c r="AM178" s="85"/>
      <c r="AN178" s="85"/>
      <c r="AO178" s="1" t="s">
        <v>559</v>
      </c>
      <c r="AP178" s="85" t="s">
        <v>591</v>
      </c>
      <c r="AQ178" s="85" t="s">
        <v>597</v>
      </c>
    </row>
    <row r="179" spans="1:43" x14ac:dyDescent="0.35">
      <c r="A179" s="134" t="s">
        <v>60</v>
      </c>
      <c r="B179" s="48">
        <f>_xlfn.XLOOKUP(A179,T_Custos[Produto],T_Custos[Peso])</f>
        <v>12</v>
      </c>
      <c r="C179" s="49" t="str">
        <f>_xlfn.XLOOKUP(A179,T_Custos[Produto],T_Custos[Und])</f>
        <v>kg</v>
      </c>
      <c r="D179" s="1" t="s">
        <v>252</v>
      </c>
      <c r="E179" s="1" t="s">
        <v>261</v>
      </c>
      <c r="F179" s="1" t="s">
        <v>248</v>
      </c>
      <c r="G179" s="1" t="s">
        <v>255</v>
      </c>
      <c r="H179" s="1" t="s">
        <v>258</v>
      </c>
      <c r="I179" s="1" t="s">
        <v>260</v>
      </c>
      <c r="J179" s="1" t="s">
        <v>492</v>
      </c>
      <c r="K179" s="85" t="s">
        <v>552</v>
      </c>
      <c r="L179" s="1" t="s">
        <v>259</v>
      </c>
      <c r="M179" s="1" t="s">
        <v>251</v>
      </c>
      <c r="N179" s="1" t="s">
        <v>257</v>
      </c>
      <c r="O179" s="1" t="s">
        <v>247</v>
      </c>
      <c r="P179" s="1"/>
      <c r="Q179" s="1"/>
      <c r="R179" s="1" t="s">
        <v>256</v>
      </c>
      <c r="S179" s="85" t="s">
        <v>442</v>
      </c>
      <c r="T179" s="85" t="s">
        <v>443</v>
      </c>
      <c r="U179" s="85" t="s">
        <v>444</v>
      </c>
      <c r="V179" s="85" t="s">
        <v>445</v>
      </c>
      <c r="W179" s="85" t="s">
        <v>446</v>
      </c>
      <c r="X179" s="85" t="s">
        <v>452</v>
      </c>
      <c r="Y179" s="85"/>
      <c r="Z179" s="85"/>
      <c r="AA179" s="85" t="s">
        <v>489</v>
      </c>
      <c r="AB179" s="85" t="s">
        <v>490</v>
      </c>
      <c r="AC179" s="85"/>
      <c r="AD179" s="85" t="s">
        <v>507</v>
      </c>
      <c r="AE179" s="85"/>
      <c r="AF179" s="85"/>
      <c r="AG179" s="85"/>
      <c r="AH179" s="85"/>
      <c r="AI179" s="85" t="s">
        <v>518</v>
      </c>
      <c r="AJ179" s="85"/>
      <c r="AK179" s="85"/>
      <c r="AL179" s="85"/>
      <c r="AM179" s="85" t="s">
        <v>537</v>
      </c>
      <c r="AN179" s="85" t="s">
        <v>538</v>
      </c>
      <c r="AO179" s="1" t="s">
        <v>559</v>
      </c>
      <c r="AP179" s="85" t="s">
        <v>591</v>
      </c>
      <c r="AQ179" s="85" t="s">
        <v>597</v>
      </c>
    </row>
    <row r="180" spans="1:43" x14ac:dyDescent="0.35">
      <c r="A180" s="134" t="s">
        <v>419</v>
      </c>
      <c r="B180" s="48">
        <f>_xlfn.XLOOKUP(A180,T_Custos[Produto],T_Custos[Peso])</f>
        <v>1</v>
      </c>
      <c r="C180" s="49" t="str">
        <f>_xlfn.XLOOKUP(A180,T_Custos[Produto],T_Custos[Und])</f>
        <v>bd</v>
      </c>
      <c r="D180" s="1"/>
      <c r="E180" s="1"/>
      <c r="F180" s="1"/>
      <c r="G180" s="1"/>
      <c r="H180" s="1"/>
      <c r="I180" s="1"/>
      <c r="J180" s="1"/>
      <c r="K180" s="85"/>
      <c r="L180" s="1"/>
      <c r="M180" s="1"/>
      <c r="N180" s="1"/>
      <c r="O180" s="1"/>
      <c r="P180" s="47" t="s">
        <v>253</v>
      </c>
      <c r="Q180" s="47" t="s">
        <v>254</v>
      </c>
      <c r="R180" s="1"/>
      <c r="S180" s="85" t="s">
        <v>442</v>
      </c>
      <c r="T180" s="85" t="s">
        <v>443</v>
      </c>
      <c r="U180" s="85" t="s">
        <v>444</v>
      </c>
      <c r="V180" s="85" t="s">
        <v>445</v>
      </c>
      <c r="W180" s="85" t="s">
        <v>446</v>
      </c>
      <c r="X180" s="85" t="s">
        <v>452</v>
      </c>
      <c r="Y180" s="85"/>
      <c r="Z180" s="85"/>
      <c r="AA180" s="85"/>
      <c r="AB180" s="85"/>
      <c r="AC180" s="85"/>
      <c r="AD180" s="85"/>
      <c r="AE180" s="85"/>
      <c r="AF180" s="85"/>
      <c r="AG180" s="85"/>
      <c r="AH180" s="85"/>
      <c r="AI180" s="85"/>
      <c r="AJ180" s="85"/>
      <c r="AK180" s="85"/>
      <c r="AL180" s="85"/>
      <c r="AM180" s="85"/>
      <c r="AN180" s="85"/>
      <c r="AO180" s="1"/>
      <c r="AP180" s="85"/>
      <c r="AQ180" s="85"/>
    </row>
    <row r="181" spans="1:43" x14ac:dyDescent="0.35">
      <c r="A181" s="134" t="s">
        <v>472</v>
      </c>
      <c r="B181" s="48">
        <f>_xlfn.XLOOKUP(A181,T_Custos[Produto],T_Custos[Peso])</f>
        <v>12</v>
      </c>
      <c r="C181" s="49" t="str">
        <f>_xlfn.XLOOKUP(A181,T_Custos[Produto],T_Custos[Und])</f>
        <v>kg</v>
      </c>
      <c r="D181" s="1"/>
      <c r="E181" s="1"/>
      <c r="F181" s="1"/>
      <c r="G181" s="1"/>
      <c r="H181" s="1"/>
      <c r="I181" s="1"/>
      <c r="J181" s="1" t="s">
        <v>492</v>
      </c>
      <c r="K181" s="85" t="s">
        <v>552</v>
      </c>
      <c r="L181" s="1"/>
      <c r="M181" s="1"/>
      <c r="N181" s="1"/>
      <c r="O181" s="1" t="s">
        <v>247</v>
      </c>
      <c r="P181" s="85"/>
      <c r="Q181" s="85"/>
      <c r="R181" s="1"/>
      <c r="S181" s="85"/>
      <c r="T181" s="85"/>
      <c r="U181" s="85"/>
      <c r="V181" s="85"/>
      <c r="W181" s="85"/>
      <c r="X181" s="85"/>
      <c r="Y181" s="85"/>
      <c r="Z181" s="85"/>
      <c r="AA181" s="85"/>
      <c r="AB181" s="85"/>
      <c r="AC181" s="85"/>
      <c r="AD181" s="85"/>
      <c r="AE181" s="85"/>
      <c r="AF181" s="85"/>
      <c r="AG181" s="85"/>
      <c r="AH181" s="85"/>
      <c r="AI181" s="85"/>
      <c r="AJ181" s="85"/>
      <c r="AK181" s="85"/>
      <c r="AL181" s="85"/>
      <c r="AM181" s="85"/>
      <c r="AN181" s="85"/>
      <c r="AO181" s="1" t="s">
        <v>559</v>
      </c>
      <c r="AP181" s="85" t="s">
        <v>591</v>
      </c>
      <c r="AQ181" s="85" t="s">
        <v>597</v>
      </c>
    </row>
    <row r="182" spans="1:43" x14ac:dyDescent="0.35">
      <c r="A182" s="134" t="s">
        <v>375</v>
      </c>
      <c r="B182" s="48">
        <f>_xlfn.XLOOKUP(A182,T_Custos[Produto],T_Custos[Peso])</f>
        <v>1</v>
      </c>
      <c r="C182" s="49" t="str">
        <f>_xlfn.XLOOKUP(A182,T_Custos[Produto],T_Custos[Und])</f>
        <v>und</v>
      </c>
      <c r="D182" s="1"/>
      <c r="E182" s="1"/>
      <c r="F182" s="1"/>
      <c r="G182" s="1"/>
      <c r="H182" s="1"/>
      <c r="I182" s="1"/>
      <c r="J182" s="1"/>
      <c r="K182" s="85"/>
      <c r="L182" s="1"/>
      <c r="M182" s="1"/>
      <c r="N182" s="1"/>
      <c r="O182" s="1"/>
      <c r="P182" s="47" t="s">
        <v>253</v>
      </c>
      <c r="Q182" s="47" t="s">
        <v>254</v>
      </c>
      <c r="R182" s="1"/>
      <c r="S182" s="85" t="s">
        <v>442</v>
      </c>
      <c r="T182" s="85" t="s">
        <v>443</v>
      </c>
      <c r="U182" s="85" t="s">
        <v>444</v>
      </c>
      <c r="V182" s="85" t="s">
        <v>445</v>
      </c>
      <c r="W182" s="85" t="s">
        <v>446</v>
      </c>
      <c r="X182" s="85"/>
      <c r="Y182" s="85"/>
      <c r="Z182" s="85"/>
      <c r="AA182" s="85"/>
      <c r="AB182" s="85"/>
      <c r="AC182" s="85"/>
      <c r="AD182" s="85"/>
      <c r="AE182" s="85"/>
      <c r="AF182" s="85"/>
      <c r="AG182" s="85"/>
      <c r="AH182" s="85"/>
      <c r="AI182" s="85"/>
      <c r="AJ182" s="85"/>
      <c r="AK182" s="85"/>
      <c r="AL182" s="85"/>
      <c r="AM182" s="85"/>
      <c r="AN182" s="85"/>
      <c r="AO182" s="1"/>
      <c r="AP182" s="85"/>
      <c r="AQ182" s="85"/>
    </row>
    <row r="183" spans="1:43" x14ac:dyDescent="0.35">
      <c r="A183" s="134" t="s">
        <v>61</v>
      </c>
      <c r="B183" s="48">
        <f>_xlfn.XLOOKUP(A183,T_Custos[Produto],T_Custos[Peso])</f>
        <v>2.5</v>
      </c>
      <c r="C183" s="49" t="str">
        <f>_xlfn.XLOOKUP(A183,T_Custos[Produto],T_Custos[Und])</f>
        <v>kg</v>
      </c>
      <c r="D183" s="1" t="s">
        <v>252</v>
      </c>
      <c r="E183" s="1" t="s">
        <v>261</v>
      </c>
      <c r="F183" s="1" t="s">
        <v>248</v>
      </c>
      <c r="G183" s="1" t="s">
        <v>255</v>
      </c>
      <c r="H183" s="1" t="s">
        <v>258</v>
      </c>
      <c r="I183" s="1" t="s">
        <v>260</v>
      </c>
      <c r="J183" s="1" t="s">
        <v>492</v>
      </c>
      <c r="K183" s="85" t="s">
        <v>552</v>
      </c>
      <c r="L183" s="1" t="s">
        <v>259</v>
      </c>
      <c r="M183" s="1" t="s">
        <v>251</v>
      </c>
      <c r="N183" s="1" t="s">
        <v>257</v>
      </c>
      <c r="O183" s="1" t="s">
        <v>247</v>
      </c>
      <c r="P183" s="1"/>
      <c r="Q183" s="1"/>
      <c r="R183" s="1" t="s">
        <v>256</v>
      </c>
      <c r="S183" s="85" t="s">
        <v>442</v>
      </c>
      <c r="T183" s="85" t="s">
        <v>443</v>
      </c>
      <c r="U183" s="85" t="s">
        <v>444</v>
      </c>
      <c r="V183" s="85" t="s">
        <v>445</v>
      </c>
      <c r="W183" s="85" t="s">
        <v>446</v>
      </c>
      <c r="X183" s="85" t="s">
        <v>452</v>
      </c>
      <c r="Y183" s="85"/>
      <c r="Z183" s="85" t="s">
        <v>465</v>
      </c>
      <c r="AA183" s="85" t="s">
        <v>489</v>
      </c>
      <c r="AB183" s="85" t="s">
        <v>490</v>
      </c>
      <c r="AC183" s="85" t="s">
        <v>503</v>
      </c>
      <c r="AD183" s="85"/>
      <c r="AE183" s="85"/>
      <c r="AF183" s="85"/>
      <c r="AG183" s="85"/>
      <c r="AH183" s="85"/>
      <c r="AI183" s="85"/>
      <c r="AJ183" s="85"/>
      <c r="AK183" s="85"/>
      <c r="AL183" s="85"/>
      <c r="AM183" s="85" t="s">
        <v>537</v>
      </c>
      <c r="AN183" s="85" t="s">
        <v>538</v>
      </c>
      <c r="AO183" s="1" t="s">
        <v>559</v>
      </c>
      <c r="AP183" s="85" t="s">
        <v>591</v>
      </c>
      <c r="AQ183" s="85" t="s">
        <v>597</v>
      </c>
    </row>
    <row r="184" spans="1:43" x14ac:dyDescent="0.35">
      <c r="A184" s="134" t="s">
        <v>308</v>
      </c>
      <c r="B184" s="48">
        <f>_xlfn.XLOOKUP(A184,T_Custos[Produto],T_Custos[Peso])</f>
        <v>6</v>
      </c>
      <c r="C184" s="49" t="str">
        <f>_xlfn.XLOOKUP(A184,T_Custos[Produto],T_Custos[Und])</f>
        <v>kg</v>
      </c>
      <c r="D184" s="1" t="s">
        <v>252</v>
      </c>
      <c r="E184" s="1" t="s">
        <v>261</v>
      </c>
      <c r="F184" s="1" t="s">
        <v>248</v>
      </c>
      <c r="G184" s="1" t="s">
        <v>255</v>
      </c>
      <c r="H184" s="1" t="s">
        <v>258</v>
      </c>
      <c r="I184" s="1" t="s">
        <v>260</v>
      </c>
      <c r="J184" s="1" t="s">
        <v>492</v>
      </c>
      <c r="K184" s="85" t="s">
        <v>552</v>
      </c>
      <c r="L184" s="1" t="s">
        <v>259</v>
      </c>
      <c r="M184" s="1" t="s">
        <v>251</v>
      </c>
      <c r="N184" s="1" t="s">
        <v>257</v>
      </c>
      <c r="O184" s="1" t="s">
        <v>247</v>
      </c>
      <c r="P184" s="1"/>
      <c r="Q184" s="1"/>
      <c r="R184" s="1" t="s">
        <v>256</v>
      </c>
      <c r="S184" s="85" t="s">
        <v>442</v>
      </c>
      <c r="T184" s="85" t="s">
        <v>443</v>
      </c>
      <c r="U184" s="85" t="s">
        <v>444</v>
      </c>
      <c r="V184" s="85" t="s">
        <v>445</v>
      </c>
      <c r="W184" s="85" t="s">
        <v>446</v>
      </c>
      <c r="X184" s="85" t="s">
        <v>452</v>
      </c>
      <c r="Y184" s="85"/>
      <c r="Z184" s="85"/>
      <c r="AA184" s="85" t="s">
        <v>489</v>
      </c>
      <c r="AB184" s="85" t="s">
        <v>490</v>
      </c>
      <c r="AC184" s="85" t="s">
        <v>503</v>
      </c>
      <c r="AD184" s="85"/>
      <c r="AE184" s="85"/>
      <c r="AF184" s="85"/>
      <c r="AG184" s="85"/>
      <c r="AH184" s="85"/>
      <c r="AI184" s="85"/>
      <c r="AJ184" s="85"/>
      <c r="AK184" s="85"/>
      <c r="AL184" s="85"/>
      <c r="AM184" s="85" t="s">
        <v>537</v>
      </c>
      <c r="AN184" s="85" t="s">
        <v>538</v>
      </c>
      <c r="AO184" s="1" t="s">
        <v>559</v>
      </c>
      <c r="AP184" s="85" t="s">
        <v>591</v>
      </c>
      <c r="AQ184" s="85" t="s">
        <v>597</v>
      </c>
    </row>
    <row r="185" spans="1:43" x14ac:dyDescent="0.35">
      <c r="A185" s="134" t="s">
        <v>376</v>
      </c>
      <c r="B185" s="48">
        <f>_xlfn.XLOOKUP(A185,T_Custos[Produto],T_Custos[Peso])</f>
        <v>1</v>
      </c>
      <c r="C185" s="49" t="str">
        <f>_xlfn.XLOOKUP(A185,T_Custos[Produto],T_Custos[Und])</f>
        <v>und</v>
      </c>
      <c r="D185" s="1"/>
      <c r="E185" s="1"/>
      <c r="F185" s="1"/>
      <c r="G185" s="1"/>
      <c r="H185" s="1"/>
      <c r="I185" s="1"/>
      <c r="J185" s="1"/>
      <c r="K185" s="85"/>
      <c r="L185" s="1"/>
      <c r="M185" s="1"/>
      <c r="N185" s="1"/>
      <c r="O185" s="1"/>
      <c r="P185" s="47" t="s">
        <v>253</v>
      </c>
      <c r="Q185" s="47" t="s">
        <v>254</v>
      </c>
      <c r="R185" s="1"/>
      <c r="S185" s="85" t="s">
        <v>442</v>
      </c>
      <c r="T185" s="85" t="s">
        <v>443</v>
      </c>
      <c r="U185" s="85" t="s">
        <v>444</v>
      </c>
      <c r="V185" s="85" t="s">
        <v>445</v>
      </c>
      <c r="W185" s="85" t="s">
        <v>446</v>
      </c>
      <c r="X185" s="85"/>
      <c r="Y185" s="85"/>
      <c r="Z185" s="85"/>
      <c r="AA185" s="85"/>
      <c r="AB185" s="85"/>
      <c r="AC185" s="85"/>
      <c r="AD185" s="85"/>
      <c r="AE185" s="85"/>
      <c r="AF185" s="85"/>
      <c r="AG185" s="85"/>
      <c r="AH185" s="85"/>
      <c r="AI185" s="85"/>
      <c r="AJ185" s="85"/>
      <c r="AK185" s="85"/>
      <c r="AL185" s="85"/>
      <c r="AM185" s="85"/>
      <c r="AN185" s="85"/>
      <c r="AO185" s="1"/>
      <c r="AP185" s="85"/>
      <c r="AQ185" s="85"/>
    </row>
    <row r="186" spans="1:43" x14ac:dyDescent="0.35">
      <c r="A186" s="134" t="s">
        <v>62</v>
      </c>
      <c r="B186" s="48">
        <f>_xlfn.XLOOKUP(A186,T_Custos[Produto],T_Custos[Peso])</f>
        <v>15</v>
      </c>
      <c r="C186" s="49" t="str">
        <f>_xlfn.XLOOKUP(A186,T_Custos[Produto],T_Custos[Und])</f>
        <v>kg</v>
      </c>
      <c r="D186" s="1" t="s">
        <v>252</v>
      </c>
      <c r="E186" s="1" t="s">
        <v>261</v>
      </c>
      <c r="F186" s="1" t="s">
        <v>248</v>
      </c>
      <c r="G186" s="1" t="s">
        <v>255</v>
      </c>
      <c r="H186" s="1" t="s">
        <v>258</v>
      </c>
      <c r="I186" s="1" t="s">
        <v>260</v>
      </c>
      <c r="J186" s="1" t="s">
        <v>492</v>
      </c>
      <c r="K186" s="85" t="s">
        <v>552</v>
      </c>
      <c r="L186" s="1" t="s">
        <v>259</v>
      </c>
      <c r="M186" s="1" t="s">
        <v>251</v>
      </c>
      <c r="N186" s="1" t="s">
        <v>257</v>
      </c>
      <c r="O186" s="1" t="s">
        <v>247</v>
      </c>
      <c r="P186" s="1"/>
      <c r="Q186" s="1"/>
      <c r="R186" s="1" t="s">
        <v>256</v>
      </c>
      <c r="S186" s="85" t="s">
        <v>442</v>
      </c>
      <c r="T186" s="85" t="s">
        <v>443</v>
      </c>
      <c r="U186" s="85" t="s">
        <v>444</v>
      </c>
      <c r="V186" s="85" t="s">
        <v>445</v>
      </c>
      <c r="W186" s="85" t="s">
        <v>446</v>
      </c>
      <c r="X186" s="85" t="s">
        <v>452</v>
      </c>
      <c r="Y186" s="85"/>
      <c r="Z186" s="85"/>
      <c r="AA186" s="85" t="s">
        <v>489</v>
      </c>
      <c r="AB186" s="85" t="s">
        <v>490</v>
      </c>
      <c r="AC186" s="85"/>
      <c r="AD186" s="85"/>
      <c r="AE186" s="85"/>
      <c r="AF186" s="85"/>
      <c r="AG186" s="85"/>
      <c r="AH186" s="85"/>
      <c r="AI186" s="85"/>
      <c r="AJ186" s="85"/>
      <c r="AK186" s="85"/>
      <c r="AL186" s="85"/>
      <c r="AM186" s="85"/>
      <c r="AN186" s="85"/>
      <c r="AO186" s="1" t="s">
        <v>559</v>
      </c>
      <c r="AP186" s="85" t="s">
        <v>591</v>
      </c>
      <c r="AQ186" s="85" t="s">
        <v>597</v>
      </c>
    </row>
    <row r="187" spans="1:43" x14ac:dyDescent="0.35">
      <c r="A187" s="85" t="s">
        <v>63</v>
      </c>
      <c r="B187" s="48">
        <f>_xlfn.XLOOKUP(A187,T_Custos[Produto],T_Custos[Peso])</f>
        <v>8</v>
      </c>
      <c r="C187" s="49" t="str">
        <f>_xlfn.XLOOKUP(A187,T_Custos[Produto],T_Custos[Und])</f>
        <v>kg</v>
      </c>
      <c r="D187" s="1" t="s">
        <v>252</v>
      </c>
      <c r="E187" s="1" t="s">
        <v>261</v>
      </c>
      <c r="F187" s="1" t="s">
        <v>248</v>
      </c>
      <c r="G187" s="1" t="s">
        <v>255</v>
      </c>
      <c r="H187" s="1" t="s">
        <v>258</v>
      </c>
      <c r="I187" s="1" t="s">
        <v>260</v>
      </c>
      <c r="J187" s="1" t="s">
        <v>492</v>
      </c>
      <c r="K187" s="85" t="s">
        <v>552</v>
      </c>
      <c r="L187" s="1" t="s">
        <v>259</v>
      </c>
      <c r="M187" s="1" t="s">
        <v>251</v>
      </c>
      <c r="N187" s="1" t="s">
        <v>257</v>
      </c>
      <c r="O187" s="1" t="s">
        <v>247</v>
      </c>
      <c r="P187" s="1"/>
      <c r="Q187" s="1"/>
      <c r="R187" s="1" t="s">
        <v>256</v>
      </c>
      <c r="S187" s="85" t="s">
        <v>442</v>
      </c>
      <c r="T187" s="85" t="s">
        <v>443</v>
      </c>
      <c r="U187" s="85" t="s">
        <v>444</v>
      </c>
      <c r="V187" s="85" t="s">
        <v>445</v>
      </c>
      <c r="W187" s="85" t="s">
        <v>446</v>
      </c>
      <c r="X187" s="85" t="s">
        <v>452</v>
      </c>
      <c r="Y187" s="85"/>
      <c r="Z187" s="85"/>
      <c r="AA187" s="85" t="s">
        <v>489</v>
      </c>
      <c r="AB187" s="85" t="s">
        <v>490</v>
      </c>
      <c r="AC187" s="85"/>
      <c r="AD187" s="85"/>
      <c r="AE187" s="85"/>
      <c r="AF187" s="85"/>
      <c r="AG187" s="85"/>
      <c r="AH187" s="85"/>
      <c r="AI187" s="85"/>
      <c r="AJ187" s="85"/>
      <c r="AK187" s="85"/>
      <c r="AL187" s="85"/>
      <c r="AM187" s="85"/>
      <c r="AN187" s="85"/>
      <c r="AO187" s="1" t="s">
        <v>559</v>
      </c>
      <c r="AP187" s="85" t="s">
        <v>591</v>
      </c>
      <c r="AQ187" s="85" t="s">
        <v>597</v>
      </c>
    </row>
    <row r="188" spans="1:43" x14ac:dyDescent="0.35">
      <c r="A188" s="134" t="s">
        <v>204</v>
      </c>
      <c r="B188" s="48">
        <f>_xlfn.XLOOKUP(A188,T_Custos[Produto],T_Custos[Peso])</f>
        <v>1</v>
      </c>
      <c r="C188" s="49" t="str">
        <f>_xlfn.XLOOKUP(A188,T_Custos[Produto],T_Custos[Und])</f>
        <v>un</v>
      </c>
      <c r="D188" s="1" t="s">
        <v>252</v>
      </c>
      <c r="E188" s="1" t="s">
        <v>261</v>
      </c>
      <c r="F188" s="1" t="s">
        <v>248</v>
      </c>
      <c r="G188" s="1" t="s">
        <v>255</v>
      </c>
      <c r="H188" s="1" t="s">
        <v>258</v>
      </c>
      <c r="I188" s="1" t="s">
        <v>260</v>
      </c>
      <c r="J188" s="1" t="s">
        <v>492</v>
      </c>
      <c r="K188" s="85" t="s">
        <v>552</v>
      </c>
      <c r="L188" s="1" t="s">
        <v>259</v>
      </c>
      <c r="M188" s="1" t="s">
        <v>251</v>
      </c>
      <c r="N188" s="1" t="s">
        <v>257</v>
      </c>
      <c r="O188" s="1" t="s">
        <v>247</v>
      </c>
      <c r="P188" s="1"/>
      <c r="Q188" s="1"/>
      <c r="R188" s="1" t="s">
        <v>256</v>
      </c>
      <c r="S188" s="85" t="s">
        <v>442</v>
      </c>
      <c r="T188" s="85" t="s">
        <v>443</v>
      </c>
      <c r="U188" s="85" t="s">
        <v>444</v>
      </c>
      <c r="V188" s="85" t="s">
        <v>445</v>
      </c>
      <c r="W188" s="85" t="s">
        <v>446</v>
      </c>
      <c r="X188" s="85"/>
      <c r="Y188" s="85" t="s">
        <v>463</v>
      </c>
      <c r="Z188" s="85" t="s">
        <v>465</v>
      </c>
      <c r="AA188" s="85" t="s">
        <v>489</v>
      </c>
      <c r="AB188" s="85" t="s">
        <v>490</v>
      </c>
      <c r="AC188" s="85"/>
      <c r="AD188" s="85"/>
      <c r="AE188" s="85" t="s">
        <v>509</v>
      </c>
      <c r="AF188" s="85"/>
      <c r="AG188" s="85"/>
      <c r="AH188" s="85"/>
      <c r="AI188" s="85"/>
      <c r="AJ188" s="85"/>
      <c r="AK188" s="85"/>
      <c r="AL188" s="85"/>
      <c r="AM188" s="85"/>
      <c r="AN188" s="85"/>
      <c r="AO188" s="1" t="s">
        <v>559</v>
      </c>
      <c r="AP188" s="85"/>
      <c r="AQ188" s="85" t="s">
        <v>597</v>
      </c>
    </row>
    <row r="189" spans="1:43" x14ac:dyDescent="0.35">
      <c r="A189" s="134" t="s">
        <v>580</v>
      </c>
      <c r="B189" s="64">
        <f>_xlfn.XLOOKUP(A189,T_Custos[Produto],T_Custos[Peso])</f>
        <v>1</v>
      </c>
      <c r="C189" s="65" t="str">
        <f>_xlfn.XLOOKUP(A189,T_Custos[Produto],T_Custos[Und])</f>
        <v>kg</v>
      </c>
      <c r="D189" s="1"/>
      <c r="E189" s="1"/>
      <c r="F189" s="1"/>
      <c r="G189" s="1"/>
      <c r="H189" s="1"/>
      <c r="I189" s="1"/>
      <c r="J189" s="1"/>
      <c r="K189" s="85"/>
      <c r="L189" s="1"/>
      <c r="M189" s="1"/>
      <c r="N189" s="1"/>
      <c r="O189" s="1"/>
      <c r="P189" s="1"/>
      <c r="Q189" s="1"/>
      <c r="R189" s="1"/>
      <c r="S189" s="85"/>
      <c r="T189" s="85"/>
      <c r="U189" s="85"/>
      <c r="V189" s="85"/>
      <c r="W189" s="85"/>
      <c r="X189" s="85"/>
      <c r="Y189" s="85"/>
      <c r="Z189" s="85"/>
      <c r="AA189" s="85"/>
      <c r="AB189" s="85"/>
      <c r="AC189" s="85"/>
      <c r="AD189" s="85"/>
      <c r="AE189" s="85"/>
      <c r="AF189" s="85"/>
      <c r="AG189" s="85"/>
      <c r="AH189" s="85"/>
      <c r="AI189" s="85"/>
      <c r="AJ189" s="85"/>
      <c r="AK189" s="85"/>
      <c r="AL189" s="85"/>
      <c r="AM189" s="85"/>
      <c r="AN189" s="85"/>
      <c r="AO189" s="85"/>
      <c r="AP189" s="85" t="s">
        <v>591</v>
      </c>
      <c r="AQ189" s="85"/>
    </row>
    <row r="190" spans="1:43" x14ac:dyDescent="0.35">
      <c r="A190" s="134" t="s">
        <v>64</v>
      </c>
      <c r="B190" s="48">
        <f>_xlfn.XLOOKUP(A190,T_Custos[Produto],T_Custos[Peso])</f>
        <v>20</v>
      </c>
      <c r="C190" s="49" t="str">
        <f>_xlfn.XLOOKUP(A190,T_Custos[Produto],T_Custos[Und])</f>
        <v>kg</v>
      </c>
      <c r="D190" s="1" t="s">
        <v>252</v>
      </c>
      <c r="E190" s="1" t="s">
        <v>261</v>
      </c>
      <c r="F190" s="1" t="s">
        <v>248</v>
      </c>
      <c r="G190" s="1" t="s">
        <v>255</v>
      </c>
      <c r="H190" s="1" t="s">
        <v>258</v>
      </c>
      <c r="I190" s="1" t="s">
        <v>260</v>
      </c>
      <c r="J190" s="1" t="s">
        <v>492</v>
      </c>
      <c r="K190" s="85" t="s">
        <v>552</v>
      </c>
      <c r="L190" s="1" t="s">
        <v>259</v>
      </c>
      <c r="M190" s="1" t="s">
        <v>251</v>
      </c>
      <c r="N190" s="1" t="s">
        <v>257</v>
      </c>
      <c r="O190" s="1" t="s">
        <v>247</v>
      </c>
      <c r="P190" s="1"/>
      <c r="Q190" s="1"/>
      <c r="R190" s="1" t="s">
        <v>256</v>
      </c>
      <c r="S190" s="85" t="s">
        <v>442</v>
      </c>
      <c r="T190" s="85" t="s">
        <v>443</v>
      </c>
      <c r="U190" s="85" t="s">
        <v>444</v>
      </c>
      <c r="V190" s="85" t="s">
        <v>445</v>
      </c>
      <c r="W190" s="85" t="s">
        <v>446</v>
      </c>
      <c r="X190" s="85" t="s">
        <v>452</v>
      </c>
      <c r="Y190" s="85"/>
      <c r="Z190" s="85" t="s">
        <v>465</v>
      </c>
      <c r="AA190" s="85" t="s">
        <v>489</v>
      </c>
      <c r="AB190" s="85" t="s">
        <v>490</v>
      </c>
      <c r="AC190" s="85" t="s">
        <v>503</v>
      </c>
      <c r="AD190" s="85"/>
      <c r="AE190" s="85" t="s">
        <v>529</v>
      </c>
      <c r="AF190" s="85"/>
      <c r="AG190" s="85"/>
      <c r="AH190" s="85"/>
      <c r="AI190" s="85"/>
      <c r="AJ190" s="85"/>
      <c r="AK190" s="85"/>
      <c r="AL190" s="85"/>
      <c r="AM190" s="85" t="s">
        <v>537</v>
      </c>
      <c r="AN190" s="85" t="s">
        <v>538</v>
      </c>
      <c r="AO190" s="1" t="s">
        <v>559</v>
      </c>
      <c r="AP190" s="85" t="s">
        <v>591</v>
      </c>
      <c r="AQ190" s="85" t="s">
        <v>597</v>
      </c>
    </row>
    <row r="191" spans="1:43" x14ac:dyDescent="0.35">
      <c r="A191" s="134" t="s">
        <v>471</v>
      </c>
      <c r="B191" s="48">
        <f>_xlfn.XLOOKUP(A191,T_Custos[Produto],T_Custos[Peso])</f>
        <v>20</v>
      </c>
      <c r="C191" s="49" t="str">
        <f>_xlfn.XLOOKUP(A191,T_Custos[Produto],T_Custos[Und])</f>
        <v>kg</v>
      </c>
      <c r="D191" s="1"/>
      <c r="E191" s="1"/>
      <c r="F191" s="1"/>
      <c r="G191" s="1"/>
      <c r="H191" s="1"/>
      <c r="I191" s="1"/>
      <c r="J191" s="1" t="s">
        <v>492</v>
      </c>
      <c r="K191" s="85" t="s">
        <v>552</v>
      </c>
      <c r="L191" s="1"/>
      <c r="M191" s="1"/>
      <c r="N191" s="1"/>
      <c r="O191" s="1" t="s">
        <v>247</v>
      </c>
      <c r="P191" s="1"/>
      <c r="Q191" s="1"/>
      <c r="R191" s="1"/>
      <c r="S191" s="85"/>
      <c r="T191" s="85"/>
      <c r="U191" s="85"/>
      <c r="V191" s="85"/>
      <c r="W191" s="85"/>
      <c r="X191" s="85"/>
      <c r="Y191" s="85"/>
      <c r="Z191" s="85"/>
      <c r="AA191" s="85" t="s">
        <v>489</v>
      </c>
      <c r="AB191" s="85" t="s">
        <v>490</v>
      </c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5"/>
      <c r="AO191" s="1" t="s">
        <v>559</v>
      </c>
      <c r="AP191" s="85"/>
      <c r="AQ191" s="85" t="s">
        <v>597</v>
      </c>
    </row>
    <row r="192" spans="1:43" x14ac:dyDescent="0.35">
      <c r="A192" s="134" t="s">
        <v>420</v>
      </c>
      <c r="B192" s="48">
        <f>_xlfn.XLOOKUP(A192,T_Custos[Produto],T_Custos[Peso])</f>
        <v>1</v>
      </c>
      <c r="C192" s="49" t="str">
        <f>_xlfn.XLOOKUP(A192,T_Custos[Produto],T_Custos[Und])</f>
        <v>rd</v>
      </c>
      <c r="D192" s="1"/>
      <c r="E192" s="1"/>
      <c r="F192" s="1"/>
      <c r="G192" s="1"/>
      <c r="H192" s="1"/>
      <c r="I192" s="1"/>
      <c r="J192" s="1"/>
      <c r="K192" s="85"/>
      <c r="L192" s="1"/>
      <c r="M192" s="1"/>
      <c r="N192" s="1"/>
      <c r="O192" s="1"/>
      <c r="P192" s="47" t="s">
        <v>253</v>
      </c>
      <c r="Q192" s="47" t="s">
        <v>254</v>
      </c>
      <c r="R192" s="1"/>
      <c r="S192" s="85" t="s">
        <v>442</v>
      </c>
      <c r="T192" s="85" t="s">
        <v>443</v>
      </c>
      <c r="U192" s="85" t="s">
        <v>444</v>
      </c>
      <c r="V192" s="85" t="s">
        <v>445</v>
      </c>
      <c r="W192" s="85" t="s">
        <v>446</v>
      </c>
      <c r="X192" s="85" t="s">
        <v>452</v>
      </c>
      <c r="Y192" s="85"/>
      <c r="Z192" s="85"/>
      <c r="AA192" s="85"/>
      <c r="AB192" s="85"/>
      <c r="AC192" s="85"/>
      <c r="AD192" s="85"/>
      <c r="AE192" s="85"/>
      <c r="AF192" s="85"/>
      <c r="AG192" s="85"/>
      <c r="AH192" s="85"/>
      <c r="AI192" s="85"/>
      <c r="AJ192" s="85"/>
      <c r="AK192" s="85"/>
      <c r="AL192" s="85"/>
      <c r="AM192" s="85"/>
      <c r="AN192" s="85"/>
      <c r="AO192" s="1"/>
      <c r="AP192" s="85"/>
      <c r="AQ192" s="85"/>
    </row>
    <row r="193" spans="1:43" x14ac:dyDescent="0.35">
      <c r="A193" s="134" t="s">
        <v>377</v>
      </c>
      <c r="B193" s="48">
        <f>_xlfn.XLOOKUP(A193,T_Custos[Produto],T_Custos[Peso])</f>
        <v>1</v>
      </c>
      <c r="C193" s="49" t="str">
        <f>_xlfn.XLOOKUP(A193,T_Custos[Produto],T_Custos[Und])</f>
        <v>und</v>
      </c>
      <c r="D193" s="1"/>
      <c r="E193" s="1"/>
      <c r="F193" s="1"/>
      <c r="G193" s="1"/>
      <c r="H193" s="1"/>
      <c r="I193" s="1"/>
      <c r="J193" s="1"/>
      <c r="K193" s="85"/>
      <c r="L193" s="1"/>
      <c r="M193" s="1"/>
      <c r="N193" s="1"/>
      <c r="O193" s="1"/>
      <c r="P193" s="47" t="s">
        <v>253</v>
      </c>
      <c r="Q193" s="47" t="s">
        <v>254</v>
      </c>
      <c r="R193" s="1"/>
      <c r="S193" s="85" t="s">
        <v>442</v>
      </c>
      <c r="T193" s="85" t="s">
        <v>443</v>
      </c>
      <c r="U193" s="85" t="s">
        <v>444</v>
      </c>
      <c r="V193" s="85" t="s">
        <v>445</v>
      </c>
      <c r="W193" s="85" t="s">
        <v>446</v>
      </c>
      <c r="X193" s="85"/>
      <c r="Y193" s="85"/>
      <c r="Z193" s="85"/>
      <c r="AA193" s="85" t="s">
        <v>489</v>
      </c>
      <c r="AB193" s="85" t="s">
        <v>490</v>
      </c>
      <c r="AC193" s="85"/>
      <c r="AD193" s="85"/>
      <c r="AE193" s="85"/>
      <c r="AF193" s="85"/>
      <c r="AG193" s="85"/>
      <c r="AH193" s="85"/>
      <c r="AI193" s="85"/>
      <c r="AJ193" s="85"/>
      <c r="AK193" s="85"/>
      <c r="AL193" s="85"/>
      <c r="AM193" s="85"/>
      <c r="AN193" s="85"/>
      <c r="AO193" s="1"/>
      <c r="AP193" s="85"/>
      <c r="AQ193" s="85"/>
    </row>
    <row r="194" spans="1:43" x14ac:dyDescent="0.35">
      <c r="A194" s="134" t="s">
        <v>65</v>
      </c>
      <c r="B194" s="48">
        <f>_xlfn.XLOOKUP(A194,T_Custos[Produto],T_Custos[Peso])</f>
        <v>14</v>
      </c>
      <c r="C194" s="49" t="str">
        <f>_xlfn.XLOOKUP(A194,T_Custos[Produto],T_Custos[Und])</f>
        <v>kg</v>
      </c>
      <c r="D194" s="1" t="s">
        <v>252</v>
      </c>
      <c r="E194" s="1" t="s">
        <v>261</v>
      </c>
      <c r="F194" s="1" t="s">
        <v>248</v>
      </c>
      <c r="G194" s="1" t="s">
        <v>255</v>
      </c>
      <c r="H194" s="1" t="s">
        <v>258</v>
      </c>
      <c r="I194" s="1" t="s">
        <v>260</v>
      </c>
      <c r="J194" s="1" t="s">
        <v>492</v>
      </c>
      <c r="K194" s="85" t="s">
        <v>552</v>
      </c>
      <c r="L194" s="1" t="s">
        <v>259</v>
      </c>
      <c r="M194" s="1" t="s">
        <v>251</v>
      </c>
      <c r="N194" s="1" t="s">
        <v>257</v>
      </c>
      <c r="O194" s="1" t="s">
        <v>247</v>
      </c>
      <c r="P194" s="1"/>
      <c r="Q194" s="1"/>
      <c r="R194" s="1" t="s">
        <v>256</v>
      </c>
      <c r="S194" s="85" t="s">
        <v>442</v>
      </c>
      <c r="T194" s="85" t="s">
        <v>443</v>
      </c>
      <c r="U194" s="85" t="s">
        <v>444</v>
      </c>
      <c r="V194" s="85" t="s">
        <v>445</v>
      </c>
      <c r="W194" s="85" t="s">
        <v>446</v>
      </c>
      <c r="X194" s="85" t="s">
        <v>452</v>
      </c>
      <c r="Y194" s="85"/>
      <c r="Z194" s="85"/>
      <c r="AA194" s="85" t="s">
        <v>489</v>
      </c>
      <c r="AB194" s="85" t="s">
        <v>490</v>
      </c>
      <c r="AC194" s="85"/>
      <c r="AD194" s="85"/>
      <c r="AE194" s="85" t="s">
        <v>509</v>
      </c>
      <c r="AF194" s="85"/>
      <c r="AG194" s="85"/>
      <c r="AH194" s="85"/>
      <c r="AI194" s="85"/>
      <c r="AJ194" s="85"/>
      <c r="AK194" s="85"/>
      <c r="AL194" s="85"/>
      <c r="AM194" s="85" t="s">
        <v>537</v>
      </c>
      <c r="AN194" s="85" t="s">
        <v>538</v>
      </c>
      <c r="AO194" s="1" t="s">
        <v>559</v>
      </c>
      <c r="AP194" s="85" t="s">
        <v>591</v>
      </c>
      <c r="AQ194" s="85" t="s">
        <v>597</v>
      </c>
    </row>
    <row r="195" spans="1:43" x14ac:dyDescent="0.35">
      <c r="A195" s="134" t="s">
        <v>66</v>
      </c>
      <c r="B195" s="48">
        <f>_xlfn.XLOOKUP(A195,T_Custos[Produto],T_Custos[Peso])</f>
        <v>9</v>
      </c>
      <c r="C195" s="49" t="str">
        <f>_xlfn.XLOOKUP(A195,T_Custos[Produto],T_Custos[Und])</f>
        <v>kg</v>
      </c>
      <c r="D195" s="1" t="s">
        <v>252</v>
      </c>
      <c r="E195" s="1" t="s">
        <v>261</v>
      </c>
      <c r="F195" s="1" t="s">
        <v>248</v>
      </c>
      <c r="G195" s="1" t="s">
        <v>255</v>
      </c>
      <c r="H195" s="1" t="s">
        <v>258</v>
      </c>
      <c r="I195" s="1" t="s">
        <v>260</v>
      </c>
      <c r="J195" s="1" t="s">
        <v>492</v>
      </c>
      <c r="K195" s="85" t="s">
        <v>552</v>
      </c>
      <c r="L195" s="1" t="s">
        <v>259</v>
      </c>
      <c r="M195" s="1" t="s">
        <v>251</v>
      </c>
      <c r="N195" s="1" t="s">
        <v>257</v>
      </c>
      <c r="O195" s="1" t="s">
        <v>247</v>
      </c>
      <c r="P195" s="1"/>
      <c r="Q195" s="1"/>
      <c r="R195" s="1" t="s">
        <v>256</v>
      </c>
      <c r="S195" s="85" t="s">
        <v>442</v>
      </c>
      <c r="T195" s="85" t="s">
        <v>443</v>
      </c>
      <c r="U195" s="85" t="s">
        <v>444</v>
      </c>
      <c r="V195" s="85" t="s">
        <v>445</v>
      </c>
      <c r="W195" s="85" t="s">
        <v>446</v>
      </c>
      <c r="X195" s="85" t="s">
        <v>452</v>
      </c>
      <c r="Y195" s="85" t="s">
        <v>463</v>
      </c>
      <c r="Z195" s="85"/>
      <c r="AA195" s="85" t="s">
        <v>489</v>
      </c>
      <c r="AB195" s="85" t="s">
        <v>490</v>
      </c>
      <c r="AC195" s="85"/>
      <c r="AD195" s="85"/>
      <c r="AE195" s="85" t="s">
        <v>509</v>
      </c>
      <c r="AF195" s="85"/>
      <c r="AG195" s="85"/>
      <c r="AH195" s="85"/>
      <c r="AI195" s="85"/>
      <c r="AJ195" s="85"/>
      <c r="AK195" s="85"/>
      <c r="AL195" s="85"/>
      <c r="AM195" s="85" t="s">
        <v>537</v>
      </c>
      <c r="AN195" s="85" t="s">
        <v>538</v>
      </c>
      <c r="AO195" s="1" t="s">
        <v>559</v>
      </c>
      <c r="AP195" s="85" t="s">
        <v>591</v>
      </c>
      <c r="AQ195" s="85" t="s">
        <v>597</v>
      </c>
    </row>
    <row r="196" spans="1:43" x14ac:dyDescent="0.35">
      <c r="A196" s="134" t="s">
        <v>378</v>
      </c>
      <c r="B196" s="48">
        <f>_xlfn.XLOOKUP(A196,T_Custos[Produto],T_Custos[Peso])</f>
        <v>1</v>
      </c>
      <c r="C196" s="49" t="str">
        <f>_xlfn.XLOOKUP(A196,T_Custos[Produto],T_Custos[Und])</f>
        <v>und</v>
      </c>
      <c r="D196" s="1"/>
      <c r="E196" s="1"/>
      <c r="F196" s="1"/>
      <c r="G196" s="1"/>
      <c r="H196" s="1"/>
      <c r="I196" s="1"/>
      <c r="J196" s="1"/>
      <c r="K196" s="85"/>
      <c r="L196" s="1"/>
      <c r="M196" s="1"/>
      <c r="N196" s="1"/>
      <c r="O196" s="1"/>
      <c r="P196" s="47" t="s">
        <v>253</v>
      </c>
      <c r="Q196" s="47" t="s">
        <v>254</v>
      </c>
      <c r="R196" s="1"/>
      <c r="S196" s="85" t="s">
        <v>442</v>
      </c>
      <c r="T196" s="85" t="s">
        <v>443</v>
      </c>
      <c r="U196" s="85" t="s">
        <v>444</v>
      </c>
      <c r="V196" s="85" t="s">
        <v>445</v>
      </c>
      <c r="W196" s="85" t="s">
        <v>446</v>
      </c>
      <c r="X196" s="85"/>
      <c r="Y196" s="85"/>
      <c r="Z196" s="85"/>
      <c r="AA196" s="85" t="s">
        <v>489</v>
      </c>
      <c r="AB196" s="85" t="s">
        <v>490</v>
      </c>
      <c r="AC196" s="85"/>
      <c r="AD196" s="85"/>
      <c r="AE196" s="85"/>
      <c r="AF196" s="85"/>
      <c r="AG196" s="85"/>
      <c r="AH196" s="85"/>
      <c r="AI196" s="85"/>
      <c r="AJ196" s="85"/>
      <c r="AK196" s="85"/>
      <c r="AL196" s="85"/>
      <c r="AM196" s="85"/>
      <c r="AN196" s="85"/>
      <c r="AO196" s="1"/>
      <c r="AP196" s="85"/>
      <c r="AQ196" s="85"/>
    </row>
    <row r="197" spans="1:43" x14ac:dyDescent="0.35">
      <c r="A197" s="134" t="s">
        <v>67</v>
      </c>
      <c r="B197" s="48">
        <f>_xlfn.XLOOKUP(A197,T_Custos[Produto],T_Custos[Peso])</f>
        <v>15</v>
      </c>
      <c r="C197" s="49" t="str">
        <f>_xlfn.XLOOKUP(A197,T_Custos[Produto],T_Custos[Und])</f>
        <v>kg</v>
      </c>
      <c r="D197" s="1" t="s">
        <v>252</v>
      </c>
      <c r="E197" s="1" t="s">
        <v>261</v>
      </c>
      <c r="F197" s="1" t="s">
        <v>248</v>
      </c>
      <c r="G197" s="1" t="s">
        <v>255</v>
      </c>
      <c r="H197" s="1" t="s">
        <v>258</v>
      </c>
      <c r="I197" s="1" t="s">
        <v>260</v>
      </c>
      <c r="J197" s="1" t="s">
        <v>492</v>
      </c>
      <c r="K197" s="85" t="s">
        <v>552</v>
      </c>
      <c r="L197" s="1" t="s">
        <v>259</v>
      </c>
      <c r="M197" s="1" t="s">
        <v>251</v>
      </c>
      <c r="N197" s="1" t="s">
        <v>257</v>
      </c>
      <c r="O197" s="1" t="s">
        <v>247</v>
      </c>
      <c r="P197" s="1"/>
      <c r="Q197" s="1"/>
      <c r="R197" s="1" t="s">
        <v>256</v>
      </c>
      <c r="S197" s="85" t="s">
        <v>442</v>
      </c>
      <c r="T197" s="85" t="s">
        <v>443</v>
      </c>
      <c r="U197" s="85" t="s">
        <v>444</v>
      </c>
      <c r="V197" s="85" t="s">
        <v>445</v>
      </c>
      <c r="W197" s="85" t="s">
        <v>446</v>
      </c>
      <c r="X197" s="85" t="s">
        <v>452</v>
      </c>
      <c r="Y197" s="85" t="s">
        <v>463</v>
      </c>
      <c r="Z197" s="85"/>
      <c r="AA197" s="85" t="s">
        <v>489</v>
      </c>
      <c r="AB197" s="85" t="s">
        <v>490</v>
      </c>
      <c r="AC197" s="85"/>
      <c r="AD197" s="85"/>
      <c r="AE197" s="85"/>
      <c r="AF197" s="85"/>
      <c r="AG197" s="85"/>
      <c r="AH197" s="85"/>
      <c r="AI197" s="85"/>
      <c r="AJ197" s="85"/>
      <c r="AK197" s="85"/>
      <c r="AL197" s="85"/>
      <c r="AM197" s="85"/>
      <c r="AN197" s="85"/>
      <c r="AO197" s="1" t="s">
        <v>559</v>
      </c>
      <c r="AP197" s="85" t="s">
        <v>591</v>
      </c>
      <c r="AQ197" s="85" t="s">
        <v>597</v>
      </c>
    </row>
    <row r="198" spans="1:43" x14ac:dyDescent="0.35">
      <c r="A198" s="134" t="s">
        <v>68</v>
      </c>
      <c r="B198" s="48">
        <f>_xlfn.XLOOKUP(A198,T_Custos[Produto],T_Custos[Peso])</f>
        <v>20</v>
      </c>
      <c r="C198" s="49" t="str">
        <f>_xlfn.XLOOKUP(A198,T_Custos[Produto],T_Custos[Und])</f>
        <v>kg</v>
      </c>
      <c r="D198" s="1" t="s">
        <v>252</v>
      </c>
      <c r="E198" s="1" t="s">
        <v>261</v>
      </c>
      <c r="F198" s="1" t="s">
        <v>248</v>
      </c>
      <c r="G198" s="1" t="s">
        <v>255</v>
      </c>
      <c r="H198" s="1" t="s">
        <v>258</v>
      </c>
      <c r="I198" s="1" t="s">
        <v>260</v>
      </c>
      <c r="J198" s="1" t="s">
        <v>492</v>
      </c>
      <c r="K198" s="85" t="s">
        <v>552</v>
      </c>
      <c r="L198" s="1" t="s">
        <v>259</v>
      </c>
      <c r="M198" s="1" t="s">
        <v>251</v>
      </c>
      <c r="N198" s="1" t="s">
        <v>257</v>
      </c>
      <c r="O198" s="1" t="s">
        <v>247</v>
      </c>
      <c r="P198" s="1"/>
      <c r="Q198" s="1"/>
      <c r="R198" s="1" t="s">
        <v>256</v>
      </c>
      <c r="S198" s="85" t="s">
        <v>442</v>
      </c>
      <c r="T198" s="85" t="s">
        <v>443</v>
      </c>
      <c r="U198" s="85" t="s">
        <v>444</v>
      </c>
      <c r="V198" s="85" t="s">
        <v>445</v>
      </c>
      <c r="W198" s="85" t="s">
        <v>446</v>
      </c>
      <c r="X198" s="85" t="s">
        <v>452</v>
      </c>
      <c r="Y198" s="85"/>
      <c r="Z198" s="85"/>
      <c r="AA198" s="85" t="s">
        <v>489</v>
      </c>
      <c r="AB198" s="85" t="s">
        <v>490</v>
      </c>
      <c r="AC198" s="85"/>
      <c r="AD198" s="85"/>
      <c r="AE198" s="85"/>
      <c r="AF198" s="85"/>
      <c r="AG198" s="85"/>
      <c r="AH198" s="85"/>
      <c r="AI198" s="85"/>
      <c r="AJ198" s="85"/>
      <c r="AK198" s="85"/>
      <c r="AL198" s="85"/>
      <c r="AM198" s="85"/>
      <c r="AN198" s="85"/>
      <c r="AO198" s="1" t="s">
        <v>559</v>
      </c>
      <c r="AP198" s="85" t="s">
        <v>591</v>
      </c>
      <c r="AQ198" s="85" t="s">
        <v>597</v>
      </c>
    </row>
    <row r="199" spans="1:43" x14ac:dyDescent="0.35">
      <c r="A199" s="134" t="s">
        <v>69</v>
      </c>
      <c r="B199" s="48">
        <f>_xlfn.XLOOKUP(A199,T_Custos[Produto],T_Custos[Peso])</f>
        <v>20</v>
      </c>
      <c r="C199" s="49" t="str">
        <f>_xlfn.XLOOKUP(A199,T_Custos[Produto],T_Custos[Und])</f>
        <v>kg</v>
      </c>
      <c r="D199" s="1" t="s">
        <v>252</v>
      </c>
      <c r="E199" s="1" t="s">
        <v>261</v>
      </c>
      <c r="F199" s="1" t="s">
        <v>248</v>
      </c>
      <c r="G199" s="1" t="s">
        <v>255</v>
      </c>
      <c r="H199" s="1" t="s">
        <v>258</v>
      </c>
      <c r="I199" s="1" t="s">
        <v>260</v>
      </c>
      <c r="J199" s="1" t="s">
        <v>492</v>
      </c>
      <c r="K199" s="85" t="s">
        <v>552</v>
      </c>
      <c r="L199" s="1" t="s">
        <v>259</v>
      </c>
      <c r="M199" s="1" t="s">
        <v>251</v>
      </c>
      <c r="N199" s="1" t="s">
        <v>257</v>
      </c>
      <c r="O199" s="1" t="s">
        <v>247</v>
      </c>
      <c r="P199" s="1"/>
      <c r="Q199" s="1"/>
      <c r="R199" s="1" t="s">
        <v>256</v>
      </c>
      <c r="S199" s="85" t="s">
        <v>442</v>
      </c>
      <c r="T199" s="85" t="s">
        <v>443</v>
      </c>
      <c r="U199" s="85" t="s">
        <v>444</v>
      </c>
      <c r="V199" s="85" t="s">
        <v>445</v>
      </c>
      <c r="W199" s="85" t="s">
        <v>446</v>
      </c>
      <c r="X199" s="85" t="s">
        <v>452</v>
      </c>
      <c r="Y199" s="85" t="s">
        <v>463</v>
      </c>
      <c r="Z199" s="85" t="s">
        <v>465</v>
      </c>
      <c r="AA199" s="85" t="s">
        <v>489</v>
      </c>
      <c r="AB199" s="85" t="s">
        <v>490</v>
      </c>
      <c r="AC199" s="85" t="s">
        <v>503</v>
      </c>
      <c r="AD199" s="85"/>
      <c r="AE199" s="85"/>
      <c r="AF199" s="85"/>
      <c r="AG199" s="85"/>
      <c r="AH199" s="85"/>
      <c r="AI199" s="85"/>
      <c r="AJ199" s="85"/>
      <c r="AK199" s="85"/>
      <c r="AL199" s="85"/>
      <c r="AM199" s="85"/>
      <c r="AN199" s="85"/>
      <c r="AO199" s="1" t="s">
        <v>559</v>
      </c>
      <c r="AP199" s="85" t="s">
        <v>591</v>
      </c>
      <c r="AQ199" s="85" t="s">
        <v>597</v>
      </c>
    </row>
    <row r="200" spans="1:43" x14ac:dyDescent="0.35">
      <c r="A200" s="134" t="s">
        <v>421</v>
      </c>
      <c r="B200" s="48">
        <f>_xlfn.XLOOKUP(A200,T_Custos[Produto],T_Custos[Peso])</f>
        <v>1</v>
      </c>
      <c r="C200" s="49" t="str">
        <f>_xlfn.XLOOKUP(A200,T_Custos[Produto],T_Custos[Und])</f>
        <v>rd</v>
      </c>
      <c r="D200" s="1"/>
      <c r="E200" s="1"/>
      <c r="F200" s="1"/>
      <c r="G200" s="1"/>
      <c r="H200" s="1"/>
      <c r="I200" s="1"/>
      <c r="J200" s="1"/>
      <c r="K200" s="85"/>
      <c r="L200" s="1"/>
      <c r="M200" s="1"/>
      <c r="N200" s="1"/>
      <c r="O200" s="1"/>
      <c r="P200" s="47" t="s">
        <v>253</v>
      </c>
      <c r="Q200" s="47" t="s">
        <v>254</v>
      </c>
      <c r="R200" s="1"/>
      <c r="S200" s="85" t="s">
        <v>442</v>
      </c>
      <c r="T200" s="85" t="s">
        <v>443</v>
      </c>
      <c r="U200" s="85" t="s">
        <v>444</v>
      </c>
      <c r="V200" s="85" t="s">
        <v>445</v>
      </c>
      <c r="W200" s="85" t="s">
        <v>446</v>
      </c>
      <c r="X200" s="85" t="s">
        <v>452</v>
      </c>
      <c r="Y200" s="85"/>
      <c r="Z200" s="85"/>
      <c r="AA200" s="85"/>
      <c r="AB200" s="85"/>
      <c r="AC200" s="85"/>
      <c r="AD200" s="85"/>
      <c r="AE200" s="85"/>
      <c r="AF200" s="85"/>
      <c r="AG200" s="85"/>
      <c r="AH200" s="85"/>
      <c r="AI200" s="85"/>
      <c r="AJ200" s="85"/>
      <c r="AK200" s="85"/>
      <c r="AL200" s="85"/>
      <c r="AM200" s="85"/>
      <c r="AN200" s="85"/>
      <c r="AO200" s="1"/>
      <c r="AP200" s="85"/>
      <c r="AQ200" s="85"/>
    </row>
    <row r="201" spans="1:43" x14ac:dyDescent="0.35">
      <c r="A201" s="134" t="s">
        <v>379</v>
      </c>
      <c r="B201" s="48">
        <f>_xlfn.XLOOKUP(A201,T_Custos[Produto],T_Custos[Peso])</f>
        <v>1</v>
      </c>
      <c r="C201" s="49" t="str">
        <f>_xlfn.XLOOKUP(A201,T_Custos[Produto],T_Custos[Und])</f>
        <v>und</v>
      </c>
      <c r="D201" s="1"/>
      <c r="E201" s="1"/>
      <c r="F201" s="1"/>
      <c r="G201" s="1"/>
      <c r="H201" s="1"/>
      <c r="I201" s="1"/>
      <c r="J201" s="1"/>
      <c r="K201" s="85"/>
      <c r="L201" s="1"/>
      <c r="M201" s="1"/>
      <c r="N201" s="1"/>
      <c r="O201" s="1"/>
      <c r="P201" s="47" t="s">
        <v>253</v>
      </c>
      <c r="Q201" s="47" t="s">
        <v>254</v>
      </c>
      <c r="R201" s="1"/>
      <c r="S201" s="85" t="s">
        <v>442</v>
      </c>
      <c r="T201" s="85" t="s">
        <v>443</v>
      </c>
      <c r="U201" s="85" t="s">
        <v>444</v>
      </c>
      <c r="V201" s="85" t="s">
        <v>445</v>
      </c>
      <c r="W201" s="85" t="s">
        <v>446</v>
      </c>
      <c r="X201" s="85"/>
      <c r="Y201" s="85"/>
      <c r="Z201" s="85"/>
      <c r="AA201" s="85" t="s">
        <v>489</v>
      </c>
      <c r="AB201" s="85" t="s">
        <v>490</v>
      </c>
      <c r="AC201" s="85"/>
      <c r="AD201" s="85"/>
      <c r="AE201" s="85"/>
      <c r="AF201" s="85"/>
      <c r="AG201" s="85"/>
      <c r="AH201" s="85"/>
      <c r="AI201" s="85"/>
      <c r="AJ201" s="85"/>
      <c r="AK201" s="85"/>
      <c r="AL201" s="85"/>
      <c r="AM201" s="85"/>
      <c r="AN201" s="85"/>
      <c r="AO201" s="1"/>
      <c r="AP201" s="85"/>
      <c r="AQ201" s="85"/>
    </row>
    <row r="202" spans="1:43" x14ac:dyDescent="0.35">
      <c r="A202" s="134" t="s">
        <v>70</v>
      </c>
      <c r="B202" s="48">
        <f>_xlfn.XLOOKUP(A202,T_Custos[Produto],T_Custos[Peso])</f>
        <v>20</v>
      </c>
      <c r="C202" s="49" t="str">
        <f>_xlfn.XLOOKUP(A202,T_Custos[Produto],T_Custos[Und])</f>
        <v>kg</v>
      </c>
      <c r="D202" s="1" t="s">
        <v>252</v>
      </c>
      <c r="E202" s="1" t="s">
        <v>261</v>
      </c>
      <c r="F202" s="1" t="s">
        <v>248</v>
      </c>
      <c r="G202" s="1" t="s">
        <v>255</v>
      </c>
      <c r="H202" s="1" t="s">
        <v>258</v>
      </c>
      <c r="I202" s="1" t="s">
        <v>260</v>
      </c>
      <c r="J202" s="1" t="s">
        <v>492</v>
      </c>
      <c r="K202" s="85" t="s">
        <v>552</v>
      </c>
      <c r="L202" s="1" t="s">
        <v>259</v>
      </c>
      <c r="M202" s="1" t="s">
        <v>251</v>
      </c>
      <c r="N202" s="1" t="s">
        <v>257</v>
      </c>
      <c r="O202" s="1" t="s">
        <v>247</v>
      </c>
      <c r="P202" s="1"/>
      <c r="Q202" s="1"/>
      <c r="R202" s="1" t="s">
        <v>256</v>
      </c>
      <c r="S202" s="85" t="s">
        <v>442</v>
      </c>
      <c r="T202" s="85" t="s">
        <v>443</v>
      </c>
      <c r="U202" s="85" t="s">
        <v>444</v>
      </c>
      <c r="V202" s="85" t="s">
        <v>445</v>
      </c>
      <c r="W202" s="85" t="s">
        <v>446</v>
      </c>
      <c r="X202" s="85" t="s">
        <v>452</v>
      </c>
      <c r="Y202" s="85" t="s">
        <v>463</v>
      </c>
      <c r="Z202" s="85" t="s">
        <v>465</v>
      </c>
      <c r="AA202" s="85" t="s">
        <v>489</v>
      </c>
      <c r="AB202" s="85" t="s">
        <v>490</v>
      </c>
      <c r="AC202" s="85" t="s">
        <v>503</v>
      </c>
      <c r="AD202" s="85" t="s">
        <v>507</v>
      </c>
      <c r="AE202" s="85" t="s">
        <v>509</v>
      </c>
      <c r="AF202" s="85" t="s">
        <v>515</v>
      </c>
      <c r="AG202" s="85" t="s">
        <v>516</v>
      </c>
      <c r="AH202" s="85" t="s">
        <v>517</v>
      </c>
      <c r="AI202" s="85" t="s">
        <v>518</v>
      </c>
      <c r="AJ202" s="85" t="s">
        <v>519</v>
      </c>
      <c r="AK202" s="85" t="s">
        <v>520</v>
      </c>
      <c r="AL202" s="85" t="s">
        <v>521</v>
      </c>
      <c r="AM202" s="85" t="s">
        <v>537</v>
      </c>
      <c r="AN202" s="85" t="s">
        <v>538</v>
      </c>
      <c r="AO202" s="1" t="s">
        <v>559</v>
      </c>
      <c r="AP202" s="85" t="s">
        <v>591</v>
      </c>
      <c r="AQ202" s="85" t="s">
        <v>597</v>
      </c>
    </row>
    <row r="203" spans="1:43" x14ac:dyDescent="0.35">
      <c r="A203" s="134" t="s">
        <v>422</v>
      </c>
      <c r="B203" s="48">
        <f>_xlfn.XLOOKUP(A203,T_Custos[Produto],T_Custos[Peso])</f>
        <v>1</v>
      </c>
      <c r="C203" s="49" t="str">
        <f>_xlfn.XLOOKUP(A203,T_Custos[Produto],T_Custos[Und])</f>
        <v>rd</v>
      </c>
      <c r="D203" s="1"/>
      <c r="E203" s="1"/>
      <c r="F203" s="1"/>
      <c r="G203" s="1"/>
      <c r="H203" s="1"/>
      <c r="I203" s="1"/>
      <c r="J203" s="1"/>
      <c r="K203" s="85"/>
      <c r="L203" s="1"/>
      <c r="M203" s="1"/>
      <c r="N203" s="1"/>
      <c r="O203" s="1"/>
      <c r="P203" s="47" t="s">
        <v>253</v>
      </c>
      <c r="Q203" s="47" t="s">
        <v>254</v>
      </c>
      <c r="R203" s="1"/>
      <c r="S203" s="85" t="s">
        <v>442</v>
      </c>
      <c r="T203" s="85" t="s">
        <v>443</v>
      </c>
      <c r="U203" s="85" t="s">
        <v>444</v>
      </c>
      <c r="V203" s="85" t="s">
        <v>445</v>
      </c>
      <c r="W203" s="85" t="s">
        <v>446</v>
      </c>
      <c r="X203" s="85" t="s">
        <v>452</v>
      </c>
      <c r="Y203" s="85"/>
      <c r="Z203" s="85"/>
      <c r="AA203" s="85"/>
      <c r="AB203" s="85"/>
      <c r="AC203" s="85"/>
      <c r="AD203" s="85"/>
      <c r="AE203" s="85"/>
      <c r="AF203" s="85"/>
      <c r="AG203" s="85"/>
      <c r="AH203" s="85"/>
      <c r="AI203" s="85"/>
      <c r="AJ203" s="85"/>
      <c r="AK203" s="85"/>
      <c r="AL203" s="85"/>
      <c r="AM203" s="85"/>
      <c r="AN203" s="85"/>
      <c r="AO203" s="1"/>
      <c r="AP203" s="85"/>
      <c r="AQ203" s="85"/>
    </row>
    <row r="204" spans="1:43" x14ac:dyDescent="0.35">
      <c r="A204" s="134" t="s">
        <v>71</v>
      </c>
      <c r="B204" s="48">
        <f>_xlfn.XLOOKUP(A204,T_Custos[Produto],T_Custos[Peso])</f>
        <v>10</v>
      </c>
      <c r="C204" s="49" t="str">
        <f>_xlfn.XLOOKUP(A204,T_Custos[Produto],T_Custos[Und])</f>
        <v>sc</v>
      </c>
      <c r="D204" s="1" t="s">
        <v>252</v>
      </c>
      <c r="E204" s="1" t="s">
        <v>261</v>
      </c>
      <c r="F204" s="1" t="s">
        <v>248</v>
      </c>
      <c r="G204" s="1" t="s">
        <v>255</v>
      </c>
      <c r="H204" s="1" t="s">
        <v>258</v>
      </c>
      <c r="I204" s="1" t="s">
        <v>260</v>
      </c>
      <c r="J204" s="1" t="s">
        <v>492</v>
      </c>
      <c r="K204" s="85" t="s">
        <v>552</v>
      </c>
      <c r="L204" s="1" t="s">
        <v>259</v>
      </c>
      <c r="M204" s="1" t="s">
        <v>251</v>
      </c>
      <c r="N204" s="1" t="s">
        <v>257</v>
      </c>
      <c r="O204" s="1" t="s">
        <v>247</v>
      </c>
      <c r="P204" s="1"/>
      <c r="Q204" s="1"/>
      <c r="R204" s="1" t="s">
        <v>256</v>
      </c>
      <c r="S204" s="85" t="s">
        <v>442</v>
      </c>
      <c r="T204" s="85" t="s">
        <v>443</v>
      </c>
      <c r="U204" s="85" t="s">
        <v>444</v>
      </c>
      <c r="V204" s="85" t="s">
        <v>445</v>
      </c>
      <c r="W204" s="85" t="s">
        <v>446</v>
      </c>
      <c r="X204" s="85" t="s">
        <v>452</v>
      </c>
      <c r="Y204" s="85"/>
      <c r="Z204" s="85"/>
      <c r="AA204" s="85" t="s">
        <v>489</v>
      </c>
      <c r="AB204" s="85" t="s">
        <v>490</v>
      </c>
      <c r="AC204" s="85"/>
      <c r="AD204" s="85"/>
      <c r="AE204" s="85"/>
      <c r="AF204" s="85"/>
      <c r="AG204" s="85"/>
      <c r="AH204" s="85"/>
      <c r="AI204" s="85"/>
      <c r="AJ204" s="85"/>
      <c r="AK204" s="85"/>
      <c r="AL204" s="85"/>
      <c r="AM204" s="85"/>
      <c r="AN204" s="85"/>
      <c r="AO204" s="1" t="s">
        <v>559</v>
      </c>
      <c r="AP204" s="85" t="s">
        <v>591</v>
      </c>
      <c r="AQ204" s="85" t="s">
        <v>597</v>
      </c>
    </row>
    <row r="205" spans="1:43" x14ac:dyDescent="0.35">
      <c r="A205" s="134" t="s">
        <v>380</v>
      </c>
      <c r="B205" s="48">
        <f>_xlfn.XLOOKUP(A205,T_Custos[Produto],T_Custos[Peso])</f>
        <v>1</v>
      </c>
      <c r="C205" s="49" t="str">
        <f>_xlfn.XLOOKUP(A205,T_Custos[Produto],T_Custos[Und])</f>
        <v>und</v>
      </c>
      <c r="D205" s="1"/>
      <c r="E205" s="1"/>
      <c r="F205" s="1"/>
      <c r="G205" s="1"/>
      <c r="H205" s="1"/>
      <c r="I205" s="1"/>
      <c r="J205" s="1"/>
      <c r="K205" s="85"/>
      <c r="L205" s="1"/>
      <c r="M205" s="1"/>
      <c r="N205" s="1"/>
      <c r="O205" s="1"/>
      <c r="P205" s="47" t="s">
        <v>253</v>
      </c>
      <c r="Q205" s="47" t="s">
        <v>254</v>
      </c>
      <c r="R205" s="1"/>
      <c r="S205" s="85" t="s">
        <v>442</v>
      </c>
      <c r="T205" s="85" t="s">
        <v>443</v>
      </c>
      <c r="U205" s="85" t="s">
        <v>444</v>
      </c>
      <c r="V205" s="85" t="s">
        <v>445</v>
      </c>
      <c r="W205" s="85" t="s">
        <v>446</v>
      </c>
      <c r="X205" s="85"/>
      <c r="Y205" s="85"/>
      <c r="Z205" s="85"/>
      <c r="AA205" s="85" t="s">
        <v>489</v>
      </c>
      <c r="AB205" s="85" t="s">
        <v>490</v>
      </c>
      <c r="AC205" s="85"/>
      <c r="AD205" s="85"/>
      <c r="AE205" s="85"/>
      <c r="AF205" s="85"/>
      <c r="AG205" s="85"/>
      <c r="AH205" s="85"/>
      <c r="AI205" s="85"/>
      <c r="AJ205" s="85"/>
      <c r="AK205" s="85"/>
      <c r="AL205" s="85"/>
      <c r="AM205" s="85"/>
      <c r="AN205" s="85"/>
      <c r="AO205" s="1"/>
      <c r="AP205" s="85"/>
      <c r="AQ205" s="85"/>
    </row>
    <row r="206" spans="1:43" x14ac:dyDescent="0.35">
      <c r="A206" s="134" t="s">
        <v>72</v>
      </c>
      <c r="B206" s="48">
        <f>_xlfn.XLOOKUP(A206,T_Custos[Produto],T_Custos[Peso])</f>
        <v>20</v>
      </c>
      <c r="C206" s="49" t="str">
        <f>_xlfn.XLOOKUP(A206,T_Custos[Produto],T_Custos[Und])</f>
        <v>kg</v>
      </c>
      <c r="D206" s="1" t="s">
        <v>252</v>
      </c>
      <c r="E206" s="1" t="s">
        <v>261</v>
      </c>
      <c r="F206" s="1" t="s">
        <v>248</v>
      </c>
      <c r="G206" s="1" t="s">
        <v>255</v>
      </c>
      <c r="H206" s="1" t="s">
        <v>258</v>
      </c>
      <c r="I206" s="1" t="s">
        <v>260</v>
      </c>
      <c r="J206" s="1" t="s">
        <v>492</v>
      </c>
      <c r="K206" s="85" t="s">
        <v>552</v>
      </c>
      <c r="L206" s="1" t="s">
        <v>259</v>
      </c>
      <c r="M206" s="1" t="s">
        <v>251</v>
      </c>
      <c r="N206" s="1" t="s">
        <v>257</v>
      </c>
      <c r="O206" s="1" t="s">
        <v>247</v>
      </c>
      <c r="P206" s="1"/>
      <c r="Q206" s="1"/>
      <c r="R206" s="1" t="s">
        <v>256</v>
      </c>
      <c r="S206" s="85" t="s">
        <v>442</v>
      </c>
      <c r="T206" s="85" t="s">
        <v>443</v>
      </c>
      <c r="U206" s="85" t="s">
        <v>444</v>
      </c>
      <c r="V206" s="85" t="s">
        <v>445</v>
      </c>
      <c r="W206" s="85" t="s">
        <v>446</v>
      </c>
      <c r="X206" s="85" t="s">
        <v>452</v>
      </c>
      <c r="Y206" s="85" t="s">
        <v>463</v>
      </c>
      <c r="Z206" s="85" t="s">
        <v>465</v>
      </c>
      <c r="AA206" s="85" t="s">
        <v>489</v>
      </c>
      <c r="AB206" s="85" t="s">
        <v>490</v>
      </c>
      <c r="AC206" s="85"/>
      <c r="AD206" s="85"/>
      <c r="AE206" s="85"/>
      <c r="AF206" s="85"/>
      <c r="AG206" s="85"/>
      <c r="AH206" s="85"/>
      <c r="AI206" s="85"/>
      <c r="AJ206" s="85"/>
      <c r="AK206" s="85"/>
      <c r="AL206" s="85"/>
      <c r="AM206" s="85"/>
      <c r="AN206" s="85"/>
      <c r="AO206" s="1" t="s">
        <v>559</v>
      </c>
      <c r="AP206" s="85" t="s">
        <v>591</v>
      </c>
      <c r="AQ206" s="85" t="s">
        <v>597</v>
      </c>
    </row>
    <row r="207" spans="1:43" x14ac:dyDescent="0.35">
      <c r="A207" s="134" t="s">
        <v>546</v>
      </c>
      <c r="B207" s="48">
        <f>_xlfn.XLOOKUP(A207,T_Custos[Produto],T_Custos[Peso])</f>
        <v>4</v>
      </c>
      <c r="C207" s="49" t="str">
        <f>_xlfn.XLOOKUP(A207,T_Custos[Produto],T_Custos[Und])</f>
        <v>bd</v>
      </c>
      <c r="D207" s="1" t="s">
        <v>252</v>
      </c>
      <c r="E207" s="1" t="s">
        <v>261</v>
      </c>
      <c r="F207" s="1" t="s">
        <v>248</v>
      </c>
      <c r="G207" s="1" t="s">
        <v>255</v>
      </c>
      <c r="H207" s="1" t="s">
        <v>258</v>
      </c>
      <c r="I207" s="1" t="s">
        <v>260</v>
      </c>
      <c r="J207" s="1" t="s">
        <v>492</v>
      </c>
      <c r="K207" s="85" t="s">
        <v>552</v>
      </c>
      <c r="L207" s="1" t="s">
        <v>259</v>
      </c>
      <c r="M207" s="1" t="s">
        <v>251</v>
      </c>
      <c r="N207" s="1" t="s">
        <v>257</v>
      </c>
      <c r="O207" s="1" t="s">
        <v>247</v>
      </c>
      <c r="P207" s="1"/>
      <c r="Q207" s="1"/>
      <c r="R207" s="1" t="s">
        <v>256</v>
      </c>
      <c r="S207" s="85" t="s">
        <v>442</v>
      </c>
      <c r="T207" s="85" t="s">
        <v>443</v>
      </c>
      <c r="U207" s="85" t="s">
        <v>444</v>
      </c>
      <c r="V207" s="85" t="s">
        <v>445</v>
      </c>
      <c r="W207" s="85" t="s">
        <v>446</v>
      </c>
      <c r="X207" s="85" t="s">
        <v>452</v>
      </c>
      <c r="Y207" s="85"/>
      <c r="Z207" s="85"/>
      <c r="AA207" s="85" t="s">
        <v>489</v>
      </c>
      <c r="AB207" s="85" t="s">
        <v>490</v>
      </c>
      <c r="AC207" s="85"/>
      <c r="AD207" s="85"/>
      <c r="AE207" s="85"/>
      <c r="AF207" s="85"/>
      <c r="AG207" s="85"/>
      <c r="AH207" s="85"/>
      <c r="AI207" s="85"/>
      <c r="AJ207" s="85"/>
      <c r="AK207" s="85"/>
      <c r="AL207" s="85"/>
      <c r="AM207" s="85" t="s">
        <v>537</v>
      </c>
      <c r="AN207" s="85" t="s">
        <v>538</v>
      </c>
      <c r="AO207" s="1" t="s">
        <v>559</v>
      </c>
      <c r="AP207" s="85" t="s">
        <v>591</v>
      </c>
      <c r="AQ207" s="85" t="s">
        <v>597</v>
      </c>
    </row>
    <row r="208" spans="1:43" x14ac:dyDescent="0.35">
      <c r="A208" s="134" t="s">
        <v>73</v>
      </c>
      <c r="B208" s="48">
        <f>_xlfn.XLOOKUP(A208,T_Custos[Produto],T_Custos[Peso])</f>
        <v>9</v>
      </c>
      <c r="C208" s="49" t="str">
        <f>_xlfn.XLOOKUP(A208,T_Custos[Produto],T_Custos[Und])</f>
        <v>kg</v>
      </c>
      <c r="D208" s="1" t="s">
        <v>252</v>
      </c>
      <c r="E208" s="1" t="s">
        <v>261</v>
      </c>
      <c r="F208" s="1" t="s">
        <v>248</v>
      </c>
      <c r="G208" s="1" t="s">
        <v>255</v>
      </c>
      <c r="H208" s="1" t="s">
        <v>258</v>
      </c>
      <c r="I208" s="1" t="s">
        <v>260</v>
      </c>
      <c r="J208" s="1" t="s">
        <v>492</v>
      </c>
      <c r="K208" s="85" t="s">
        <v>552</v>
      </c>
      <c r="L208" s="1" t="s">
        <v>259</v>
      </c>
      <c r="M208" s="1" t="s">
        <v>251</v>
      </c>
      <c r="N208" s="1" t="s">
        <v>257</v>
      </c>
      <c r="O208" s="1" t="s">
        <v>247</v>
      </c>
      <c r="P208" s="1"/>
      <c r="Q208" s="1"/>
      <c r="R208" s="1" t="s">
        <v>256</v>
      </c>
      <c r="S208" s="85" t="s">
        <v>442</v>
      </c>
      <c r="T208" s="85" t="s">
        <v>443</v>
      </c>
      <c r="U208" s="85" t="s">
        <v>444</v>
      </c>
      <c r="V208" s="85" t="s">
        <v>445</v>
      </c>
      <c r="W208" s="85" t="s">
        <v>446</v>
      </c>
      <c r="X208" s="85" t="s">
        <v>452</v>
      </c>
      <c r="Y208" s="85"/>
      <c r="Z208" s="85"/>
      <c r="AA208" s="85" t="s">
        <v>489</v>
      </c>
      <c r="AB208" s="85" t="s">
        <v>490</v>
      </c>
      <c r="AC208" s="85"/>
      <c r="AD208" s="85"/>
      <c r="AE208" s="85"/>
      <c r="AF208" s="85"/>
      <c r="AG208" s="85"/>
      <c r="AH208" s="85"/>
      <c r="AI208" s="85"/>
      <c r="AJ208" s="85"/>
      <c r="AK208" s="85"/>
      <c r="AL208" s="85"/>
      <c r="AM208" s="85"/>
      <c r="AN208" s="85"/>
      <c r="AO208" s="1" t="s">
        <v>559</v>
      </c>
      <c r="AP208" s="85" t="s">
        <v>591</v>
      </c>
      <c r="AQ208" s="85" t="s">
        <v>597</v>
      </c>
    </row>
    <row r="209" spans="1:43" x14ac:dyDescent="0.35">
      <c r="A209" s="134" t="s">
        <v>532</v>
      </c>
      <c r="B209" s="132">
        <f>_xlfn.XLOOKUP(A209,T_Custos[Produto],T_Custos[Peso])</f>
        <v>20</v>
      </c>
      <c r="C209" s="133" t="str">
        <f>_xlfn.XLOOKUP(A209,T_Custos[Produto],T_Custos[Und])</f>
        <v>kg</v>
      </c>
      <c r="D209" s="1"/>
      <c r="E209" s="1"/>
      <c r="F209" s="1"/>
      <c r="G209" s="1"/>
      <c r="H209" s="1"/>
      <c r="I209" s="1"/>
      <c r="J209" s="1" t="s">
        <v>492</v>
      </c>
      <c r="K209" s="85" t="s">
        <v>552</v>
      </c>
      <c r="L209" s="1"/>
      <c r="M209" s="1"/>
      <c r="N209" s="1"/>
      <c r="O209" s="1"/>
      <c r="P209" s="85"/>
      <c r="Q209" s="85"/>
      <c r="R209" s="1"/>
      <c r="S209" s="85"/>
      <c r="T209" s="85"/>
      <c r="U209" s="85"/>
      <c r="V209" s="85"/>
      <c r="W209" s="85"/>
      <c r="X209" s="85"/>
      <c r="Y209" s="85"/>
      <c r="Z209" s="85"/>
      <c r="AA209" s="85"/>
      <c r="AB209" s="85"/>
      <c r="AC209" s="85"/>
      <c r="AD209" s="85"/>
      <c r="AE209" s="85"/>
      <c r="AF209" s="85"/>
      <c r="AG209" s="85"/>
      <c r="AH209" s="85"/>
      <c r="AI209" s="85"/>
      <c r="AJ209" s="85"/>
      <c r="AK209" s="85"/>
      <c r="AL209" s="85"/>
      <c r="AM209" s="85"/>
      <c r="AN209" s="85"/>
      <c r="AO209" s="1" t="s">
        <v>559</v>
      </c>
      <c r="AP209" s="85" t="s">
        <v>591</v>
      </c>
      <c r="AQ209" s="85" t="s">
        <v>597</v>
      </c>
    </row>
    <row r="210" spans="1:43" x14ac:dyDescent="0.35">
      <c r="A210" s="134" t="s">
        <v>74</v>
      </c>
      <c r="B210" s="48">
        <f>_xlfn.XLOOKUP(A210,T_Custos[Produto],T_Custos[Peso])</f>
        <v>20</v>
      </c>
      <c r="C210" s="49" t="str">
        <f>_xlfn.XLOOKUP(A210,T_Custos[Produto],T_Custos[Und])</f>
        <v>kg</v>
      </c>
      <c r="D210" s="1" t="s">
        <v>252</v>
      </c>
      <c r="E210" s="1" t="s">
        <v>261</v>
      </c>
      <c r="F210" s="1" t="s">
        <v>248</v>
      </c>
      <c r="G210" s="1" t="s">
        <v>255</v>
      </c>
      <c r="H210" s="1" t="s">
        <v>258</v>
      </c>
      <c r="I210" s="1" t="s">
        <v>260</v>
      </c>
      <c r="J210" s="1" t="s">
        <v>492</v>
      </c>
      <c r="K210" s="85" t="s">
        <v>552</v>
      </c>
      <c r="L210" s="1" t="s">
        <v>259</v>
      </c>
      <c r="M210" s="1" t="s">
        <v>251</v>
      </c>
      <c r="N210" s="1" t="s">
        <v>257</v>
      </c>
      <c r="O210" s="1" t="s">
        <v>247</v>
      </c>
      <c r="P210" s="1"/>
      <c r="Q210" s="1"/>
      <c r="R210" s="1" t="s">
        <v>256</v>
      </c>
      <c r="S210" s="85" t="s">
        <v>442</v>
      </c>
      <c r="T210" s="85" t="s">
        <v>443</v>
      </c>
      <c r="U210" s="85" t="s">
        <v>444</v>
      </c>
      <c r="V210" s="85" t="s">
        <v>445</v>
      </c>
      <c r="W210" s="85" t="s">
        <v>446</v>
      </c>
      <c r="X210" s="85" t="s">
        <v>452</v>
      </c>
      <c r="Y210" s="85" t="s">
        <v>463</v>
      </c>
      <c r="Z210" s="85" t="s">
        <v>465</v>
      </c>
      <c r="AA210" s="85" t="s">
        <v>489</v>
      </c>
      <c r="AB210" s="85" t="s">
        <v>490</v>
      </c>
      <c r="AC210" s="85" t="s">
        <v>503</v>
      </c>
      <c r="AD210" s="85" t="s">
        <v>507</v>
      </c>
      <c r="AE210" s="85" t="s">
        <v>509</v>
      </c>
      <c r="AF210" s="85" t="s">
        <v>515</v>
      </c>
      <c r="AG210" s="85" t="s">
        <v>516</v>
      </c>
      <c r="AH210" s="85" t="s">
        <v>517</v>
      </c>
      <c r="AI210" s="85" t="s">
        <v>518</v>
      </c>
      <c r="AJ210" s="85" t="s">
        <v>519</v>
      </c>
      <c r="AK210" s="85" t="s">
        <v>520</v>
      </c>
      <c r="AL210" s="85" t="s">
        <v>521</v>
      </c>
      <c r="AM210" s="85" t="s">
        <v>537</v>
      </c>
      <c r="AN210" s="85" t="s">
        <v>538</v>
      </c>
      <c r="AO210" s="1" t="s">
        <v>559</v>
      </c>
      <c r="AP210" s="85" t="s">
        <v>591</v>
      </c>
      <c r="AQ210" s="85" t="s">
        <v>597</v>
      </c>
    </row>
    <row r="211" spans="1:43" x14ac:dyDescent="0.35">
      <c r="A211" s="134" t="s">
        <v>396</v>
      </c>
      <c r="B211" s="48">
        <f>_xlfn.XLOOKUP(A211,T_Custos[Produto],T_Custos[Peso])</f>
        <v>1</v>
      </c>
      <c r="C211" s="49" t="str">
        <f>_xlfn.XLOOKUP(A211,T_Custos[Produto],T_Custos[Und])</f>
        <v>und</v>
      </c>
      <c r="D211" s="1"/>
      <c r="E211" s="1"/>
      <c r="F211" s="1"/>
      <c r="G211" s="1"/>
      <c r="H211" s="1"/>
      <c r="I211" s="1"/>
      <c r="J211" s="1"/>
      <c r="K211" s="85"/>
      <c r="L211" s="1"/>
      <c r="M211" s="1"/>
      <c r="N211" s="1"/>
      <c r="O211" s="1"/>
      <c r="P211" s="47" t="s">
        <v>253</v>
      </c>
      <c r="Q211" s="47" t="s">
        <v>254</v>
      </c>
      <c r="R211" s="1"/>
      <c r="S211" s="85" t="s">
        <v>442</v>
      </c>
      <c r="T211" s="85" t="s">
        <v>443</v>
      </c>
      <c r="U211" s="85" t="s">
        <v>444</v>
      </c>
      <c r="V211" s="85" t="s">
        <v>445</v>
      </c>
      <c r="W211" s="85" t="s">
        <v>446</v>
      </c>
      <c r="X211" s="85"/>
      <c r="Y211" s="85"/>
      <c r="Z211" s="85"/>
      <c r="AA211" s="85" t="s">
        <v>489</v>
      </c>
      <c r="AB211" s="85" t="s">
        <v>490</v>
      </c>
      <c r="AC211" s="85"/>
      <c r="AD211" s="85"/>
      <c r="AE211" s="85"/>
      <c r="AF211" s="85"/>
      <c r="AG211" s="85"/>
      <c r="AH211" s="85"/>
      <c r="AI211" s="85"/>
      <c r="AJ211" s="85"/>
      <c r="AK211" s="85"/>
      <c r="AL211" s="85"/>
      <c r="AM211" s="85"/>
      <c r="AN211" s="85"/>
      <c r="AO211" s="1"/>
      <c r="AP211" s="85"/>
      <c r="AQ211" s="85"/>
    </row>
    <row r="212" spans="1:43" x14ac:dyDescent="0.35">
      <c r="A212" s="134" t="s">
        <v>423</v>
      </c>
      <c r="B212" s="48">
        <f>_xlfn.XLOOKUP(A212,T_Custos[Produto],T_Custos[Peso])</f>
        <v>1</v>
      </c>
      <c r="C212" s="49" t="str">
        <f>_xlfn.XLOOKUP(A212,T_Custos[Produto],T_Custos[Und])</f>
        <v>rd</v>
      </c>
      <c r="D212" s="1"/>
      <c r="E212" s="1"/>
      <c r="F212" s="1"/>
      <c r="G212" s="1"/>
      <c r="H212" s="1"/>
      <c r="I212" s="1"/>
      <c r="J212" s="1"/>
      <c r="K212" s="85"/>
      <c r="L212" s="1"/>
      <c r="M212" s="1"/>
      <c r="N212" s="1"/>
      <c r="O212" s="1"/>
      <c r="P212" s="47" t="s">
        <v>253</v>
      </c>
      <c r="Q212" s="47" t="s">
        <v>254</v>
      </c>
      <c r="R212" s="1"/>
      <c r="S212" s="85" t="s">
        <v>442</v>
      </c>
      <c r="T212" s="85" t="s">
        <v>443</v>
      </c>
      <c r="U212" s="85" t="s">
        <v>444</v>
      </c>
      <c r="V212" s="85" t="s">
        <v>445</v>
      </c>
      <c r="W212" s="85" t="s">
        <v>446</v>
      </c>
      <c r="X212" s="85" t="s">
        <v>452</v>
      </c>
      <c r="Y212" s="85"/>
      <c r="Z212" s="85"/>
      <c r="AA212" s="85"/>
      <c r="AB212" s="85"/>
      <c r="AC212" s="85"/>
      <c r="AD212" s="85"/>
      <c r="AE212" s="85"/>
      <c r="AF212" s="85"/>
      <c r="AG212" s="85"/>
      <c r="AH212" s="85"/>
      <c r="AI212" s="85"/>
      <c r="AJ212" s="85"/>
      <c r="AK212" s="85"/>
      <c r="AL212" s="85"/>
      <c r="AM212" s="85"/>
      <c r="AN212" s="85"/>
      <c r="AO212" s="1"/>
      <c r="AP212" s="85"/>
      <c r="AQ212" s="85"/>
    </row>
    <row r="213" spans="1:43" x14ac:dyDescent="0.35">
      <c r="A213" s="134" t="s">
        <v>76</v>
      </c>
      <c r="B213" s="48">
        <f>_xlfn.XLOOKUP(A213,T_Custos[Produto],T_Custos[Peso])</f>
        <v>15</v>
      </c>
      <c r="C213" s="49" t="str">
        <f>_xlfn.XLOOKUP(A213,T_Custos[Produto],T_Custos[Und])</f>
        <v>kg</v>
      </c>
      <c r="D213" s="1" t="s">
        <v>252</v>
      </c>
      <c r="E213" s="1" t="s">
        <v>261</v>
      </c>
      <c r="F213" s="1" t="s">
        <v>248</v>
      </c>
      <c r="G213" s="1" t="s">
        <v>255</v>
      </c>
      <c r="H213" s="1" t="s">
        <v>258</v>
      </c>
      <c r="I213" s="1" t="s">
        <v>260</v>
      </c>
      <c r="J213" s="1" t="s">
        <v>492</v>
      </c>
      <c r="K213" s="85" t="s">
        <v>552</v>
      </c>
      <c r="L213" s="1" t="s">
        <v>259</v>
      </c>
      <c r="M213" s="1" t="s">
        <v>251</v>
      </c>
      <c r="N213" s="1" t="s">
        <v>257</v>
      </c>
      <c r="O213" s="1" t="s">
        <v>247</v>
      </c>
      <c r="P213" s="1"/>
      <c r="Q213" s="1"/>
      <c r="R213" s="1" t="s">
        <v>256</v>
      </c>
      <c r="S213" s="85" t="s">
        <v>442</v>
      </c>
      <c r="T213" s="85" t="s">
        <v>443</v>
      </c>
      <c r="U213" s="85" t="s">
        <v>444</v>
      </c>
      <c r="V213" s="85" t="s">
        <v>445</v>
      </c>
      <c r="W213" s="85" t="s">
        <v>446</v>
      </c>
      <c r="X213" s="85" t="s">
        <v>452</v>
      </c>
      <c r="Y213" s="85" t="s">
        <v>463</v>
      </c>
      <c r="Z213" s="85"/>
      <c r="AA213" s="85" t="s">
        <v>489</v>
      </c>
      <c r="AB213" s="85" t="s">
        <v>490</v>
      </c>
      <c r="AC213" s="85"/>
      <c r="AD213" s="85"/>
      <c r="AE213" s="85" t="s">
        <v>509</v>
      </c>
      <c r="AF213" s="85"/>
      <c r="AG213" s="85"/>
      <c r="AH213" s="85"/>
      <c r="AI213" s="85" t="s">
        <v>518</v>
      </c>
      <c r="AJ213" s="85" t="s">
        <v>519</v>
      </c>
      <c r="AK213" s="85"/>
      <c r="AL213" s="85"/>
      <c r="AM213" s="85"/>
      <c r="AN213" s="85"/>
      <c r="AO213" s="1" t="s">
        <v>559</v>
      </c>
      <c r="AP213" s="85" t="s">
        <v>591</v>
      </c>
      <c r="AQ213" s="85" t="s">
        <v>597</v>
      </c>
    </row>
    <row r="214" spans="1:43" x14ac:dyDescent="0.35">
      <c r="A214" s="134" t="s">
        <v>381</v>
      </c>
      <c r="B214" s="48">
        <f>_xlfn.XLOOKUP(A214,T_Custos[Produto],T_Custos[Peso])</f>
        <v>1</v>
      </c>
      <c r="C214" s="49" t="str">
        <f>_xlfn.XLOOKUP(A214,T_Custos[Produto],T_Custos[Und])</f>
        <v>und</v>
      </c>
      <c r="D214" s="1"/>
      <c r="E214" s="1"/>
      <c r="F214" s="1"/>
      <c r="G214" s="1"/>
      <c r="H214" s="1"/>
      <c r="I214" s="1"/>
      <c r="J214" s="1"/>
      <c r="K214" s="85"/>
      <c r="L214" s="1"/>
      <c r="M214" s="1"/>
      <c r="N214" s="1"/>
      <c r="O214" s="1"/>
      <c r="P214" s="47" t="s">
        <v>253</v>
      </c>
      <c r="Q214" s="47" t="s">
        <v>254</v>
      </c>
      <c r="R214" s="1"/>
      <c r="S214" s="85" t="s">
        <v>442</v>
      </c>
      <c r="T214" s="85" t="s">
        <v>443</v>
      </c>
      <c r="U214" s="85" t="s">
        <v>444</v>
      </c>
      <c r="V214" s="85" t="s">
        <v>445</v>
      </c>
      <c r="W214" s="85" t="s">
        <v>446</v>
      </c>
      <c r="X214" s="85"/>
      <c r="Y214" s="85"/>
      <c r="Z214" s="85"/>
      <c r="AA214" s="85" t="s">
        <v>489</v>
      </c>
      <c r="AB214" s="85" t="s">
        <v>490</v>
      </c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5"/>
      <c r="AO214" s="1"/>
      <c r="AP214" s="85"/>
      <c r="AQ214" s="85"/>
    </row>
    <row r="215" spans="1:43" x14ac:dyDescent="0.35">
      <c r="A215" s="134" t="s">
        <v>75</v>
      </c>
      <c r="B215" s="48">
        <f>_xlfn.XLOOKUP(A215,T_Custos[Produto],T_Custos[Peso])</f>
        <v>20</v>
      </c>
      <c r="C215" s="49" t="str">
        <f>_xlfn.XLOOKUP(A215,T_Custos[Produto],T_Custos[Und])</f>
        <v>kg</v>
      </c>
      <c r="D215" s="1"/>
      <c r="E215" s="1"/>
      <c r="F215" s="1"/>
      <c r="G215" s="1"/>
      <c r="H215" s="1"/>
      <c r="I215" s="1"/>
      <c r="J215" s="1"/>
      <c r="K215" s="85"/>
      <c r="L215" s="1"/>
      <c r="M215" s="1"/>
      <c r="N215" s="1"/>
      <c r="O215" s="1"/>
      <c r="P215" s="47" t="s">
        <v>253</v>
      </c>
      <c r="Q215" s="47" t="s">
        <v>254</v>
      </c>
      <c r="R215" s="1"/>
      <c r="S215" s="85" t="s">
        <v>442</v>
      </c>
      <c r="T215" s="85" t="s">
        <v>443</v>
      </c>
      <c r="U215" s="85" t="s">
        <v>444</v>
      </c>
      <c r="V215" s="85" t="s">
        <v>445</v>
      </c>
      <c r="W215" s="85" t="s">
        <v>446</v>
      </c>
      <c r="X215" s="85" t="s">
        <v>452</v>
      </c>
      <c r="Y215" s="85"/>
      <c r="Z215" s="85"/>
      <c r="AA215" s="85" t="s">
        <v>489</v>
      </c>
      <c r="AB215" s="85" t="s">
        <v>490</v>
      </c>
      <c r="AC215" s="85"/>
      <c r="AD215" s="85"/>
      <c r="AE215" s="85" t="s">
        <v>509</v>
      </c>
      <c r="AF215" s="85"/>
      <c r="AG215" s="85"/>
      <c r="AH215" s="85"/>
      <c r="AI215" s="85"/>
      <c r="AJ215" s="85"/>
      <c r="AK215" s="85"/>
      <c r="AL215" s="85"/>
      <c r="AM215" s="85"/>
      <c r="AN215" s="85"/>
      <c r="AO215" s="1"/>
      <c r="AP215" s="85"/>
      <c r="AQ215" s="85"/>
    </row>
    <row r="216" spans="1:43" x14ac:dyDescent="0.35">
      <c r="A216" s="134" t="s">
        <v>205</v>
      </c>
      <c r="B216" s="48">
        <f>_xlfn.XLOOKUP(A216,T_Custos[Produto],T_Custos[Peso])</f>
        <v>1</v>
      </c>
      <c r="C216" s="49" t="str">
        <f>_xlfn.XLOOKUP(A216,T_Custos[Produto],T_Custos[Und])</f>
        <v>un</v>
      </c>
      <c r="D216" s="1" t="s">
        <v>252</v>
      </c>
      <c r="E216" s="1" t="s">
        <v>261</v>
      </c>
      <c r="F216" s="1" t="s">
        <v>248</v>
      </c>
      <c r="G216" s="1" t="s">
        <v>255</v>
      </c>
      <c r="H216" s="1" t="s">
        <v>258</v>
      </c>
      <c r="I216" s="1" t="s">
        <v>260</v>
      </c>
      <c r="J216" s="1" t="s">
        <v>492</v>
      </c>
      <c r="K216" s="85" t="s">
        <v>552</v>
      </c>
      <c r="L216" s="1" t="s">
        <v>259</v>
      </c>
      <c r="M216" s="1" t="s">
        <v>251</v>
      </c>
      <c r="N216" s="1" t="s">
        <v>257</v>
      </c>
      <c r="O216" s="1" t="s">
        <v>247</v>
      </c>
      <c r="P216" s="1"/>
      <c r="Q216" s="1"/>
      <c r="R216" s="1" t="s">
        <v>256</v>
      </c>
      <c r="S216" s="85" t="s">
        <v>442</v>
      </c>
      <c r="T216" s="85" t="s">
        <v>443</v>
      </c>
      <c r="U216" s="85" t="s">
        <v>444</v>
      </c>
      <c r="V216" s="85" t="s">
        <v>445</v>
      </c>
      <c r="W216" s="85" t="s">
        <v>446</v>
      </c>
      <c r="X216" s="85"/>
      <c r="Y216" s="85"/>
      <c r="Z216" s="85" t="s">
        <v>465</v>
      </c>
      <c r="AA216" s="85" t="s">
        <v>489</v>
      </c>
      <c r="AB216" s="85" t="s">
        <v>490</v>
      </c>
      <c r="AC216" s="85"/>
      <c r="AD216" s="85" t="s">
        <v>507</v>
      </c>
      <c r="AE216" s="85"/>
      <c r="AF216" s="85"/>
      <c r="AG216" s="85"/>
      <c r="AH216" s="85"/>
      <c r="AI216" s="85"/>
      <c r="AJ216" s="85"/>
      <c r="AK216" s="85"/>
      <c r="AL216" s="85"/>
      <c r="AM216" s="85"/>
      <c r="AN216" s="85"/>
      <c r="AO216" s="1" t="s">
        <v>559</v>
      </c>
      <c r="AP216" s="85"/>
      <c r="AQ216" s="85" t="s">
        <v>597</v>
      </c>
    </row>
    <row r="217" spans="1:43" x14ac:dyDescent="0.35">
      <c r="A217" s="134" t="s">
        <v>581</v>
      </c>
      <c r="B217" s="64">
        <f>_xlfn.XLOOKUP(A217,T_Custos[Produto],T_Custos[Peso])</f>
        <v>1</v>
      </c>
      <c r="C217" s="65" t="str">
        <f>_xlfn.XLOOKUP(A217,T_Custos[Produto],T_Custos[Und])</f>
        <v>kg</v>
      </c>
      <c r="D217" s="1"/>
      <c r="E217" s="1"/>
      <c r="F217" s="1"/>
      <c r="G217" s="1"/>
      <c r="H217" s="1"/>
      <c r="I217" s="1"/>
      <c r="J217" s="1"/>
      <c r="K217" s="85"/>
      <c r="L217" s="1"/>
      <c r="M217" s="1"/>
      <c r="N217" s="1"/>
      <c r="O217" s="1"/>
      <c r="P217" s="1"/>
      <c r="Q217" s="1"/>
      <c r="R217" s="1"/>
      <c r="S217" s="85"/>
      <c r="T217" s="85"/>
      <c r="U217" s="85"/>
      <c r="V217" s="85"/>
      <c r="W217" s="85"/>
      <c r="X217" s="85"/>
      <c r="Y217" s="85"/>
      <c r="Z217" s="85"/>
      <c r="AA217" s="85"/>
      <c r="AB217" s="85"/>
      <c r="AC217" s="85"/>
      <c r="AD217" s="85"/>
      <c r="AE217" s="85"/>
      <c r="AF217" s="85"/>
      <c r="AG217" s="85"/>
      <c r="AH217" s="85"/>
      <c r="AI217" s="85"/>
      <c r="AJ217" s="85"/>
      <c r="AK217" s="85"/>
      <c r="AL217" s="85"/>
      <c r="AM217" s="85"/>
      <c r="AN217" s="85"/>
      <c r="AO217" s="85"/>
      <c r="AP217" s="85" t="s">
        <v>591</v>
      </c>
      <c r="AQ217" s="85"/>
    </row>
    <row r="218" spans="1:43" x14ac:dyDescent="0.35">
      <c r="A218" s="134" t="s">
        <v>77</v>
      </c>
      <c r="B218" s="48">
        <f>_xlfn.XLOOKUP(A218,T_Custos[Produto],T_Custos[Peso])</f>
        <v>18</v>
      </c>
      <c r="C218" s="49" t="str">
        <f>_xlfn.XLOOKUP(A218,T_Custos[Produto],T_Custos[Und])</f>
        <v>kg</v>
      </c>
      <c r="D218" s="1" t="s">
        <v>252</v>
      </c>
      <c r="E218" s="1" t="s">
        <v>261</v>
      </c>
      <c r="F218" s="1" t="s">
        <v>248</v>
      </c>
      <c r="G218" s="1" t="s">
        <v>255</v>
      </c>
      <c r="H218" s="1" t="s">
        <v>258</v>
      </c>
      <c r="I218" s="1" t="s">
        <v>260</v>
      </c>
      <c r="J218" s="1" t="s">
        <v>492</v>
      </c>
      <c r="K218" s="85" t="s">
        <v>552</v>
      </c>
      <c r="L218" s="1" t="s">
        <v>259</v>
      </c>
      <c r="M218" s="1" t="s">
        <v>251</v>
      </c>
      <c r="N218" s="1" t="s">
        <v>257</v>
      </c>
      <c r="O218" s="1" t="s">
        <v>247</v>
      </c>
      <c r="P218" s="1"/>
      <c r="Q218" s="1"/>
      <c r="R218" s="1" t="s">
        <v>256</v>
      </c>
      <c r="S218" s="85" t="s">
        <v>442</v>
      </c>
      <c r="T218" s="85" t="s">
        <v>443</v>
      </c>
      <c r="U218" s="85" t="s">
        <v>444</v>
      </c>
      <c r="V218" s="85" t="s">
        <v>445</v>
      </c>
      <c r="W218" s="85" t="s">
        <v>446</v>
      </c>
      <c r="X218" s="85" t="s">
        <v>452</v>
      </c>
      <c r="Y218" s="85" t="s">
        <v>463</v>
      </c>
      <c r="Z218" s="85"/>
      <c r="AA218" s="85" t="s">
        <v>489</v>
      </c>
      <c r="AB218" s="85" t="s">
        <v>490</v>
      </c>
      <c r="AC218" s="85"/>
      <c r="AD218" s="85"/>
      <c r="AE218" s="85"/>
      <c r="AF218" s="85"/>
      <c r="AG218" s="85"/>
      <c r="AH218" s="85"/>
      <c r="AI218" s="85"/>
      <c r="AJ218" s="85"/>
      <c r="AK218" s="85"/>
      <c r="AL218" s="85"/>
      <c r="AM218" s="85" t="s">
        <v>537</v>
      </c>
      <c r="AN218" s="85" t="s">
        <v>538</v>
      </c>
      <c r="AO218" s="1" t="s">
        <v>559</v>
      </c>
      <c r="AP218" s="85" t="s">
        <v>591</v>
      </c>
      <c r="AQ218" s="85" t="s">
        <v>597</v>
      </c>
    </row>
    <row r="219" spans="1:43" x14ac:dyDescent="0.35">
      <c r="A219" s="134" t="s">
        <v>78</v>
      </c>
      <c r="B219" s="48">
        <f>_xlfn.XLOOKUP(A219,T_Custos[Produto],T_Custos[Peso])</f>
        <v>18</v>
      </c>
      <c r="C219" s="49" t="str">
        <f>_xlfn.XLOOKUP(A219,T_Custos[Produto],T_Custos[Und])</f>
        <v>kg</v>
      </c>
      <c r="D219" s="1" t="s">
        <v>252</v>
      </c>
      <c r="E219" s="1" t="s">
        <v>261</v>
      </c>
      <c r="F219" s="1" t="s">
        <v>248</v>
      </c>
      <c r="G219" s="1" t="s">
        <v>255</v>
      </c>
      <c r="H219" s="1" t="s">
        <v>258</v>
      </c>
      <c r="I219" s="1" t="s">
        <v>260</v>
      </c>
      <c r="J219" s="1" t="s">
        <v>492</v>
      </c>
      <c r="K219" s="85" t="s">
        <v>552</v>
      </c>
      <c r="L219" s="1" t="s">
        <v>259</v>
      </c>
      <c r="M219" s="1" t="s">
        <v>251</v>
      </c>
      <c r="N219" s="1" t="s">
        <v>257</v>
      </c>
      <c r="O219" s="1" t="s">
        <v>247</v>
      </c>
      <c r="P219" s="1"/>
      <c r="Q219" s="1"/>
      <c r="R219" s="1" t="s">
        <v>256</v>
      </c>
      <c r="S219" s="85" t="s">
        <v>442</v>
      </c>
      <c r="T219" s="85" t="s">
        <v>443</v>
      </c>
      <c r="U219" s="85" t="s">
        <v>444</v>
      </c>
      <c r="V219" s="85" t="s">
        <v>445</v>
      </c>
      <c r="W219" s="85" t="s">
        <v>446</v>
      </c>
      <c r="X219" s="85" t="s">
        <v>452</v>
      </c>
      <c r="Y219" s="85"/>
      <c r="Z219" s="85"/>
      <c r="AA219" s="85" t="s">
        <v>489</v>
      </c>
      <c r="AB219" s="85" t="s">
        <v>490</v>
      </c>
      <c r="AC219" s="85" t="s">
        <v>503</v>
      </c>
      <c r="AD219" s="85"/>
      <c r="AE219" s="85"/>
      <c r="AF219" s="85"/>
      <c r="AG219" s="85"/>
      <c r="AH219" s="85"/>
      <c r="AI219" s="85"/>
      <c r="AJ219" s="85"/>
      <c r="AK219" s="85"/>
      <c r="AL219" s="85"/>
      <c r="AM219" s="85" t="s">
        <v>537</v>
      </c>
      <c r="AN219" s="85" t="s">
        <v>538</v>
      </c>
      <c r="AO219" s="1" t="s">
        <v>559</v>
      </c>
      <c r="AP219" s="85" t="s">
        <v>591</v>
      </c>
      <c r="AQ219" s="85" t="s">
        <v>597</v>
      </c>
    </row>
    <row r="220" spans="1:43" x14ac:dyDescent="0.35">
      <c r="A220" s="134" t="s">
        <v>424</v>
      </c>
      <c r="B220" s="48">
        <f>_xlfn.XLOOKUP(A220,T_Custos[Produto],T_Custos[Peso])</f>
        <v>1</v>
      </c>
      <c r="C220" s="49" t="str">
        <f>_xlfn.XLOOKUP(A220,T_Custos[Produto],T_Custos[Und])</f>
        <v>bd</v>
      </c>
      <c r="D220" s="1"/>
      <c r="E220" s="1"/>
      <c r="F220" s="1"/>
      <c r="G220" s="1"/>
      <c r="H220" s="1"/>
      <c r="I220" s="1"/>
      <c r="J220" s="1"/>
      <c r="K220" s="85"/>
      <c r="L220" s="1"/>
      <c r="M220" s="1"/>
      <c r="N220" s="1"/>
      <c r="O220" s="1"/>
      <c r="P220" s="47" t="s">
        <v>253</v>
      </c>
      <c r="Q220" s="47" t="s">
        <v>254</v>
      </c>
      <c r="R220" s="1"/>
      <c r="S220" s="85" t="s">
        <v>442</v>
      </c>
      <c r="T220" s="85" t="s">
        <v>443</v>
      </c>
      <c r="U220" s="85" t="s">
        <v>444</v>
      </c>
      <c r="V220" s="85" t="s">
        <v>445</v>
      </c>
      <c r="W220" s="85" t="s">
        <v>446</v>
      </c>
      <c r="X220" s="85" t="s">
        <v>452</v>
      </c>
      <c r="Y220" s="85"/>
      <c r="Z220" s="85"/>
      <c r="AA220" s="85"/>
      <c r="AB220" s="85"/>
      <c r="AC220" s="85"/>
      <c r="AD220" s="85"/>
      <c r="AE220" s="85"/>
      <c r="AF220" s="85"/>
      <c r="AG220" s="85"/>
      <c r="AH220" s="85"/>
      <c r="AI220" s="85"/>
      <c r="AJ220" s="85"/>
      <c r="AK220" s="85"/>
      <c r="AL220" s="85"/>
      <c r="AM220" s="85"/>
      <c r="AN220" s="85"/>
      <c r="AO220" s="1"/>
      <c r="AP220" s="85"/>
      <c r="AQ220" s="85"/>
    </row>
    <row r="221" spans="1:43" x14ac:dyDescent="0.35">
      <c r="A221" s="134" t="s">
        <v>382</v>
      </c>
      <c r="B221" s="48">
        <f>_xlfn.XLOOKUP(A221,T_Custos[Produto],T_Custos[Peso])</f>
        <v>1</v>
      </c>
      <c r="C221" s="49" t="str">
        <f>_xlfn.XLOOKUP(A221,T_Custos[Produto],T_Custos[Und])</f>
        <v>und</v>
      </c>
      <c r="D221" s="1"/>
      <c r="E221" s="1"/>
      <c r="F221" s="1"/>
      <c r="G221" s="1"/>
      <c r="H221" s="1"/>
      <c r="I221" s="1"/>
      <c r="J221" s="1"/>
      <c r="K221" s="85"/>
      <c r="L221" s="1"/>
      <c r="M221" s="1"/>
      <c r="N221" s="1"/>
      <c r="O221" s="1"/>
      <c r="P221" s="47" t="s">
        <v>253</v>
      </c>
      <c r="Q221" s="47" t="s">
        <v>254</v>
      </c>
      <c r="R221" s="1"/>
      <c r="S221" s="85" t="s">
        <v>442</v>
      </c>
      <c r="T221" s="85" t="s">
        <v>443</v>
      </c>
      <c r="U221" s="85" t="s">
        <v>444</v>
      </c>
      <c r="V221" s="85" t="s">
        <v>445</v>
      </c>
      <c r="W221" s="85" t="s">
        <v>446</v>
      </c>
      <c r="X221" s="85"/>
      <c r="Y221" s="85"/>
      <c r="Z221" s="85"/>
      <c r="AA221" s="85"/>
      <c r="AB221" s="85"/>
      <c r="AC221" s="85"/>
      <c r="AD221" s="85"/>
      <c r="AE221" s="85"/>
      <c r="AF221" s="85"/>
      <c r="AG221" s="85"/>
      <c r="AH221" s="85"/>
      <c r="AI221" s="85"/>
      <c r="AJ221" s="85"/>
      <c r="AK221" s="85"/>
      <c r="AL221" s="85"/>
      <c r="AM221" s="85"/>
      <c r="AN221" s="85"/>
      <c r="AO221" s="1"/>
      <c r="AP221" s="85"/>
      <c r="AQ221" s="85"/>
    </row>
    <row r="222" spans="1:43" x14ac:dyDescent="0.35">
      <c r="A222" s="134" t="s">
        <v>425</v>
      </c>
      <c r="B222" s="48">
        <f>_xlfn.XLOOKUP(A222,T_Custos[Produto],T_Custos[Peso])</f>
        <v>1</v>
      </c>
      <c r="C222" s="49" t="str">
        <f>_xlfn.XLOOKUP(A222,T_Custos[Produto],T_Custos[Und])</f>
        <v>pc</v>
      </c>
      <c r="D222" s="1"/>
      <c r="E222" s="1"/>
      <c r="F222" s="1"/>
      <c r="G222" s="1"/>
      <c r="H222" s="1"/>
      <c r="I222" s="1"/>
      <c r="J222" s="1"/>
      <c r="K222" s="85"/>
      <c r="L222" s="1"/>
      <c r="M222" s="1"/>
      <c r="N222" s="1"/>
      <c r="O222" s="1"/>
      <c r="P222" s="47" t="s">
        <v>253</v>
      </c>
      <c r="Q222" s="47" t="s">
        <v>254</v>
      </c>
      <c r="R222" s="1"/>
      <c r="S222" s="85" t="s">
        <v>442</v>
      </c>
      <c r="T222" s="85" t="s">
        <v>443</v>
      </c>
      <c r="U222" s="85" t="s">
        <v>444</v>
      </c>
      <c r="V222" s="85" t="s">
        <v>445</v>
      </c>
      <c r="W222" s="85" t="s">
        <v>446</v>
      </c>
      <c r="X222" s="85" t="s">
        <v>452</v>
      </c>
      <c r="Y222" s="85"/>
      <c r="Z222" s="85"/>
      <c r="AA222" s="85"/>
      <c r="AB222" s="85"/>
      <c r="AC222" s="85"/>
      <c r="AD222" s="85"/>
      <c r="AE222" s="85"/>
      <c r="AF222" s="85"/>
      <c r="AG222" s="85"/>
      <c r="AH222" s="85"/>
      <c r="AI222" s="85"/>
      <c r="AJ222" s="85"/>
      <c r="AK222" s="85"/>
      <c r="AL222" s="85"/>
      <c r="AM222" s="85"/>
      <c r="AN222" s="85"/>
      <c r="AO222" s="1"/>
      <c r="AP222" s="85"/>
      <c r="AQ222" s="85"/>
    </row>
    <row r="223" spans="1:43" x14ac:dyDescent="0.35">
      <c r="A223" s="134" t="s">
        <v>548</v>
      </c>
      <c r="B223" s="48">
        <f>_xlfn.XLOOKUP(A223,T_Custos[Produto],T_Custos[Peso])</f>
        <v>18</v>
      </c>
      <c r="C223" s="49" t="str">
        <f>_xlfn.XLOOKUP(A223,T_Custos[Produto],T_Custos[Und])</f>
        <v>kg</v>
      </c>
      <c r="D223" s="1" t="s">
        <v>252</v>
      </c>
      <c r="E223" s="1" t="s">
        <v>261</v>
      </c>
      <c r="F223" s="1" t="s">
        <v>248</v>
      </c>
      <c r="G223" s="1" t="s">
        <v>255</v>
      </c>
      <c r="H223" s="1" t="s">
        <v>258</v>
      </c>
      <c r="I223" s="1" t="s">
        <v>260</v>
      </c>
      <c r="J223" s="1" t="s">
        <v>492</v>
      </c>
      <c r="K223" s="85" t="s">
        <v>552</v>
      </c>
      <c r="L223" s="1" t="s">
        <v>259</v>
      </c>
      <c r="M223" s="1" t="s">
        <v>251</v>
      </c>
      <c r="N223" s="1" t="s">
        <v>257</v>
      </c>
      <c r="O223" s="1" t="s">
        <v>247</v>
      </c>
      <c r="P223" s="1"/>
      <c r="Q223" s="1"/>
      <c r="R223" s="1" t="s">
        <v>256</v>
      </c>
      <c r="S223" s="85" t="s">
        <v>442</v>
      </c>
      <c r="T223" s="85" t="s">
        <v>443</v>
      </c>
      <c r="U223" s="85" t="s">
        <v>444</v>
      </c>
      <c r="V223" s="85" t="s">
        <v>445</v>
      </c>
      <c r="W223" s="85" t="s">
        <v>446</v>
      </c>
      <c r="X223" s="85" t="s">
        <v>452</v>
      </c>
      <c r="Y223" s="85" t="s">
        <v>463</v>
      </c>
      <c r="Z223" s="85"/>
      <c r="AA223" s="85"/>
      <c r="AB223" s="85"/>
      <c r="AC223" s="85"/>
      <c r="AD223" s="85"/>
      <c r="AE223" s="85"/>
      <c r="AF223" s="85"/>
      <c r="AG223" s="85"/>
      <c r="AH223" s="85"/>
      <c r="AI223" s="85"/>
      <c r="AJ223" s="85"/>
      <c r="AK223" s="85"/>
      <c r="AL223" s="85"/>
      <c r="AM223" s="85" t="s">
        <v>537</v>
      </c>
      <c r="AN223" s="85" t="s">
        <v>538</v>
      </c>
      <c r="AO223" s="1" t="s">
        <v>559</v>
      </c>
      <c r="AP223" s="85" t="s">
        <v>591</v>
      </c>
      <c r="AQ223" s="85" t="s">
        <v>597</v>
      </c>
    </row>
    <row r="224" spans="1:43" x14ac:dyDescent="0.35">
      <c r="A224" s="134" t="s">
        <v>543</v>
      </c>
      <c r="B224" s="149">
        <f>_xlfn.XLOOKUP(A224,T_Custos[Produto],T_Custos[Peso])</f>
        <v>18</v>
      </c>
      <c r="C224" s="150" t="str">
        <f>_xlfn.XLOOKUP(A224,T_Custos[Produto],T_Custos[Und])</f>
        <v>kg</v>
      </c>
      <c r="D224" s="1" t="s">
        <v>252</v>
      </c>
      <c r="E224" s="1" t="s">
        <v>261</v>
      </c>
      <c r="F224" s="1" t="s">
        <v>248</v>
      </c>
      <c r="G224" s="1" t="s">
        <v>255</v>
      </c>
      <c r="H224" s="1" t="s">
        <v>258</v>
      </c>
      <c r="I224" s="1" t="s">
        <v>260</v>
      </c>
      <c r="J224" s="1" t="s">
        <v>492</v>
      </c>
      <c r="K224" s="85" t="s">
        <v>552</v>
      </c>
      <c r="L224" s="1" t="s">
        <v>259</v>
      </c>
      <c r="M224" s="1" t="s">
        <v>251</v>
      </c>
      <c r="N224" s="1" t="s">
        <v>257</v>
      </c>
      <c r="O224" s="1" t="s">
        <v>247</v>
      </c>
      <c r="P224" s="1"/>
      <c r="Q224" s="1"/>
      <c r="R224" s="1" t="s">
        <v>256</v>
      </c>
      <c r="S224" s="85" t="s">
        <v>442</v>
      </c>
      <c r="T224" s="85" t="s">
        <v>443</v>
      </c>
      <c r="U224" s="85" t="s">
        <v>444</v>
      </c>
      <c r="V224" s="85" t="s">
        <v>445</v>
      </c>
      <c r="W224" s="85" t="s">
        <v>446</v>
      </c>
      <c r="X224" s="85" t="s">
        <v>452</v>
      </c>
      <c r="Y224" s="85" t="s">
        <v>463</v>
      </c>
      <c r="Z224" s="85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 t="s">
        <v>537</v>
      </c>
      <c r="AN224" s="85" t="s">
        <v>538</v>
      </c>
      <c r="AO224" s="1" t="s">
        <v>559</v>
      </c>
      <c r="AP224" s="85" t="s">
        <v>591</v>
      </c>
      <c r="AQ224" s="85" t="s">
        <v>597</v>
      </c>
    </row>
    <row r="225" spans="1:43" x14ac:dyDescent="0.35">
      <c r="A225" s="134" t="s">
        <v>79</v>
      </c>
      <c r="B225" s="48">
        <f>_xlfn.XLOOKUP(A225,T_Custos[Produto],T_Custos[Peso])</f>
        <v>18</v>
      </c>
      <c r="C225" s="49" t="str">
        <f>_xlfn.XLOOKUP(A225,T_Custos[Produto],T_Custos[Und])</f>
        <v>kg</v>
      </c>
      <c r="D225" s="1" t="s">
        <v>252</v>
      </c>
      <c r="E225" s="1" t="s">
        <v>261</v>
      </c>
      <c r="F225" s="1" t="s">
        <v>248</v>
      </c>
      <c r="G225" s="1" t="s">
        <v>255</v>
      </c>
      <c r="H225" s="1" t="s">
        <v>258</v>
      </c>
      <c r="I225" s="1" t="s">
        <v>260</v>
      </c>
      <c r="J225" s="1" t="s">
        <v>492</v>
      </c>
      <c r="K225" s="85" t="s">
        <v>552</v>
      </c>
      <c r="L225" s="1" t="s">
        <v>259</v>
      </c>
      <c r="M225" s="1" t="s">
        <v>251</v>
      </c>
      <c r="N225" s="1" t="s">
        <v>257</v>
      </c>
      <c r="O225" s="1" t="s">
        <v>247</v>
      </c>
      <c r="P225" s="1"/>
      <c r="Q225" s="1"/>
      <c r="R225" s="1" t="s">
        <v>256</v>
      </c>
      <c r="S225" s="85" t="s">
        <v>442</v>
      </c>
      <c r="T225" s="85" t="s">
        <v>443</v>
      </c>
      <c r="U225" s="85" t="s">
        <v>444</v>
      </c>
      <c r="V225" s="85" t="s">
        <v>445</v>
      </c>
      <c r="W225" s="85" t="s">
        <v>446</v>
      </c>
      <c r="X225" s="85" t="s">
        <v>452</v>
      </c>
      <c r="Y225" s="85" t="s">
        <v>463</v>
      </c>
      <c r="Z225" s="85" t="s">
        <v>465</v>
      </c>
      <c r="AA225" s="85" t="s">
        <v>489</v>
      </c>
      <c r="AB225" s="85" t="s">
        <v>490</v>
      </c>
      <c r="AC225" s="85" t="s">
        <v>503</v>
      </c>
      <c r="AD225" s="85"/>
      <c r="AE225" s="85"/>
      <c r="AF225" s="85"/>
      <c r="AG225" s="85"/>
      <c r="AH225" s="85"/>
      <c r="AI225" s="85"/>
      <c r="AJ225" s="85"/>
      <c r="AK225" s="85"/>
      <c r="AL225" s="85"/>
      <c r="AM225" s="85" t="s">
        <v>537</v>
      </c>
      <c r="AN225" s="85" t="s">
        <v>538</v>
      </c>
      <c r="AO225" s="1" t="s">
        <v>559</v>
      </c>
      <c r="AP225" s="85" t="s">
        <v>591</v>
      </c>
      <c r="AQ225" s="85" t="s">
        <v>597</v>
      </c>
    </row>
    <row r="226" spans="1:43" x14ac:dyDescent="0.35">
      <c r="A226" s="134" t="s">
        <v>80</v>
      </c>
      <c r="B226" s="48">
        <f>_xlfn.XLOOKUP(A226,T_Custos[Produto],T_Custos[Peso])</f>
        <v>24</v>
      </c>
      <c r="C226" s="49" t="str">
        <f>_xlfn.XLOOKUP(A226,T_Custos[Produto],T_Custos[Und])</f>
        <v>pc</v>
      </c>
      <c r="D226" s="1" t="s">
        <v>252</v>
      </c>
      <c r="E226" s="1" t="s">
        <v>261</v>
      </c>
      <c r="F226" s="1" t="s">
        <v>248</v>
      </c>
      <c r="G226" s="1" t="s">
        <v>255</v>
      </c>
      <c r="H226" s="1" t="s">
        <v>258</v>
      </c>
      <c r="I226" s="1" t="s">
        <v>260</v>
      </c>
      <c r="J226" s="1" t="s">
        <v>492</v>
      </c>
      <c r="K226" s="85" t="s">
        <v>552</v>
      </c>
      <c r="L226" s="1" t="s">
        <v>259</v>
      </c>
      <c r="M226" s="1" t="s">
        <v>251</v>
      </c>
      <c r="N226" s="1" t="s">
        <v>257</v>
      </c>
      <c r="O226" s="1" t="s">
        <v>247</v>
      </c>
      <c r="P226" s="1"/>
      <c r="Q226" s="1"/>
      <c r="R226" s="1" t="s">
        <v>256</v>
      </c>
      <c r="S226" s="85" t="s">
        <v>442</v>
      </c>
      <c r="T226" s="85" t="s">
        <v>443</v>
      </c>
      <c r="U226" s="85" t="s">
        <v>444</v>
      </c>
      <c r="V226" s="85" t="s">
        <v>445</v>
      </c>
      <c r="W226" s="85" t="s">
        <v>446</v>
      </c>
      <c r="X226" s="85" t="s">
        <v>452</v>
      </c>
      <c r="Y226" s="85"/>
      <c r="Z226" s="85"/>
      <c r="AA226" s="85" t="s">
        <v>489</v>
      </c>
      <c r="AB226" s="85" t="s">
        <v>490</v>
      </c>
      <c r="AC226" s="85"/>
      <c r="AD226" s="85"/>
      <c r="AE226" s="85"/>
      <c r="AF226" s="85"/>
      <c r="AG226" s="85"/>
      <c r="AH226" s="85"/>
      <c r="AI226" s="85"/>
      <c r="AJ226" s="85"/>
      <c r="AK226" s="85"/>
      <c r="AL226" s="85"/>
      <c r="AM226" s="85"/>
      <c r="AN226" s="85"/>
      <c r="AO226" s="1" t="s">
        <v>559</v>
      </c>
      <c r="AP226" s="85" t="s">
        <v>591</v>
      </c>
      <c r="AQ226" s="85" t="s">
        <v>597</v>
      </c>
    </row>
    <row r="227" spans="1:43" x14ac:dyDescent="0.35">
      <c r="A227" s="134" t="s">
        <v>81</v>
      </c>
      <c r="B227" s="48">
        <f>_xlfn.XLOOKUP(A227,T_Custos[Produto],T_Custos[Peso])</f>
        <v>18</v>
      </c>
      <c r="C227" s="49" t="str">
        <f>_xlfn.XLOOKUP(A227,T_Custos[Produto],T_Custos[Und])</f>
        <v>kg</v>
      </c>
      <c r="D227" s="1" t="s">
        <v>252</v>
      </c>
      <c r="E227" s="1" t="s">
        <v>261</v>
      </c>
      <c r="F227" s="1" t="s">
        <v>248</v>
      </c>
      <c r="G227" s="1" t="s">
        <v>255</v>
      </c>
      <c r="H227" s="1" t="s">
        <v>258</v>
      </c>
      <c r="I227" s="1" t="s">
        <v>260</v>
      </c>
      <c r="J227" s="1" t="s">
        <v>492</v>
      </c>
      <c r="K227" s="85" t="s">
        <v>552</v>
      </c>
      <c r="L227" s="1" t="s">
        <v>259</v>
      </c>
      <c r="M227" s="1" t="s">
        <v>251</v>
      </c>
      <c r="N227" s="1" t="s">
        <v>257</v>
      </c>
      <c r="O227" s="1" t="s">
        <v>247</v>
      </c>
      <c r="P227" s="1"/>
      <c r="Q227" s="1"/>
      <c r="R227" s="1" t="s">
        <v>256</v>
      </c>
      <c r="S227" s="85" t="s">
        <v>442</v>
      </c>
      <c r="T227" s="85" t="s">
        <v>443</v>
      </c>
      <c r="U227" s="85" t="s">
        <v>444</v>
      </c>
      <c r="V227" s="85" t="s">
        <v>445</v>
      </c>
      <c r="W227" s="85" t="s">
        <v>446</v>
      </c>
      <c r="X227" s="85" t="s">
        <v>452</v>
      </c>
      <c r="Y227" s="85" t="s">
        <v>463</v>
      </c>
      <c r="Z227" s="85"/>
      <c r="AA227" s="85" t="s">
        <v>489</v>
      </c>
      <c r="AB227" s="85" t="s">
        <v>490</v>
      </c>
      <c r="AC227" s="85"/>
      <c r="AD227" s="85"/>
      <c r="AE227" s="85"/>
      <c r="AF227" s="85"/>
      <c r="AG227" s="85"/>
      <c r="AH227" s="85"/>
      <c r="AI227" s="85"/>
      <c r="AJ227" s="85"/>
      <c r="AK227" s="85"/>
      <c r="AL227" s="85"/>
      <c r="AM227" s="85" t="s">
        <v>537</v>
      </c>
      <c r="AN227" s="85" t="s">
        <v>538</v>
      </c>
      <c r="AO227" s="1" t="s">
        <v>559</v>
      </c>
      <c r="AP227" s="85" t="s">
        <v>591</v>
      </c>
      <c r="AQ227" s="85" t="s">
        <v>597</v>
      </c>
    </row>
    <row r="228" spans="1:43" x14ac:dyDescent="0.35">
      <c r="A228" s="134" t="s">
        <v>82</v>
      </c>
      <c r="B228" s="48">
        <f>_xlfn.XLOOKUP(A228,T_Custos[Produto],T_Custos[Peso])</f>
        <v>13</v>
      </c>
      <c r="C228" s="49" t="str">
        <f>_xlfn.XLOOKUP(A228,T_Custos[Produto],T_Custos[Und])</f>
        <v>kg</v>
      </c>
      <c r="D228" s="1" t="s">
        <v>252</v>
      </c>
      <c r="E228" s="1" t="s">
        <v>261</v>
      </c>
      <c r="F228" s="1" t="s">
        <v>248</v>
      </c>
      <c r="G228" s="1" t="s">
        <v>255</v>
      </c>
      <c r="H228" s="1" t="s">
        <v>258</v>
      </c>
      <c r="I228" s="1" t="s">
        <v>260</v>
      </c>
      <c r="J228" s="1" t="s">
        <v>492</v>
      </c>
      <c r="K228" s="85" t="s">
        <v>552</v>
      </c>
      <c r="L228" s="1" t="s">
        <v>259</v>
      </c>
      <c r="M228" s="1" t="s">
        <v>251</v>
      </c>
      <c r="N228" s="1" t="s">
        <v>257</v>
      </c>
      <c r="O228" s="1" t="s">
        <v>247</v>
      </c>
      <c r="P228" s="1"/>
      <c r="Q228" s="1"/>
      <c r="R228" s="1" t="s">
        <v>256</v>
      </c>
      <c r="S228" s="85" t="s">
        <v>442</v>
      </c>
      <c r="T228" s="85" t="s">
        <v>443</v>
      </c>
      <c r="U228" s="85" t="s">
        <v>444</v>
      </c>
      <c r="V228" s="85" t="s">
        <v>445</v>
      </c>
      <c r="W228" s="85" t="s">
        <v>446</v>
      </c>
      <c r="X228" s="85" t="s">
        <v>452</v>
      </c>
      <c r="Y228" s="85"/>
      <c r="Z228" s="85" t="s">
        <v>465</v>
      </c>
      <c r="AA228" s="85" t="s">
        <v>489</v>
      </c>
      <c r="AB228" s="85" t="s">
        <v>490</v>
      </c>
      <c r="AC228" s="85" t="s">
        <v>503</v>
      </c>
      <c r="AD228" s="85" t="s">
        <v>507</v>
      </c>
      <c r="AE228" s="85"/>
      <c r="AF228" s="85"/>
      <c r="AG228" s="85"/>
      <c r="AH228" s="85"/>
      <c r="AI228" s="85"/>
      <c r="AJ228" s="85"/>
      <c r="AK228" s="85"/>
      <c r="AL228" s="85"/>
      <c r="AM228" s="85" t="s">
        <v>537</v>
      </c>
      <c r="AN228" s="85" t="s">
        <v>538</v>
      </c>
      <c r="AO228" s="1" t="s">
        <v>559</v>
      </c>
      <c r="AP228" s="85" t="s">
        <v>591</v>
      </c>
      <c r="AQ228" s="85" t="s">
        <v>597</v>
      </c>
    </row>
    <row r="229" spans="1:43" x14ac:dyDescent="0.35">
      <c r="A229" s="134" t="s">
        <v>83</v>
      </c>
      <c r="B229" s="48">
        <f>_xlfn.XLOOKUP(A229,T_Custos[Produto],T_Custos[Peso])</f>
        <v>10</v>
      </c>
      <c r="C229" s="49" t="str">
        <f>_xlfn.XLOOKUP(A229,T_Custos[Produto],T_Custos[Und])</f>
        <v>kg</v>
      </c>
      <c r="D229" s="1" t="s">
        <v>252</v>
      </c>
      <c r="E229" s="1" t="s">
        <v>261</v>
      </c>
      <c r="F229" s="1" t="s">
        <v>248</v>
      </c>
      <c r="G229" s="1" t="s">
        <v>255</v>
      </c>
      <c r="H229" s="1" t="s">
        <v>258</v>
      </c>
      <c r="I229" s="1" t="s">
        <v>260</v>
      </c>
      <c r="J229" s="1" t="s">
        <v>492</v>
      </c>
      <c r="K229" s="85" t="s">
        <v>552</v>
      </c>
      <c r="L229" s="1" t="s">
        <v>259</v>
      </c>
      <c r="M229" s="1" t="s">
        <v>251</v>
      </c>
      <c r="N229" s="1" t="s">
        <v>257</v>
      </c>
      <c r="O229" s="1" t="s">
        <v>247</v>
      </c>
      <c r="P229" s="1"/>
      <c r="Q229" s="1"/>
      <c r="R229" s="1" t="s">
        <v>256</v>
      </c>
      <c r="S229" s="85" t="s">
        <v>442</v>
      </c>
      <c r="T229" s="85" t="s">
        <v>443</v>
      </c>
      <c r="U229" s="85" t="s">
        <v>444</v>
      </c>
      <c r="V229" s="85" t="s">
        <v>445</v>
      </c>
      <c r="W229" s="85" t="s">
        <v>446</v>
      </c>
      <c r="X229" s="85" t="s">
        <v>452</v>
      </c>
      <c r="Y229" s="85" t="s">
        <v>463</v>
      </c>
      <c r="Z229" s="85"/>
      <c r="AA229" s="85" t="s">
        <v>489</v>
      </c>
      <c r="AB229" s="85" t="s">
        <v>490</v>
      </c>
      <c r="AC229" s="85"/>
      <c r="AD229" s="85"/>
      <c r="AE229" s="85"/>
      <c r="AF229" s="85"/>
      <c r="AG229" s="85"/>
      <c r="AH229" s="85"/>
      <c r="AI229" s="85"/>
      <c r="AJ229" s="85"/>
      <c r="AK229" s="85"/>
      <c r="AL229" s="85"/>
      <c r="AM229" s="85" t="s">
        <v>537</v>
      </c>
      <c r="AN229" s="85" t="s">
        <v>538</v>
      </c>
      <c r="AO229" s="1" t="s">
        <v>559</v>
      </c>
      <c r="AP229" s="85" t="s">
        <v>591</v>
      </c>
      <c r="AQ229" s="85" t="s">
        <v>597</v>
      </c>
    </row>
    <row r="230" spans="1:43" x14ac:dyDescent="0.35">
      <c r="A230" s="134" t="s">
        <v>84</v>
      </c>
      <c r="B230" s="48">
        <f>_xlfn.XLOOKUP(A230,T_Custos[Produto],T_Custos[Peso])</f>
        <v>10</v>
      </c>
      <c r="C230" s="49" t="str">
        <f>_xlfn.XLOOKUP(A230,T_Custos[Produto],T_Custos[Und])</f>
        <v>kg</v>
      </c>
      <c r="D230" s="1" t="s">
        <v>252</v>
      </c>
      <c r="E230" s="1" t="s">
        <v>261</v>
      </c>
      <c r="F230" s="1" t="s">
        <v>248</v>
      </c>
      <c r="G230" s="1" t="s">
        <v>255</v>
      </c>
      <c r="H230" s="1" t="s">
        <v>258</v>
      </c>
      <c r="I230" s="1" t="s">
        <v>260</v>
      </c>
      <c r="J230" s="1" t="s">
        <v>492</v>
      </c>
      <c r="K230" s="85" t="s">
        <v>552</v>
      </c>
      <c r="L230" s="1" t="s">
        <v>259</v>
      </c>
      <c r="M230" s="1" t="s">
        <v>251</v>
      </c>
      <c r="N230" s="1" t="s">
        <v>257</v>
      </c>
      <c r="O230" s="1" t="s">
        <v>247</v>
      </c>
      <c r="P230" s="1"/>
      <c r="Q230" s="1"/>
      <c r="R230" s="1" t="s">
        <v>256</v>
      </c>
      <c r="S230" s="85" t="s">
        <v>442</v>
      </c>
      <c r="T230" s="85" t="s">
        <v>443</v>
      </c>
      <c r="U230" s="85" t="s">
        <v>444</v>
      </c>
      <c r="V230" s="85" t="s">
        <v>445</v>
      </c>
      <c r="W230" s="85" t="s">
        <v>446</v>
      </c>
      <c r="X230" s="85" t="s">
        <v>452</v>
      </c>
      <c r="Y230" s="85" t="s">
        <v>463</v>
      </c>
      <c r="Z230" s="85"/>
      <c r="AA230" s="85" t="s">
        <v>489</v>
      </c>
      <c r="AB230" s="85" t="s">
        <v>490</v>
      </c>
      <c r="AC230" s="85"/>
      <c r="AD230" s="85"/>
      <c r="AE230" s="85"/>
      <c r="AF230" s="85"/>
      <c r="AG230" s="85"/>
      <c r="AH230" s="85"/>
      <c r="AI230" s="85"/>
      <c r="AJ230" s="85"/>
      <c r="AK230" s="85"/>
      <c r="AL230" s="85"/>
      <c r="AM230" s="85" t="s">
        <v>537</v>
      </c>
      <c r="AN230" s="85" t="s">
        <v>538</v>
      </c>
      <c r="AO230" s="1" t="s">
        <v>559</v>
      </c>
      <c r="AP230" s="85" t="s">
        <v>591</v>
      </c>
      <c r="AQ230" s="85" t="s">
        <v>597</v>
      </c>
    </row>
    <row r="231" spans="1:43" x14ac:dyDescent="0.35">
      <c r="A231" s="134" t="s">
        <v>383</v>
      </c>
      <c r="B231" s="48">
        <f>_xlfn.XLOOKUP(A231,T_Custos[Produto],T_Custos[Peso])</f>
        <v>1</v>
      </c>
      <c r="C231" s="49" t="str">
        <f>_xlfn.XLOOKUP(A231,T_Custos[Produto],T_Custos[Und])</f>
        <v>und</v>
      </c>
      <c r="D231" s="1"/>
      <c r="E231" s="1"/>
      <c r="F231" s="1"/>
      <c r="G231" s="1"/>
      <c r="H231" s="1"/>
      <c r="I231" s="1"/>
      <c r="J231" s="1"/>
      <c r="K231" s="85"/>
      <c r="L231" s="1"/>
      <c r="M231" s="1"/>
      <c r="N231" s="1"/>
      <c r="O231" s="1"/>
      <c r="P231" s="47" t="s">
        <v>253</v>
      </c>
      <c r="Q231" s="47" t="s">
        <v>254</v>
      </c>
      <c r="R231" s="1"/>
      <c r="S231" s="85" t="s">
        <v>442</v>
      </c>
      <c r="T231" s="85" t="s">
        <v>443</v>
      </c>
      <c r="U231" s="85" t="s">
        <v>444</v>
      </c>
      <c r="V231" s="85" t="s">
        <v>445</v>
      </c>
      <c r="W231" s="85" t="s">
        <v>446</v>
      </c>
      <c r="X231" s="85"/>
      <c r="Y231" s="85"/>
      <c r="Z231" s="85"/>
      <c r="AA231" s="85"/>
      <c r="AB231" s="85"/>
      <c r="AC231" s="85"/>
      <c r="AD231" s="85"/>
      <c r="AE231" s="85"/>
      <c r="AF231" s="85"/>
      <c r="AG231" s="85"/>
      <c r="AH231" s="85"/>
      <c r="AI231" s="85"/>
      <c r="AJ231" s="85"/>
      <c r="AK231" s="85"/>
      <c r="AL231" s="85"/>
      <c r="AM231" s="85"/>
      <c r="AN231" s="85"/>
      <c r="AO231" s="1"/>
      <c r="AP231" s="85"/>
      <c r="AQ231" s="85"/>
    </row>
    <row r="232" spans="1:43" x14ac:dyDescent="0.35">
      <c r="A232" s="134" t="s">
        <v>85</v>
      </c>
      <c r="B232" s="48">
        <f>_xlfn.XLOOKUP(A232,T_Custos[Produto],T_Custos[Peso])</f>
        <v>6</v>
      </c>
      <c r="C232" s="49" t="str">
        <f>_xlfn.XLOOKUP(A232,T_Custos[Produto],T_Custos[Und])</f>
        <v>kg</v>
      </c>
      <c r="D232" s="1" t="s">
        <v>252</v>
      </c>
      <c r="E232" s="1" t="s">
        <v>261</v>
      </c>
      <c r="F232" s="1" t="s">
        <v>248</v>
      </c>
      <c r="G232" s="1" t="s">
        <v>255</v>
      </c>
      <c r="H232" s="1" t="s">
        <v>258</v>
      </c>
      <c r="I232" s="1" t="s">
        <v>260</v>
      </c>
      <c r="J232" s="1" t="s">
        <v>492</v>
      </c>
      <c r="K232" s="85" t="s">
        <v>552</v>
      </c>
      <c r="L232" s="1" t="s">
        <v>259</v>
      </c>
      <c r="M232" s="1" t="s">
        <v>251</v>
      </c>
      <c r="N232" s="1" t="s">
        <v>257</v>
      </c>
      <c r="O232" s="1" t="s">
        <v>247</v>
      </c>
      <c r="P232" s="1"/>
      <c r="Q232" s="1"/>
      <c r="R232" s="1" t="s">
        <v>256</v>
      </c>
      <c r="S232" s="85" t="s">
        <v>442</v>
      </c>
      <c r="T232" s="85" t="s">
        <v>443</v>
      </c>
      <c r="U232" s="85" t="s">
        <v>444</v>
      </c>
      <c r="V232" s="85" t="s">
        <v>445</v>
      </c>
      <c r="W232" s="85" t="s">
        <v>446</v>
      </c>
      <c r="X232" s="85" t="s">
        <v>452</v>
      </c>
      <c r="Y232" s="85"/>
      <c r="Z232" s="85"/>
      <c r="AA232" s="85" t="s">
        <v>489</v>
      </c>
      <c r="AB232" s="85" t="s">
        <v>490</v>
      </c>
      <c r="AC232" s="85" t="s">
        <v>503</v>
      </c>
      <c r="AD232" s="85"/>
      <c r="AE232" s="85"/>
      <c r="AF232" s="85"/>
      <c r="AG232" s="85"/>
      <c r="AH232" s="85"/>
      <c r="AI232" s="85"/>
      <c r="AJ232" s="85"/>
      <c r="AK232" s="85"/>
      <c r="AL232" s="85"/>
      <c r="AM232" s="85" t="s">
        <v>537</v>
      </c>
      <c r="AN232" s="85" t="s">
        <v>538</v>
      </c>
      <c r="AO232" s="1" t="s">
        <v>559</v>
      </c>
      <c r="AP232" s="85" t="s">
        <v>591</v>
      </c>
      <c r="AQ232" s="85" t="s">
        <v>597</v>
      </c>
    </row>
    <row r="233" spans="1:43" x14ac:dyDescent="0.35">
      <c r="A233" s="134" t="s">
        <v>460</v>
      </c>
      <c r="B233" s="48">
        <f>_xlfn.XLOOKUP(A233,T_Custos[Produto],T_Custos[Peso])</f>
        <v>8</v>
      </c>
      <c r="C233" s="49" t="str">
        <f>_xlfn.XLOOKUP(A233,T_Custos[Produto],T_Custos[Und])</f>
        <v>kg</v>
      </c>
      <c r="D233" s="1" t="s">
        <v>252</v>
      </c>
      <c r="E233" s="1" t="s">
        <v>261</v>
      </c>
      <c r="F233" s="1" t="s">
        <v>248</v>
      </c>
      <c r="G233" s="1" t="s">
        <v>255</v>
      </c>
      <c r="H233" s="1" t="s">
        <v>258</v>
      </c>
      <c r="I233" s="1" t="s">
        <v>260</v>
      </c>
      <c r="J233" s="1" t="s">
        <v>492</v>
      </c>
      <c r="K233" s="85" t="s">
        <v>552</v>
      </c>
      <c r="L233" s="1" t="s">
        <v>259</v>
      </c>
      <c r="M233" s="1" t="s">
        <v>251</v>
      </c>
      <c r="N233" s="1" t="s">
        <v>257</v>
      </c>
      <c r="O233" s="1" t="s">
        <v>247</v>
      </c>
      <c r="P233" s="1"/>
      <c r="Q233" s="1"/>
      <c r="R233" s="1" t="s">
        <v>256</v>
      </c>
      <c r="S233" s="85" t="s">
        <v>442</v>
      </c>
      <c r="T233" s="85" t="s">
        <v>443</v>
      </c>
      <c r="U233" s="85" t="s">
        <v>444</v>
      </c>
      <c r="V233" s="85" t="s">
        <v>445</v>
      </c>
      <c r="W233" s="85" t="s">
        <v>446</v>
      </c>
      <c r="X233" s="85" t="s">
        <v>452</v>
      </c>
      <c r="Y233" s="85"/>
      <c r="Z233" s="85"/>
      <c r="AA233" s="85"/>
      <c r="AB233" s="85"/>
      <c r="AC233" s="85"/>
      <c r="AD233" s="85"/>
      <c r="AE233" s="85"/>
      <c r="AF233" s="85"/>
      <c r="AG233" s="85"/>
      <c r="AH233" s="85"/>
      <c r="AI233" s="85"/>
      <c r="AJ233" s="85"/>
      <c r="AK233" s="85"/>
      <c r="AL233" s="85"/>
      <c r="AM233" s="85"/>
      <c r="AN233" s="85"/>
      <c r="AO233" s="1" t="s">
        <v>559</v>
      </c>
      <c r="AP233" s="85" t="s">
        <v>591</v>
      </c>
      <c r="AQ233" s="85" t="s">
        <v>597</v>
      </c>
    </row>
    <row r="234" spans="1:43" x14ac:dyDescent="0.35">
      <c r="A234" s="85" t="s">
        <v>86</v>
      </c>
      <c r="B234" s="48">
        <f>_xlfn.XLOOKUP(A234,T_Custos[Produto],T_Custos[Peso])</f>
        <v>1</v>
      </c>
      <c r="C234" s="49" t="str">
        <f>_xlfn.XLOOKUP(A234,T_Custos[Produto],T_Custos[Und])</f>
        <v>bd</v>
      </c>
      <c r="D234" s="1" t="s">
        <v>252</v>
      </c>
      <c r="E234" s="1" t="s">
        <v>261</v>
      </c>
      <c r="F234" s="1" t="s">
        <v>248</v>
      </c>
      <c r="G234" s="1" t="s">
        <v>255</v>
      </c>
      <c r="H234" s="1" t="s">
        <v>258</v>
      </c>
      <c r="I234" s="1" t="s">
        <v>260</v>
      </c>
      <c r="J234" s="1" t="s">
        <v>492</v>
      </c>
      <c r="K234" s="85" t="s">
        <v>552</v>
      </c>
      <c r="L234" s="1" t="s">
        <v>259</v>
      </c>
      <c r="M234" s="1" t="s">
        <v>251</v>
      </c>
      <c r="N234" s="1" t="s">
        <v>257</v>
      </c>
      <c r="O234" s="1" t="s">
        <v>247</v>
      </c>
      <c r="P234" s="1"/>
      <c r="Q234" s="1"/>
      <c r="R234" s="1" t="s">
        <v>256</v>
      </c>
      <c r="S234" s="85" t="s">
        <v>442</v>
      </c>
      <c r="T234" s="85" t="s">
        <v>443</v>
      </c>
      <c r="U234" s="85" t="s">
        <v>444</v>
      </c>
      <c r="V234" s="85" t="s">
        <v>445</v>
      </c>
      <c r="W234" s="85" t="s">
        <v>446</v>
      </c>
      <c r="X234" s="85" t="s">
        <v>452</v>
      </c>
      <c r="Y234" s="85"/>
      <c r="Z234" s="85"/>
      <c r="AA234" s="85" t="s">
        <v>489</v>
      </c>
      <c r="AB234" s="85" t="s">
        <v>490</v>
      </c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5"/>
      <c r="AO234" s="1" t="s">
        <v>559</v>
      </c>
      <c r="AP234" s="85" t="s">
        <v>591</v>
      </c>
      <c r="AQ234" s="85" t="s">
        <v>597</v>
      </c>
    </row>
    <row r="235" spans="1:43" x14ac:dyDescent="0.35">
      <c r="A235" s="134" t="s">
        <v>87</v>
      </c>
      <c r="B235" s="48">
        <f>_xlfn.XLOOKUP(A235,T_Custos[Produto],T_Custos[Peso])</f>
        <v>15</v>
      </c>
      <c r="C235" s="49" t="str">
        <f>_xlfn.XLOOKUP(A235,T_Custos[Produto],T_Custos[Und])</f>
        <v>kg</v>
      </c>
      <c r="D235" s="1" t="s">
        <v>252</v>
      </c>
      <c r="E235" s="1" t="s">
        <v>261</v>
      </c>
      <c r="F235" s="1" t="s">
        <v>248</v>
      </c>
      <c r="G235" s="1" t="s">
        <v>255</v>
      </c>
      <c r="H235" s="1" t="s">
        <v>258</v>
      </c>
      <c r="I235" s="1" t="s">
        <v>260</v>
      </c>
      <c r="J235" s="1" t="s">
        <v>492</v>
      </c>
      <c r="K235" s="85" t="s">
        <v>552</v>
      </c>
      <c r="L235" s="1" t="s">
        <v>259</v>
      </c>
      <c r="M235" s="1" t="s">
        <v>251</v>
      </c>
      <c r="N235" s="1" t="s">
        <v>257</v>
      </c>
      <c r="O235" s="1" t="s">
        <v>247</v>
      </c>
      <c r="P235" s="1"/>
      <c r="Q235" s="1"/>
      <c r="R235" s="1" t="s">
        <v>256</v>
      </c>
      <c r="S235" s="85" t="s">
        <v>442</v>
      </c>
      <c r="T235" s="85" t="s">
        <v>443</v>
      </c>
      <c r="U235" s="85" t="s">
        <v>444</v>
      </c>
      <c r="V235" s="85" t="s">
        <v>445</v>
      </c>
      <c r="W235" s="85" t="s">
        <v>446</v>
      </c>
      <c r="X235" s="85" t="s">
        <v>452</v>
      </c>
      <c r="Y235" s="85"/>
      <c r="Z235" s="85"/>
      <c r="AA235" s="85" t="s">
        <v>489</v>
      </c>
      <c r="AB235" s="85" t="s">
        <v>490</v>
      </c>
      <c r="AC235" s="85"/>
      <c r="AD235" s="85"/>
      <c r="AE235" s="85"/>
      <c r="AF235" s="85" t="s">
        <v>515</v>
      </c>
      <c r="AG235" s="85" t="s">
        <v>516</v>
      </c>
      <c r="AH235" s="85" t="s">
        <v>517</v>
      </c>
      <c r="AI235" s="85" t="s">
        <v>518</v>
      </c>
      <c r="AJ235" s="85" t="s">
        <v>519</v>
      </c>
      <c r="AK235" s="85" t="s">
        <v>520</v>
      </c>
      <c r="AL235" s="85" t="s">
        <v>521</v>
      </c>
      <c r="AM235" s="85" t="s">
        <v>537</v>
      </c>
      <c r="AN235" s="85" t="s">
        <v>538</v>
      </c>
      <c r="AO235" s="1" t="s">
        <v>559</v>
      </c>
      <c r="AP235" s="85" t="s">
        <v>591</v>
      </c>
      <c r="AQ235" s="85" t="s">
        <v>597</v>
      </c>
    </row>
    <row r="236" spans="1:43" x14ac:dyDescent="0.35">
      <c r="A236" s="134" t="s">
        <v>88</v>
      </c>
      <c r="B236" s="48">
        <f>_xlfn.XLOOKUP(A236,T_Custos[Produto],T_Custos[Peso])</f>
        <v>18</v>
      </c>
      <c r="C236" s="49" t="str">
        <f>_xlfn.XLOOKUP(A236,T_Custos[Produto],T_Custos[Und])</f>
        <v>kg</v>
      </c>
      <c r="D236" s="1" t="s">
        <v>252</v>
      </c>
      <c r="E236" s="1" t="s">
        <v>261</v>
      </c>
      <c r="F236" s="1" t="s">
        <v>248</v>
      </c>
      <c r="G236" s="1" t="s">
        <v>255</v>
      </c>
      <c r="H236" s="1" t="s">
        <v>258</v>
      </c>
      <c r="I236" s="1" t="s">
        <v>260</v>
      </c>
      <c r="J236" s="1" t="s">
        <v>492</v>
      </c>
      <c r="K236" s="85" t="s">
        <v>552</v>
      </c>
      <c r="L236" s="1" t="s">
        <v>259</v>
      </c>
      <c r="M236" s="1" t="s">
        <v>251</v>
      </c>
      <c r="N236" s="1" t="s">
        <v>257</v>
      </c>
      <c r="O236" s="1" t="s">
        <v>247</v>
      </c>
      <c r="P236" s="1"/>
      <c r="Q236" s="1"/>
      <c r="R236" s="1" t="s">
        <v>256</v>
      </c>
      <c r="S236" s="85" t="s">
        <v>442</v>
      </c>
      <c r="T236" s="85" t="s">
        <v>443</v>
      </c>
      <c r="U236" s="85" t="s">
        <v>444</v>
      </c>
      <c r="V236" s="85" t="s">
        <v>445</v>
      </c>
      <c r="W236" s="85" t="s">
        <v>446</v>
      </c>
      <c r="X236" s="85" t="s">
        <v>452</v>
      </c>
      <c r="Y236" s="85"/>
      <c r="Z236" s="85" t="s">
        <v>465</v>
      </c>
      <c r="AA236" s="85" t="s">
        <v>489</v>
      </c>
      <c r="AB236" s="85" t="s">
        <v>490</v>
      </c>
      <c r="AC236" s="85"/>
      <c r="AD236" s="85"/>
      <c r="AE236" s="85"/>
      <c r="AF236" s="85" t="s">
        <v>515</v>
      </c>
      <c r="AG236" s="85" t="s">
        <v>516</v>
      </c>
      <c r="AH236" s="85" t="s">
        <v>517</v>
      </c>
      <c r="AI236" s="85" t="s">
        <v>518</v>
      </c>
      <c r="AJ236" s="85" t="s">
        <v>519</v>
      </c>
      <c r="AK236" s="85" t="s">
        <v>520</v>
      </c>
      <c r="AL236" s="85" t="s">
        <v>521</v>
      </c>
      <c r="AM236" s="85" t="s">
        <v>537</v>
      </c>
      <c r="AN236" s="85" t="s">
        <v>538</v>
      </c>
      <c r="AO236" s="1" t="s">
        <v>559</v>
      </c>
      <c r="AP236" s="85" t="s">
        <v>591</v>
      </c>
      <c r="AQ236" s="85" t="s">
        <v>597</v>
      </c>
    </row>
    <row r="237" spans="1:43" x14ac:dyDescent="0.35">
      <c r="A237" s="134" t="s">
        <v>384</v>
      </c>
      <c r="B237" s="48">
        <f>_xlfn.XLOOKUP(A237,T_Custos[Produto],T_Custos[Peso])</f>
        <v>1</v>
      </c>
      <c r="C237" s="49" t="str">
        <f>_xlfn.XLOOKUP(A237,T_Custos[Produto],T_Custos[Und])</f>
        <v>und</v>
      </c>
      <c r="D237" s="1"/>
      <c r="E237" s="1"/>
      <c r="F237" s="1"/>
      <c r="G237" s="1"/>
      <c r="H237" s="1"/>
      <c r="I237" s="1"/>
      <c r="J237" s="1"/>
      <c r="K237" s="85"/>
      <c r="L237" s="1"/>
      <c r="M237" s="1"/>
      <c r="N237" s="1"/>
      <c r="O237" s="1"/>
      <c r="P237" s="47" t="s">
        <v>253</v>
      </c>
      <c r="Q237" s="47" t="s">
        <v>254</v>
      </c>
      <c r="R237" s="1"/>
      <c r="S237" s="85" t="s">
        <v>442</v>
      </c>
      <c r="T237" s="85" t="s">
        <v>443</v>
      </c>
      <c r="U237" s="85" t="s">
        <v>444</v>
      </c>
      <c r="V237" s="85" t="s">
        <v>445</v>
      </c>
      <c r="W237" s="85" t="s">
        <v>446</v>
      </c>
      <c r="X237" s="85"/>
      <c r="Y237" s="85"/>
      <c r="Z237" s="85"/>
      <c r="AA237" s="85"/>
      <c r="AB237" s="85"/>
      <c r="AC237" s="85"/>
      <c r="AD237" s="85"/>
      <c r="AE237" s="85"/>
      <c r="AF237" s="85"/>
      <c r="AG237" s="85"/>
      <c r="AH237" s="85"/>
      <c r="AI237" s="85"/>
      <c r="AJ237" s="85"/>
      <c r="AK237" s="85"/>
      <c r="AL237" s="85"/>
      <c r="AM237" s="85"/>
      <c r="AN237" s="85"/>
      <c r="AO237" s="1"/>
      <c r="AP237" s="85"/>
      <c r="AQ237" s="85"/>
    </row>
    <row r="238" spans="1:43" x14ac:dyDescent="0.35">
      <c r="A238" s="134" t="s">
        <v>89</v>
      </c>
      <c r="B238" s="48">
        <f>_xlfn.XLOOKUP(A238,T_Custos[Produto],T_Custos[Peso])</f>
        <v>15</v>
      </c>
      <c r="C238" s="49" t="str">
        <f>_xlfn.XLOOKUP(A238,T_Custos[Produto],T_Custos[Und])</f>
        <v>kg</v>
      </c>
      <c r="D238" s="1" t="s">
        <v>252</v>
      </c>
      <c r="E238" s="1" t="s">
        <v>261</v>
      </c>
      <c r="F238" s="1" t="s">
        <v>248</v>
      </c>
      <c r="G238" s="1" t="s">
        <v>255</v>
      </c>
      <c r="H238" s="1" t="s">
        <v>258</v>
      </c>
      <c r="I238" s="1" t="s">
        <v>260</v>
      </c>
      <c r="J238" s="1" t="s">
        <v>492</v>
      </c>
      <c r="K238" s="85" t="s">
        <v>552</v>
      </c>
      <c r="L238" s="1" t="s">
        <v>259</v>
      </c>
      <c r="M238" s="1" t="s">
        <v>251</v>
      </c>
      <c r="N238" s="1" t="s">
        <v>257</v>
      </c>
      <c r="O238" s="1" t="s">
        <v>247</v>
      </c>
      <c r="P238" s="1"/>
      <c r="Q238" s="1"/>
      <c r="R238" s="1" t="s">
        <v>256</v>
      </c>
      <c r="S238" s="85" t="s">
        <v>442</v>
      </c>
      <c r="T238" s="85" t="s">
        <v>443</v>
      </c>
      <c r="U238" s="85" t="s">
        <v>444</v>
      </c>
      <c r="V238" s="85" t="s">
        <v>445</v>
      </c>
      <c r="W238" s="85" t="s">
        <v>446</v>
      </c>
      <c r="X238" s="85" t="s">
        <v>452</v>
      </c>
      <c r="Y238" s="85"/>
      <c r="Z238" s="85"/>
      <c r="AA238" s="85" t="s">
        <v>489</v>
      </c>
      <c r="AB238" s="85" t="s">
        <v>490</v>
      </c>
      <c r="AC238" s="85" t="s">
        <v>503</v>
      </c>
      <c r="AD238" s="85" t="s">
        <v>507</v>
      </c>
      <c r="AE238" s="85"/>
      <c r="AF238" s="85" t="s">
        <v>515</v>
      </c>
      <c r="AG238" s="85" t="s">
        <v>516</v>
      </c>
      <c r="AH238" s="85" t="s">
        <v>517</v>
      </c>
      <c r="AI238" s="85" t="s">
        <v>518</v>
      </c>
      <c r="AJ238" s="85" t="s">
        <v>519</v>
      </c>
      <c r="AK238" s="85" t="s">
        <v>520</v>
      </c>
      <c r="AL238" s="85" t="s">
        <v>521</v>
      </c>
      <c r="AM238" s="85" t="s">
        <v>537</v>
      </c>
      <c r="AN238" s="85" t="s">
        <v>538</v>
      </c>
      <c r="AO238" s="1" t="s">
        <v>559</v>
      </c>
      <c r="AP238" s="85" t="s">
        <v>591</v>
      </c>
      <c r="AQ238" s="85" t="s">
        <v>597</v>
      </c>
    </row>
    <row r="239" spans="1:43" x14ac:dyDescent="0.35">
      <c r="A239" s="134" t="s">
        <v>206</v>
      </c>
      <c r="B239" s="48">
        <f>_xlfn.XLOOKUP(A239,T_Custos[Produto],T_Custos[Peso])</f>
        <v>1</v>
      </c>
      <c r="C239" s="49" t="str">
        <f>_xlfn.XLOOKUP(A239,T_Custos[Produto],T_Custos[Und])</f>
        <v>un</v>
      </c>
      <c r="D239" s="1" t="s">
        <v>252</v>
      </c>
      <c r="E239" s="1" t="s">
        <v>261</v>
      </c>
      <c r="F239" s="1" t="s">
        <v>248</v>
      </c>
      <c r="G239" s="1" t="s">
        <v>255</v>
      </c>
      <c r="H239" s="1" t="s">
        <v>258</v>
      </c>
      <c r="I239" s="1" t="s">
        <v>260</v>
      </c>
      <c r="J239" s="1" t="s">
        <v>492</v>
      </c>
      <c r="K239" s="85" t="s">
        <v>552</v>
      </c>
      <c r="L239" s="1" t="s">
        <v>259</v>
      </c>
      <c r="M239" s="1" t="s">
        <v>251</v>
      </c>
      <c r="N239" s="1" t="s">
        <v>257</v>
      </c>
      <c r="O239" s="1" t="s">
        <v>247</v>
      </c>
      <c r="P239" s="1"/>
      <c r="Q239" s="1"/>
      <c r="R239" s="1" t="s">
        <v>256</v>
      </c>
      <c r="S239" s="85" t="s">
        <v>442</v>
      </c>
      <c r="T239" s="85" t="s">
        <v>443</v>
      </c>
      <c r="U239" s="85" t="s">
        <v>444</v>
      </c>
      <c r="V239" s="85" t="s">
        <v>445</v>
      </c>
      <c r="W239" s="85" t="s">
        <v>446</v>
      </c>
      <c r="X239" s="85"/>
      <c r="Y239" s="85" t="s">
        <v>463</v>
      </c>
      <c r="Z239" s="85"/>
      <c r="AA239" s="85" t="s">
        <v>489</v>
      </c>
      <c r="AB239" s="85" t="s">
        <v>490</v>
      </c>
      <c r="AC239" s="85"/>
      <c r="AD239" s="85" t="s">
        <v>507</v>
      </c>
      <c r="AE239" s="85" t="s">
        <v>509</v>
      </c>
      <c r="AF239" s="85"/>
      <c r="AG239" s="85"/>
      <c r="AH239" s="85"/>
      <c r="AI239" s="85"/>
      <c r="AJ239" s="85"/>
      <c r="AK239" s="85"/>
      <c r="AL239" s="85"/>
      <c r="AM239" s="85"/>
      <c r="AN239" s="85"/>
      <c r="AO239" s="1" t="s">
        <v>559</v>
      </c>
      <c r="AP239" s="85"/>
      <c r="AQ239" s="85" t="s">
        <v>597</v>
      </c>
    </row>
    <row r="240" spans="1:43" x14ac:dyDescent="0.35">
      <c r="A240" s="134" t="s">
        <v>225</v>
      </c>
      <c r="B240" s="48">
        <f>_xlfn.XLOOKUP(A240,T_Custos[Produto],T_Custos[Peso])</f>
        <v>1</v>
      </c>
      <c r="C240" s="49" t="str">
        <f>_xlfn.XLOOKUP(A240,T_Custos[Produto],T_Custos[Und])</f>
        <v>un</v>
      </c>
      <c r="D240" s="1" t="s">
        <v>252</v>
      </c>
      <c r="E240" s="1" t="s">
        <v>261</v>
      </c>
      <c r="F240" s="1" t="s">
        <v>248</v>
      </c>
      <c r="G240" s="1" t="s">
        <v>255</v>
      </c>
      <c r="H240" s="1" t="s">
        <v>258</v>
      </c>
      <c r="I240" s="1" t="s">
        <v>260</v>
      </c>
      <c r="J240" s="1" t="s">
        <v>492</v>
      </c>
      <c r="K240" s="85" t="s">
        <v>552</v>
      </c>
      <c r="L240" s="1" t="s">
        <v>259</v>
      </c>
      <c r="M240" s="1" t="s">
        <v>251</v>
      </c>
      <c r="N240" s="1" t="s">
        <v>257</v>
      </c>
      <c r="O240" s="1" t="s">
        <v>247</v>
      </c>
      <c r="P240" s="1"/>
      <c r="Q240" s="1"/>
      <c r="R240" s="1" t="s">
        <v>256</v>
      </c>
      <c r="S240" s="85" t="s">
        <v>442</v>
      </c>
      <c r="T240" s="85" t="s">
        <v>443</v>
      </c>
      <c r="U240" s="85" t="s">
        <v>444</v>
      </c>
      <c r="V240" s="85" t="s">
        <v>445</v>
      </c>
      <c r="W240" s="85" t="s">
        <v>446</v>
      </c>
      <c r="X240" s="85"/>
      <c r="Y240" s="85"/>
      <c r="Z240" s="85"/>
      <c r="AA240" s="85"/>
      <c r="AB240" s="85"/>
      <c r="AC240" s="85"/>
      <c r="AD240" s="85"/>
      <c r="AE240" s="85"/>
      <c r="AF240" s="85"/>
      <c r="AG240" s="85"/>
      <c r="AH240" s="85"/>
      <c r="AI240" s="85"/>
      <c r="AJ240" s="85"/>
      <c r="AK240" s="85"/>
      <c r="AL240" s="85"/>
      <c r="AM240" s="85"/>
      <c r="AN240" s="85"/>
      <c r="AO240" s="1" t="s">
        <v>559</v>
      </c>
      <c r="AP240" s="85"/>
      <c r="AQ240" s="85" t="s">
        <v>597</v>
      </c>
    </row>
    <row r="241" spans="1:43" x14ac:dyDescent="0.35">
      <c r="A241" s="134" t="s">
        <v>582</v>
      </c>
      <c r="B241" s="64">
        <f>_xlfn.XLOOKUP(A241,T_Custos[Produto],T_Custos[Peso])</f>
        <v>1</v>
      </c>
      <c r="C241" s="65" t="str">
        <f>_xlfn.XLOOKUP(A241,T_Custos[Produto],T_Custos[Und])</f>
        <v>kg</v>
      </c>
      <c r="D241" s="1"/>
      <c r="E241" s="1"/>
      <c r="F241" s="1"/>
      <c r="G241" s="1"/>
      <c r="H241" s="1"/>
      <c r="I241" s="1"/>
      <c r="J241" s="1"/>
      <c r="K241" s="85"/>
      <c r="L241" s="1"/>
      <c r="M241" s="1"/>
      <c r="N241" s="1"/>
      <c r="O241" s="1"/>
      <c r="P241" s="1"/>
      <c r="Q241" s="1"/>
      <c r="R241" s="1"/>
      <c r="S241" s="85"/>
      <c r="T241" s="85"/>
      <c r="U241" s="85"/>
      <c r="V241" s="85"/>
      <c r="W241" s="85"/>
      <c r="X241" s="85"/>
      <c r="Y241" s="85"/>
      <c r="Z241" s="85"/>
      <c r="AA241" s="85"/>
      <c r="AB241" s="85"/>
      <c r="AC241" s="85"/>
      <c r="AD241" s="85"/>
      <c r="AE241" s="85"/>
      <c r="AF241" s="85"/>
      <c r="AG241" s="85"/>
      <c r="AH241" s="85"/>
      <c r="AI241" s="85"/>
      <c r="AJ241" s="85"/>
      <c r="AK241" s="85"/>
      <c r="AL241" s="85"/>
      <c r="AM241" s="85"/>
      <c r="AN241" s="85"/>
      <c r="AO241" s="85"/>
      <c r="AP241" s="85" t="s">
        <v>591</v>
      </c>
      <c r="AQ241" s="85"/>
    </row>
    <row r="242" spans="1:43" x14ac:dyDescent="0.35">
      <c r="A242" s="134" t="s">
        <v>216</v>
      </c>
      <c r="B242" s="48">
        <f>_xlfn.XLOOKUP(A242,T_Custos[Produto],T_Custos[Peso])</f>
        <v>1</v>
      </c>
      <c r="C242" s="49" t="str">
        <f>_xlfn.XLOOKUP(A242,T_Custos[Produto],T_Custos[Und])</f>
        <v>un</v>
      </c>
      <c r="D242" s="1" t="s">
        <v>252</v>
      </c>
      <c r="E242" s="1" t="s">
        <v>261</v>
      </c>
      <c r="F242" s="1" t="s">
        <v>248</v>
      </c>
      <c r="G242" s="1" t="s">
        <v>255</v>
      </c>
      <c r="H242" s="1" t="s">
        <v>258</v>
      </c>
      <c r="I242" s="1" t="s">
        <v>260</v>
      </c>
      <c r="J242" s="1" t="s">
        <v>492</v>
      </c>
      <c r="K242" s="85" t="s">
        <v>552</v>
      </c>
      <c r="L242" s="1" t="s">
        <v>259</v>
      </c>
      <c r="M242" s="1" t="s">
        <v>251</v>
      </c>
      <c r="N242" s="1" t="s">
        <v>257</v>
      </c>
      <c r="O242" s="1" t="s">
        <v>247</v>
      </c>
      <c r="P242" s="1"/>
      <c r="Q242" s="1"/>
      <c r="R242" s="1" t="s">
        <v>256</v>
      </c>
      <c r="S242" s="85" t="s">
        <v>442</v>
      </c>
      <c r="T242" s="85" t="s">
        <v>443</v>
      </c>
      <c r="U242" s="85" t="s">
        <v>444</v>
      </c>
      <c r="V242" s="85" t="s">
        <v>445</v>
      </c>
      <c r="W242" s="85" t="s">
        <v>446</v>
      </c>
      <c r="X242" s="85"/>
      <c r="Y242" s="85"/>
      <c r="Z242" s="85"/>
      <c r="AA242" s="85" t="s">
        <v>489</v>
      </c>
      <c r="AB242" s="85" t="s">
        <v>490</v>
      </c>
      <c r="AC242" s="85"/>
      <c r="AD242" s="85"/>
      <c r="AE242" s="85"/>
      <c r="AF242" s="85"/>
      <c r="AG242" s="85"/>
      <c r="AH242" s="85"/>
      <c r="AI242" s="85"/>
      <c r="AJ242" s="85"/>
      <c r="AK242" s="85"/>
      <c r="AL242" s="85"/>
      <c r="AM242" s="85"/>
      <c r="AN242" s="85"/>
      <c r="AO242" s="1" t="s">
        <v>559</v>
      </c>
      <c r="AP242" s="85"/>
      <c r="AQ242" s="85" t="s">
        <v>597</v>
      </c>
    </row>
    <row r="243" spans="1:43" x14ac:dyDescent="0.35">
      <c r="A243" s="134" t="s">
        <v>90</v>
      </c>
      <c r="B243" s="48">
        <f>_xlfn.XLOOKUP(A243,T_Custos[Produto],T_Custos[Peso])</f>
        <v>10</v>
      </c>
      <c r="C243" s="49" t="str">
        <f>_xlfn.XLOOKUP(A243,T_Custos[Produto],T_Custos[Und])</f>
        <v>kg</v>
      </c>
      <c r="D243" s="1" t="s">
        <v>252</v>
      </c>
      <c r="E243" s="1" t="s">
        <v>261</v>
      </c>
      <c r="F243" s="1" t="s">
        <v>248</v>
      </c>
      <c r="G243" s="1" t="s">
        <v>255</v>
      </c>
      <c r="H243" s="1" t="s">
        <v>258</v>
      </c>
      <c r="I243" s="1" t="s">
        <v>260</v>
      </c>
      <c r="J243" s="1" t="s">
        <v>492</v>
      </c>
      <c r="K243" s="85" t="s">
        <v>552</v>
      </c>
      <c r="L243" s="1" t="s">
        <v>259</v>
      </c>
      <c r="M243" s="1" t="s">
        <v>251</v>
      </c>
      <c r="N243" s="1" t="s">
        <v>257</v>
      </c>
      <c r="O243" s="1" t="s">
        <v>247</v>
      </c>
      <c r="P243" s="1"/>
      <c r="Q243" s="1"/>
      <c r="R243" s="1" t="s">
        <v>256</v>
      </c>
      <c r="S243" s="85" t="s">
        <v>442</v>
      </c>
      <c r="T243" s="85" t="s">
        <v>443</v>
      </c>
      <c r="U243" s="85" t="s">
        <v>444</v>
      </c>
      <c r="V243" s="85" t="s">
        <v>445</v>
      </c>
      <c r="W243" s="85" t="s">
        <v>446</v>
      </c>
      <c r="X243" s="85" t="s">
        <v>452</v>
      </c>
      <c r="Y243" s="85" t="s">
        <v>463</v>
      </c>
      <c r="Z243" s="85" t="s">
        <v>465</v>
      </c>
      <c r="AA243" s="85" t="s">
        <v>489</v>
      </c>
      <c r="AB243" s="85" t="s">
        <v>490</v>
      </c>
      <c r="AC243" s="85"/>
      <c r="AD243" s="85"/>
      <c r="AE243" s="85" t="s">
        <v>509</v>
      </c>
      <c r="AF243" s="85" t="s">
        <v>515</v>
      </c>
      <c r="AG243" s="85" t="s">
        <v>516</v>
      </c>
      <c r="AH243" s="85" t="s">
        <v>517</v>
      </c>
      <c r="AI243" s="85" t="s">
        <v>518</v>
      </c>
      <c r="AJ243" s="85" t="s">
        <v>519</v>
      </c>
      <c r="AK243" s="85" t="s">
        <v>520</v>
      </c>
      <c r="AL243" s="85" t="s">
        <v>521</v>
      </c>
      <c r="AM243" s="85" t="s">
        <v>537</v>
      </c>
      <c r="AN243" s="85" t="s">
        <v>538</v>
      </c>
      <c r="AO243" s="1" t="s">
        <v>559</v>
      </c>
      <c r="AP243" s="85" t="s">
        <v>591</v>
      </c>
      <c r="AQ243" s="85" t="s">
        <v>597</v>
      </c>
    </row>
    <row r="244" spans="1:43" x14ac:dyDescent="0.35">
      <c r="A244" s="134" t="s">
        <v>385</v>
      </c>
      <c r="B244" s="48">
        <f>_xlfn.XLOOKUP(A244,T_Custos[Produto],T_Custos[Peso])</f>
        <v>1</v>
      </c>
      <c r="C244" s="49" t="str">
        <f>_xlfn.XLOOKUP(A244,T_Custos[Produto],T_Custos[Und])</f>
        <v>und</v>
      </c>
      <c r="D244" s="1"/>
      <c r="E244" s="1"/>
      <c r="F244" s="1"/>
      <c r="G244" s="1"/>
      <c r="H244" s="1"/>
      <c r="I244" s="1"/>
      <c r="J244" s="1"/>
      <c r="K244" s="85"/>
      <c r="L244" s="1"/>
      <c r="M244" s="1"/>
      <c r="N244" s="1"/>
      <c r="O244" s="1"/>
      <c r="P244" s="47" t="s">
        <v>253</v>
      </c>
      <c r="Q244" s="47" t="s">
        <v>254</v>
      </c>
      <c r="R244" s="1"/>
      <c r="S244" s="85" t="s">
        <v>442</v>
      </c>
      <c r="T244" s="85" t="s">
        <v>443</v>
      </c>
      <c r="U244" s="85" t="s">
        <v>444</v>
      </c>
      <c r="V244" s="85" t="s">
        <v>445</v>
      </c>
      <c r="W244" s="85" t="s">
        <v>446</v>
      </c>
      <c r="X244" s="85"/>
      <c r="Y244" s="85"/>
      <c r="Z244" s="85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5"/>
      <c r="AO244" s="1"/>
      <c r="AP244" s="85"/>
      <c r="AQ244" s="85"/>
    </row>
    <row r="245" spans="1:43" x14ac:dyDescent="0.35">
      <c r="A245" s="134" t="s">
        <v>91</v>
      </c>
      <c r="B245" s="48">
        <f>_xlfn.XLOOKUP(A245,T_Custos[Produto],T_Custos[Peso])</f>
        <v>10</v>
      </c>
      <c r="C245" s="49" t="str">
        <f>_xlfn.XLOOKUP(A245,T_Custos[Produto],T_Custos[Und])</f>
        <v>kg</v>
      </c>
      <c r="D245" s="1" t="s">
        <v>252</v>
      </c>
      <c r="E245" s="1" t="s">
        <v>261</v>
      </c>
      <c r="F245" s="1" t="s">
        <v>248</v>
      </c>
      <c r="G245" s="1" t="s">
        <v>255</v>
      </c>
      <c r="H245" s="1" t="s">
        <v>258</v>
      </c>
      <c r="I245" s="1" t="s">
        <v>260</v>
      </c>
      <c r="J245" s="1" t="s">
        <v>492</v>
      </c>
      <c r="K245" s="85" t="s">
        <v>552</v>
      </c>
      <c r="L245" s="1" t="s">
        <v>259</v>
      </c>
      <c r="M245" s="1" t="s">
        <v>251</v>
      </c>
      <c r="N245" s="1" t="s">
        <v>257</v>
      </c>
      <c r="O245" s="1" t="s">
        <v>247</v>
      </c>
      <c r="P245" s="1"/>
      <c r="Q245" s="1"/>
      <c r="R245" s="1" t="s">
        <v>256</v>
      </c>
      <c r="S245" s="85" t="s">
        <v>442</v>
      </c>
      <c r="T245" s="85" t="s">
        <v>443</v>
      </c>
      <c r="U245" s="85" t="s">
        <v>444</v>
      </c>
      <c r="V245" s="85" t="s">
        <v>445</v>
      </c>
      <c r="W245" s="85" t="s">
        <v>446</v>
      </c>
      <c r="X245" s="85" t="s">
        <v>452</v>
      </c>
      <c r="Y245" s="85"/>
      <c r="Z245" s="85"/>
      <c r="AA245" s="85" t="s">
        <v>489</v>
      </c>
      <c r="AB245" s="85" t="s">
        <v>490</v>
      </c>
      <c r="AC245" s="85"/>
      <c r="AD245" s="85"/>
      <c r="AE245" s="85"/>
      <c r="AF245" s="85"/>
      <c r="AG245" s="85"/>
      <c r="AH245" s="85"/>
      <c r="AI245" s="85"/>
      <c r="AJ245" s="85"/>
      <c r="AK245" s="85"/>
      <c r="AL245" s="85"/>
      <c r="AM245" s="85"/>
      <c r="AN245" s="85"/>
      <c r="AO245" s="1" t="s">
        <v>559</v>
      </c>
      <c r="AP245" s="85" t="s">
        <v>591</v>
      </c>
      <c r="AQ245" s="85" t="s">
        <v>597</v>
      </c>
    </row>
    <row r="246" spans="1:43" x14ac:dyDescent="0.35">
      <c r="A246" s="134" t="s">
        <v>92</v>
      </c>
      <c r="B246" s="48">
        <f>_xlfn.XLOOKUP(A246,T_Custos[Produto],T_Custos[Peso])</f>
        <v>1</v>
      </c>
      <c r="C246" s="49" t="str">
        <f>_xlfn.XLOOKUP(A246,T_Custos[Produto],T_Custos[Und])</f>
        <v>kg</v>
      </c>
      <c r="D246" s="1" t="s">
        <v>252</v>
      </c>
      <c r="E246" s="1" t="s">
        <v>261</v>
      </c>
      <c r="F246" s="1" t="s">
        <v>248</v>
      </c>
      <c r="G246" s="1" t="s">
        <v>255</v>
      </c>
      <c r="H246" s="1" t="s">
        <v>258</v>
      </c>
      <c r="I246" s="1" t="s">
        <v>260</v>
      </c>
      <c r="J246" s="1" t="s">
        <v>492</v>
      </c>
      <c r="K246" s="85" t="s">
        <v>552</v>
      </c>
      <c r="L246" s="1" t="s">
        <v>259</v>
      </c>
      <c r="M246" s="1" t="s">
        <v>251</v>
      </c>
      <c r="N246" s="1" t="s">
        <v>257</v>
      </c>
      <c r="O246" s="1" t="s">
        <v>247</v>
      </c>
      <c r="P246" s="1"/>
      <c r="Q246" s="1"/>
      <c r="R246" s="1" t="s">
        <v>256</v>
      </c>
      <c r="S246" s="85" t="s">
        <v>442</v>
      </c>
      <c r="T246" s="85" t="s">
        <v>443</v>
      </c>
      <c r="U246" s="85" t="s">
        <v>444</v>
      </c>
      <c r="V246" s="85" t="s">
        <v>445</v>
      </c>
      <c r="W246" s="85" t="s">
        <v>446</v>
      </c>
      <c r="X246" s="85" t="s">
        <v>452</v>
      </c>
      <c r="Y246" s="85"/>
      <c r="Z246" s="85" t="s">
        <v>465</v>
      </c>
      <c r="AA246" s="85" t="s">
        <v>489</v>
      </c>
      <c r="AB246" s="85" t="s">
        <v>490</v>
      </c>
      <c r="AC246" s="85" t="s">
        <v>503</v>
      </c>
      <c r="AD246" s="85"/>
      <c r="AE246" s="85"/>
      <c r="AF246" s="85"/>
      <c r="AG246" s="85"/>
      <c r="AH246" s="85" t="s">
        <v>517</v>
      </c>
      <c r="AI246" s="85" t="s">
        <v>518</v>
      </c>
      <c r="AJ246" s="85" t="s">
        <v>519</v>
      </c>
      <c r="AK246" s="85" t="s">
        <v>520</v>
      </c>
      <c r="AL246" s="85" t="s">
        <v>521</v>
      </c>
      <c r="AM246" s="85" t="s">
        <v>537</v>
      </c>
      <c r="AN246" s="85" t="s">
        <v>538</v>
      </c>
      <c r="AO246" s="1" t="s">
        <v>559</v>
      </c>
      <c r="AP246" s="85" t="s">
        <v>591</v>
      </c>
      <c r="AQ246" s="85" t="s">
        <v>597</v>
      </c>
    </row>
    <row r="247" spans="1:43" x14ac:dyDescent="0.35">
      <c r="A247" s="134" t="s">
        <v>93</v>
      </c>
      <c r="B247" s="48">
        <f>_xlfn.XLOOKUP(A247,T_Custos[Produto],T_Custos[Peso])</f>
        <v>1</v>
      </c>
      <c r="C247" s="49" t="str">
        <f>_xlfn.XLOOKUP(A247,T_Custos[Produto],T_Custos[Und])</f>
        <v>kg</v>
      </c>
      <c r="D247" s="1" t="s">
        <v>252</v>
      </c>
      <c r="E247" s="1" t="s">
        <v>261</v>
      </c>
      <c r="F247" s="1" t="s">
        <v>248</v>
      </c>
      <c r="G247" s="1" t="s">
        <v>255</v>
      </c>
      <c r="H247" s="1" t="s">
        <v>258</v>
      </c>
      <c r="I247" s="1" t="s">
        <v>260</v>
      </c>
      <c r="J247" s="1" t="s">
        <v>492</v>
      </c>
      <c r="K247" s="85" t="s">
        <v>552</v>
      </c>
      <c r="L247" s="1" t="s">
        <v>259</v>
      </c>
      <c r="M247" s="1" t="s">
        <v>251</v>
      </c>
      <c r="N247" s="1" t="s">
        <v>257</v>
      </c>
      <c r="O247" s="1" t="s">
        <v>247</v>
      </c>
      <c r="P247" s="1"/>
      <c r="Q247" s="1"/>
      <c r="R247" s="1" t="s">
        <v>256</v>
      </c>
      <c r="S247" s="85" t="s">
        <v>442</v>
      </c>
      <c r="T247" s="85" t="s">
        <v>443</v>
      </c>
      <c r="U247" s="85" t="s">
        <v>444</v>
      </c>
      <c r="V247" s="85" t="s">
        <v>445</v>
      </c>
      <c r="W247" s="85" t="s">
        <v>446</v>
      </c>
      <c r="X247" s="85" t="s">
        <v>452</v>
      </c>
      <c r="Y247" s="85"/>
      <c r="Z247" s="85"/>
      <c r="AA247" s="85" t="s">
        <v>489</v>
      </c>
      <c r="AB247" s="85" t="s">
        <v>490</v>
      </c>
      <c r="AC247" s="85"/>
      <c r="AD247" s="85"/>
      <c r="AE247" s="85"/>
      <c r="AF247" s="85"/>
      <c r="AG247" s="85"/>
      <c r="AH247" s="85"/>
      <c r="AI247" s="85"/>
      <c r="AJ247" s="85"/>
      <c r="AK247" s="85"/>
      <c r="AL247" s="85"/>
      <c r="AM247" s="85"/>
      <c r="AN247" s="85"/>
      <c r="AO247" s="1" t="s">
        <v>559</v>
      </c>
      <c r="AP247" s="85" t="s">
        <v>591</v>
      </c>
      <c r="AQ247" s="85" t="s">
        <v>597</v>
      </c>
    </row>
    <row r="248" spans="1:43" x14ac:dyDescent="0.35">
      <c r="A248" s="134" t="s">
        <v>94</v>
      </c>
      <c r="B248" s="48">
        <f>_xlfn.XLOOKUP(A248,T_Custos[Produto],T_Custos[Peso])</f>
        <v>13</v>
      </c>
      <c r="C248" s="49" t="str">
        <f>_xlfn.XLOOKUP(A248,T_Custos[Produto],T_Custos[Und])</f>
        <v>kg</v>
      </c>
      <c r="D248" s="1" t="s">
        <v>252</v>
      </c>
      <c r="E248" s="1" t="s">
        <v>261</v>
      </c>
      <c r="F248" s="1" t="s">
        <v>248</v>
      </c>
      <c r="G248" s="1" t="s">
        <v>255</v>
      </c>
      <c r="H248" s="1" t="s">
        <v>258</v>
      </c>
      <c r="I248" s="1" t="s">
        <v>260</v>
      </c>
      <c r="J248" s="1" t="s">
        <v>492</v>
      </c>
      <c r="K248" s="85" t="s">
        <v>552</v>
      </c>
      <c r="L248" s="1" t="s">
        <v>259</v>
      </c>
      <c r="M248" s="1" t="s">
        <v>251</v>
      </c>
      <c r="N248" s="1" t="s">
        <v>257</v>
      </c>
      <c r="O248" s="1" t="s">
        <v>247</v>
      </c>
      <c r="P248" s="1"/>
      <c r="Q248" s="1"/>
      <c r="R248" s="1" t="s">
        <v>256</v>
      </c>
      <c r="S248" s="85" t="s">
        <v>442</v>
      </c>
      <c r="T248" s="85" t="s">
        <v>443</v>
      </c>
      <c r="U248" s="85" t="s">
        <v>444</v>
      </c>
      <c r="V248" s="85" t="s">
        <v>445</v>
      </c>
      <c r="W248" s="85" t="s">
        <v>446</v>
      </c>
      <c r="X248" s="85" t="s">
        <v>452</v>
      </c>
      <c r="Y248" s="85"/>
      <c r="Z248" s="85"/>
      <c r="AA248" s="85" t="s">
        <v>489</v>
      </c>
      <c r="AB248" s="85" t="s">
        <v>490</v>
      </c>
      <c r="AC248" s="85"/>
      <c r="AD248" s="85"/>
      <c r="AE248" s="85"/>
      <c r="AF248" s="85"/>
      <c r="AG248" s="85"/>
      <c r="AH248" s="85"/>
      <c r="AI248" s="85"/>
      <c r="AJ248" s="85"/>
      <c r="AK248" s="85"/>
      <c r="AL248" s="85"/>
      <c r="AM248" s="85"/>
      <c r="AN248" s="85"/>
      <c r="AO248" s="1" t="s">
        <v>559</v>
      </c>
      <c r="AP248" s="85" t="s">
        <v>591</v>
      </c>
      <c r="AQ248" s="85" t="s">
        <v>597</v>
      </c>
    </row>
    <row r="249" spans="1:43" x14ac:dyDescent="0.35">
      <c r="A249" s="85" t="s">
        <v>95</v>
      </c>
      <c r="B249" s="48">
        <f>_xlfn.XLOOKUP(A249,T_Custos[Produto],T_Custos[Peso])</f>
        <v>13</v>
      </c>
      <c r="C249" s="49" t="str">
        <f>_xlfn.XLOOKUP(A249,T_Custos[Produto],T_Custos[Und])</f>
        <v>kg</v>
      </c>
      <c r="D249" s="1" t="s">
        <v>252</v>
      </c>
      <c r="E249" s="1" t="s">
        <v>261</v>
      </c>
      <c r="F249" s="1" t="s">
        <v>248</v>
      </c>
      <c r="G249" s="1" t="s">
        <v>255</v>
      </c>
      <c r="H249" s="1" t="s">
        <v>258</v>
      </c>
      <c r="I249" s="1" t="s">
        <v>260</v>
      </c>
      <c r="J249" s="1" t="s">
        <v>492</v>
      </c>
      <c r="K249" s="85" t="s">
        <v>552</v>
      </c>
      <c r="L249" s="1" t="s">
        <v>259</v>
      </c>
      <c r="M249" s="1" t="s">
        <v>251</v>
      </c>
      <c r="N249" s="1" t="s">
        <v>257</v>
      </c>
      <c r="O249" s="1" t="s">
        <v>247</v>
      </c>
      <c r="P249" s="1"/>
      <c r="Q249" s="1"/>
      <c r="R249" s="1" t="s">
        <v>256</v>
      </c>
      <c r="S249" s="85" t="s">
        <v>442</v>
      </c>
      <c r="T249" s="85" t="s">
        <v>443</v>
      </c>
      <c r="U249" s="85" t="s">
        <v>444</v>
      </c>
      <c r="V249" s="85" t="s">
        <v>445</v>
      </c>
      <c r="W249" s="85" t="s">
        <v>446</v>
      </c>
      <c r="X249" s="85" t="s">
        <v>452</v>
      </c>
      <c r="Y249" s="85"/>
      <c r="Z249" s="85"/>
      <c r="AA249" s="85" t="s">
        <v>489</v>
      </c>
      <c r="AB249" s="85" t="s">
        <v>490</v>
      </c>
      <c r="AC249" s="85"/>
      <c r="AD249" s="85"/>
      <c r="AE249" s="85"/>
      <c r="AF249" s="85"/>
      <c r="AG249" s="85"/>
      <c r="AH249" s="85"/>
      <c r="AI249" s="85"/>
      <c r="AJ249" s="85"/>
      <c r="AK249" s="85"/>
      <c r="AL249" s="85"/>
      <c r="AM249" s="85"/>
      <c r="AN249" s="85"/>
      <c r="AO249" s="1" t="s">
        <v>559</v>
      </c>
      <c r="AP249" s="85" t="s">
        <v>591</v>
      </c>
      <c r="AQ249" s="85" t="s">
        <v>597</v>
      </c>
    </row>
    <row r="250" spans="1:43" x14ac:dyDescent="0.35">
      <c r="A250" s="134" t="s">
        <v>96</v>
      </c>
      <c r="B250" s="48">
        <f>_xlfn.XLOOKUP(A250,T_Custos[Produto],T_Custos[Peso])</f>
        <v>13</v>
      </c>
      <c r="C250" s="49" t="str">
        <f>_xlfn.XLOOKUP(A250,T_Custos[Produto],T_Custos[Und])</f>
        <v>kg</v>
      </c>
      <c r="D250" s="1" t="s">
        <v>252</v>
      </c>
      <c r="E250" s="1" t="s">
        <v>261</v>
      </c>
      <c r="F250" s="1" t="s">
        <v>248</v>
      </c>
      <c r="G250" s="1" t="s">
        <v>255</v>
      </c>
      <c r="H250" s="1" t="s">
        <v>258</v>
      </c>
      <c r="I250" s="1" t="s">
        <v>260</v>
      </c>
      <c r="J250" s="1" t="s">
        <v>492</v>
      </c>
      <c r="K250" s="85" t="s">
        <v>552</v>
      </c>
      <c r="L250" s="1" t="s">
        <v>259</v>
      </c>
      <c r="M250" s="1" t="s">
        <v>251</v>
      </c>
      <c r="N250" s="1" t="s">
        <v>257</v>
      </c>
      <c r="O250" s="1" t="s">
        <v>247</v>
      </c>
      <c r="P250" s="1"/>
      <c r="Q250" s="1"/>
      <c r="R250" s="1" t="s">
        <v>256</v>
      </c>
      <c r="S250" s="85" t="s">
        <v>442</v>
      </c>
      <c r="T250" s="85" t="s">
        <v>443</v>
      </c>
      <c r="U250" s="85" t="s">
        <v>444</v>
      </c>
      <c r="V250" s="85" t="s">
        <v>445</v>
      </c>
      <c r="W250" s="85" t="s">
        <v>446</v>
      </c>
      <c r="X250" s="85" t="s">
        <v>452</v>
      </c>
      <c r="Y250" s="85" t="s">
        <v>463</v>
      </c>
      <c r="Z250" s="85" t="s">
        <v>465</v>
      </c>
      <c r="AA250" s="85" t="s">
        <v>489</v>
      </c>
      <c r="AB250" s="85" t="s">
        <v>490</v>
      </c>
      <c r="AC250" s="85" t="s">
        <v>503</v>
      </c>
      <c r="AD250" s="85" t="s">
        <v>507</v>
      </c>
      <c r="AE250" s="85"/>
      <c r="AF250" s="85"/>
      <c r="AG250" s="85"/>
      <c r="AH250" s="85"/>
      <c r="AI250" s="85"/>
      <c r="AJ250" s="85"/>
      <c r="AK250" s="85"/>
      <c r="AL250" s="85"/>
      <c r="AM250" s="85" t="s">
        <v>537</v>
      </c>
      <c r="AN250" s="85" t="s">
        <v>538</v>
      </c>
      <c r="AO250" s="1" t="s">
        <v>559</v>
      </c>
      <c r="AP250" s="85" t="s">
        <v>591</v>
      </c>
      <c r="AQ250" s="85" t="s">
        <v>597</v>
      </c>
    </row>
    <row r="251" spans="1:43" x14ac:dyDescent="0.35">
      <c r="A251" s="134" t="s">
        <v>386</v>
      </c>
      <c r="B251" s="48">
        <f>_xlfn.XLOOKUP(A251,T_Custos[Produto],T_Custos[Peso])</f>
        <v>1</v>
      </c>
      <c r="C251" s="49" t="str">
        <f>_xlfn.XLOOKUP(A251,T_Custos[Produto],T_Custos[Und])</f>
        <v>und</v>
      </c>
      <c r="D251" s="1"/>
      <c r="E251" s="1"/>
      <c r="F251" s="1"/>
      <c r="G251" s="1"/>
      <c r="H251" s="1"/>
      <c r="I251" s="1"/>
      <c r="J251" s="1"/>
      <c r="K251" s="85"/>
      <c r="L251" s="1"/>
      <c r="M251" s="1"/>
      <c r="N251" s="1"/>
      <c r="O251" s="1"/>
      <c r="P251" s="47" t="s">
        <v>253</v>
      </c>
      <c r="Q251" s="47" t="s">
        <v>254</v>
      </c>
      <c r="R251" s="1"/>
      <c r="S251" s="85" t="s">
        <v>442</v>
      </c>
      <c r="T251" s="85" t="s">
        <v>443</v>
      </c>
      <c r="U251" s="85" t="s">
        <v>444</v>
      </c>
      <c r="V251" s="85" t="s">
        <v>445</v>
      </c>
      <c r="W251" s="85" t="s">
        <v>446</v>
      </c>
      <c r="X251" s="85"/>
      <c r="Y251" s="85"/>
      <c r="Z251" s="85"/>
      <c r="AA251" s="85"/>
      <c r="AB251" s="85"/>
      <c r="AC251" s="85"/>
      <c r="AD251" s="85"/>
      <c r="AE251" s="85"/>
      <c r="AF251" s="85"/>
      <c r="AG251" s="85"/>
      <c r="AH251" s="85"/>
      <c r="AI251" s="85"/>
      <c r="AJ251" s="85"/>
      <c r="AK251" s="85"/>
      <c r="AL251" s="85"/>
      <c r="AM251" s="85"/>
      <c r="AN251" s="85"/>
      <c r="AO251" s="1"/>
      <c r="AP251" s="85"/>
      <c r="AQ251" s="85"/>
    </row>
    <row r="252" spans="1:43" x14ac:dyDescent="0.35">
      <c r="A252" s="134" t="s">
        <v>97</v>
      </c>
      <c r="B252" s="48">
        <f>_xlfn.XLOOKUP(A252,T_Custos[Produto],T_Custos[Peso])</f>
        <v>14</v>
      </c>
      <c r="C252" s="49" t="str">
        <f>_xlfn.XLOOKUP(A252,T_Custos[Produto],T_Custos[Und])</f>
        <v>kg</v>
      </c>
      <c r="D252" s="1" t="s">
        <v>252</v>
      </c>
      <c r="E252" s="1" t="s">
        <v>261</v>
      </c>
      <c r="F252" s="1" t="s">
        <v>248</v>
      </c>
      <c r="G252" s="1" t="s">
        <v>255</v>
      </c>
      <c r="H252" s="1" t="s">
        <v>258</v>
      </c>
      <c r="I252" s="1" t="s">
        <v>260</v>
      </c>
      <c r="J252" s="1" t="s">
        <v>492</v>
      </c>
      <c r="K252" s="85" t="s">
        <v>552</v>
      </c>
      <c r="L252" s="1" t="s">
        <v>259</v>
      </c>
      <c r="M252" s="1" t="s">
        <v>251</v>
      </c>
      <c r="N252" s="1" t="s">
        <v>257</v>
      </c>
      <c r="O252" s="1" t="s">
        <v>247</v>
      </c>
      <c r="P252" s="1"/>
      <c r="Q252" s="1"/>
      <c r="R252" s="1" t="s">
        <v>256</v>
      </c>
      <c r="S252" s="85" t="s">
        <v>442</v>
      </c>
      <c r="T252" s="85" t="s">
        <v>443</v>
      </c>
      <c r="U252" s="85" t="s">
        <v>444</v>
      </c>
      <c r="V252" s="85" t="s">
        <v>445</v>
      </c>
      <c r="W252" s="85" t="s">
        <v>446</v>
      </c>
      <c r="X252" s="85" t="s">
        <v>452</v>
      </c>
      <c r="Y252" s="85"/>
      <c r="Z252" s="85"/>
      <c r="AA252" s="85" t="s">
        <v>489</v>
      </c>
      <c r="AB252" s="85" t="s">
        <v>490</v>
      </c>
      <c r="AC252" s="85"/>
      <c r="AD252" s="85"/>
      <c r="AE252" s="85"/>
      <c r="AF252" s="85"/>
      <c r="AG252" s="85"/>
      <c r="AH252" s="85"/>
      <c r="AI252" s="85"/>
      <c r="AJ252" s="85"/>
      <c r="AK252" s="85"/>
      <c r="AL252" s="85"/>
      <c r="AM252" s="85" t="s">
        <v>537</v>
      </c>
      <c r="AN252" s="85" t="s">
        <v>538</v>
      </c>
      <c r="AO252" s="1" t="s">
        <v>559</v>
      </c>
      <c r="AP252" s="85" t="s">
        <v>591</v>
      </c>
      <c r="AQ252" s="85" t="s">
        <v>597</v>
      </c>
    </row>
    <row r="253" spans="1:43" x14ac:dyDescent="0.35">
      <c r="A253" s="134" t="s">
        <v>98</v>
      </c>
      <c r="B253" s="48">
        <f>_xlfn.XLOOKUP(A253,T_Custos[Produto],T_Custos[Peso])</f>
        <v>10</v>
      </c>
      <c r="C253" s="49" t="str">
        <f>_xlfn.XLOOKUP(A253,T_Custos[Produto],T_Custos[Und])</f>
        <v>kg</v>
      </c>
      <c r="D253" s="1" t="s">
        <v>252</v>
      </c>
      <c r="E253" s="1" t="s">
        <v>261</v>
      </c>
      <c r="F253" s="1" t="s">
        <v>248</v>
      </c>
      <c r="G253" s="1" t="s">
        <v>255</v>
      </c>
      <c r="H253" s="1" t="s">
        <v>258</v>
      </c>
      <c r="I253" s="1" t="s">
        <v>260</v>
      </c>
      <c r="J253" s="1" t="s">
        <v>492</v>
      </c>
      <c r="K253" s="85" t="s">
        <v>552</v>
      </c>
      <c r="L253" s="1" t="s">
        <v>259</v>
      </c>
      <c r="M253" s="1" t="s">
        <v>251</v>
      </c>
      <c r="N253" s="1" t="s">
        <v>257</v>
      </c>
      <c r="O253" s="1" t="s">
        <v>247</v>
      </c>
      <c r="P253" s="1"/>
      <c r="Q253" s="1"/>
      <c r="R253" s="1" t="s">
        <v>256</v>
      </c>
      <c r="S253" s="85" t="s">
        <v>442</v>
      </c>
      <c r="T253" s="85" t="s">
        <v>443</v>
      </c>
      <c r="U253" s="85" t="s">
        <v>444</v>
      </c>
      <c r="V253" s="85" t="s">
        <v>445</v>
      </c>
      <c r="W253" s="85" t="s">
        <v>446</v>
      </c>
      <c r="X253" s="85" t="s">
        <v>452</v>
      </c>
      <c r="Y253" s="85"/>
      <c r="Z253" s="85"/>
      <c r="AA253" s="85" t="s">
        <v>489</v>
      </c>
      <c r="AB253" s="85" t="s">
        <v>490</v>
      </c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 t="s">
        <v>537</v>
      </c>
      <c r="AN253" s="85" t="s">
        <v>538</v>
      </c>
      <c r="AO253" s="1" t="s">
        <v>559</v>
      </c>
      <c r="AP253" s="85" t="s">
        <v>591</v>
      </c>
      <c r="AQ253" s="85" t="s">
        <v>597</v>
      </c>
    </row>
    <row r="254" spans="1:43" x14ac:dyDescent="0.35">
      <c r="A254" s="134" t="s">
        <v>99</v>
      </c>
      <c r="B254" s="48">
        <f>_xlfn.XLOOKUP(A254,T_Custos[Produto],T_Custos[Peso])</f>
        <v>6</v>
      </c>
      <c r="C254" s="49" t="str">
        <f>_xlfn.XLOOKUP(A254,T_Custos[Produto],T_Custos[Und])</f>
        <v>kg</v>
      </c>
      <c r="D254" s="1" t="s">
        <v>252</v>
      </c>
      <c r="E254" s="1" t="s">
        <v>261</v>
      </c>
      <c r="F254" s="1" t="s">
        <v>248</v>
      </c>
      <c r="G254" s="1" t="s">
        <v>255</v>
      </c>
      <c r="H254" s="1" t="s">
        <v>258</v>
      </c>
      <c r="I254" s="1" t="s">
        <v>260</v>
      </c>
      <c r="J254" s="1" t="s">
        <v>492</v>
      </c>
      <c r="K254" s="85" t="s">
        <v>552</v>
      </c>
      <c r="L254" s="1" t="s">
        <v>259</v>
      </c>
      <c r="M254" s="1" t="s">
        <v>251</v>
      </c>
      <c r="N254" s="1" t="s">
        <v>257</v>
      </c>
      <c r="O254" s="1" t="s">
        <v>247</v>
      </c>
      <c r="P254" s="1"/>
      <c r="Q254" s="1"/>
      <c r="R254" s="1" t="s">
        <v>256</v>
      </c>
      <c r="S254" s="85" t="s">
        <v>442</v>
      </c>
      <c r="T254" s="85" t="s">
        <v>443</v>
      </c>
      <c r="U254" s="85" t="s">
        <v>444</v>
      </c>
      <c r="V254" s="85" t="s">
        <v>445</v>
      </c>
      <c r="W254" s="85" t="s">
        <v>446</v>
      </c>
      <c r="X254" s="85" t="s">
        <v>452</v>
      </c>
      <c r="Y254" s="85"/>
      <c r="Z254" s="85"/>
      <c r="AA254" s="85" t="s">
        <v>489</v>
      </c>
      <c r="AB254" s="85" t="s">
        <v>490</v>
      </c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 t="s">
        <v>537</v>
      </c>
      <c r="AN254" s="85" t="s">
        <v>538</v>
      </c>
      <c r="AO254" s="1" t="s">
        <v>559</v>
      </c>
      <c r="AP254" s="85" t="s">
        <v>591</v>
      </c>
      <c r="AQ254" s="85" t="s">
        <v>597</v>
      </c>
    </row>
    <row r="255" spans="1:43" x14ac:dyDescent="0.35">
      <c r="A255" s="134" t="s">
        <v>100</v>
      </c>
      <c r="B255" s="48">
        <f>_xlfn.XLOOKUP(A255,T_Custos[Produto],T_Custos[Peso])</f>
        <v>13</v>
      </c>
      <c r="C255" s="49" t="str">
        <f>_xlfn.XLOOKUP(A255,T_Custos[Produto],T_Custos[Und])</f>
        <v>kg</v>
      </c>
      <c r="D255" s="1" t="s">
        <v>252</v>
      </c>
      <c r="E255" s="1" t="s">
        <v>261</v>
      </c>
      <c r="F255" s="1" t="s">
        <v>248</v>
      </c>
      <c r="G255" s="1" t="s">
        <v>255</v>
      </c>
      <c r="H255" s="1" t="s">
        <v>258</v>
      </c>
      <c r="I255" s="1" t="s">
        <v>260</v>
      </c>
      <c r="J255" s="1" t="s">
        <v>492</v>
      </c>
      <c r="K255" s="85" t="s">
        <v>552</v>
      </c>
      <c r="L255" s="1" t="s">
        <v>259</v>
      </c>
      <c r="M255" s="1" t="s">
        <v>251</v>
      </c>
      <c r="N255" s="1" t="s">
        <v>257</v>
      </c>
      <c r="O255" s="1" t="s">
        <v>247</v>
      </c>
      <c r="P255" s="1"/>
      <c r="Q255" s="1"/>
      <c r="R255" s="1" t="s">
        <v>256</v>
      </c>
      <c r="S255" s="85" t="s">
        <v>442</v>
      </c>
      <c r="T255" s="85" t="s">
        <v>443</v>
      </c>
      <c r="U255" s="85" t="s">
        <v>444</v>
      </c>
      <c r="V255" s="85" t="s">
        <v>445</v>
      </c>
      <c r="W255" s="85" t="s">
        <v>446</v>
      </c>
      <c r="X255" s="85" t="s">
        <v>452</v>
      </c>
      <c r="Y255" s="85"/>
      <c r="Z255" s="85"/>
      <c r="AA255" s="85" t="s">
        <v>489</v>
      </c>
      <c r="AB255" s="85" t="s">
        <v>490</v>
      </c>
      <c r="AC255" s="85"/>
      <c r="AD255" s="85"/>
      <c r="AE255" s="85"/>
      <c r="AF255" s="85"/>
      <c r="AG255" s="85"/>
      <c r="AH255" s="85"/>
      <c r="AI255" s="85"/>
      <c r="AJ255" s="85"/>
      <c r="AK255" s="85"/>
      <c r="AL255" s="85"/>
      <c r="AM255" s="85" t="s">
        <v>537</v>
      </c>
      <c r="AN255" s="85" t="s">
        <v>538</v>
      </c>
      <c r="AO255" s="1" t="s">
        <v>559</v>
      </c>
      <c r="AP255" s="85" t="s">
        <v>591</v>
      </c>
      <c r="AQ255" s="85" t="s">
        <v>597</v>
      </c>
    </row>
    <row r="256" spans="1:43" x14ac:dyDescent="0.35">
      <c r="A256" s="134" t="s">
        <v>101</v>
      </c>
      <c r="B256" s="48">
        <f>_xlfn.XLOOKUP(A256,T_Custos[Produto],T_Custos[Peso])</f>
        <v>10</v>
      </c>
      <c r="C256" s="49" t="str">
        <f>_xlfn.XLOOKUP(A256,T_Custos[Produto],T_Custos[Und])</f>
        <v>kg</v>
      </c>
      <c r="D256" s="1" t="s">
        <v>252</v>
      </c>
      <c r="E256" s="1" t="s">
        <v>261</v>
      </c>
      <c r="F256" s="1" t="s">
        <v>248</v>
      </c>
      <c r="G256" s="1" t="s">
        <v>255</v>
      </c>
      <c r="H256" s="1" t="s">
        <v>258</v>
      </c>
      <c r="I256" s="1" t="s">
        <v>260</v>
      </c>
      <c r="J256" s="1" t="s">
        <v>492</v>
      </c>
      <c r="K256" s="85" t="s">
        <v>552</v>
      </c>
      <c r="L256" s="1" t="s">
        <v>259</v>
      </c>
      <c r="M256" s="1" t="s">
        <v>251</v>
      </c>
      <c r="N256" s="1" t="s">
        <v>257</v>
      </c>
      <c r="O256" s="1" t="s">
        <v>247</v>
      </c>
      <c r="P256" s="1"/>
      <c r="Q256" s="1"/>
      <c r="R256" s="1" t="s">
        <v>256</v>
      </c>
      <c r="S256" s="85" t="s">
        <v>442</v>
      </c>
      <c r="T256" s="85" t="s">
        <v>443</v>
      </c>
      <c r="U256" s="85" t="s">
        <v>444</v>
      </c>
      <c r="V256" s="85" t="s">
        <v>445</v>
      </c>
      <c r="W256" s="85" t="s">
        <v>446</v>
      </c>
      <c r="X256" s="85" t="s">
        <v>452</v>
      </c>
      <c r="Y256" s="85"/>
      <c r="Z256" s="85"/>
      <c r="AA256" s="85" t="s">
        <v>489</v>
      </c>
      <c r="AB256" s="85" t="s">
        <v>490</v>
      </c>
      <c r="AC256" s="85"/>
      <c r="AD256" s="85"/>
      <c r="AE256" s="85"/>
      <c r="AF256" s="85"/>
      <c r="AG256" s="85"/>
      <c r="AH256" s="85"/>
      <c r="AI256" s="85"/>
      <c r="AJ256" s="85"/>
      <c r="AK256" s="85"/>
      <c r="AL256" s="85"/>
      <c r="AM256" s="85" t="s">
        <v>537</v>
      </c>
      <c r="AN256" s="85" t="s">
        <v>538</v>
      </c>
      <c r="AO256" s="1" t="s">
        <v>559</v>
      </c>
      <c r="AP256" s="85" t="s">
        <v>591</v>
      </c>
      <c r="AQ256" s="85" t="s">
        <v>597</v>
      </c>
    </row>
    <row r="257" spans="1:43" x14ac:dyDescent="0.35">
      <c r="A257" s="134" t="s">
        <v>498</v>
      </c>
      <c r="B257" s="48">
        <f>_xlfn.XLOOKUP(A257,T_Custos[Produto],T_Custos[Peso])</f>
        <v>10</v>
      </c>
      <c r="C257" s="49" t="str">
        <f>_xlfn.XLOOKUP(A257,T_Custos[Produto],T_Custos[Und])</f>
        <v>kg</v>
      </c>
      <c r="D257" s="1" t="s">
        <v>252</v>
      </c>
      <c r="E257" s="1" t="s">
        <v>261</v>
      </c>
      <c r="F257" s="1" t="s">
        <v>248</v>
      </c>
      <c r="G257" s="1" t="s">
        <v>255</v>
      </c>
      <c r="H257" s="1" t="s">
        <v>258</v>
      </c>
      <c r="I257" s="1" t="s">
        <v>260</v>
      </c>
      <c r="J257" s="1" t="s">
        <v>492</v>
      </c>
      <c r="K257" s="85" t="s">
        <v>552</v>
      </c>
      <c r="L257" s="1" t="s">
        <v>259</v>
      </c>
      <c r="M257" s="1" t="s">
        <v>251</v>
      </c>
      <c r="N257" s="1" t="s">
        <v>257</v>
      </c>
      <c r="O257" s="1" t="s">
        <v>247</v>
      </c>
      <c r="P257" s="1"/>
      <c r="Q257" s="1"/>
      <c r="R257" s="1" t="s">
        <v>256</v>
      </c>
      <c r="S257" s="85" t="s">
        <v>442</v>
      </c>
      <c r="T257" s="85" t="s">
        <v>443</v>
      </c>
      <c r="U257" s="85" t="s">
        <v>444</v>
      </c>
      <c r="V257" s="85" t="s">
        <v>445</v>
      </c>
      <c r="W257" s="85" t="s">
        <v>446</v>
      </c>
      <c r="X257" s="85" t="s">
        <v>452</v>
      </c>
      <c r="Y257" s="85"/>
      <c r="Z257" s="85"/>
      <c r="AA257" s="85" t="s">
        <v>489</v>
      </c>
      <c r="AB257" s="85" t="s">
        <v>490</v>
      </c>
      <c r="AC257" s="85"/>
      <c r="AD257" s="85"/>
      <c r="AE257" s="85"/>
      <c r="AF257" s="85"/>
      <c r="AG257" s="85"/>
      <c r="AH257" s="85"/>
      <c r="AI257" s="85"/>
      <c r="AJ257" s="85"/>
      <c r="AK257" s="85"/>
      <c r="AL257" s="85"/>
      <c r="AM257" s="85" t="s">
        <v>537</v>
      </c>
      <c r="AN257" s="85" t="s">
        <v>538</v>
      </c>
      <c r="AO257" s="1" t="s">
        <v>559</v>
      </c>
      <c r="AP257" s="85" t="s">
        <v>591</v>
      </c>
      <c r="AQ257" s="85" t="s">
        <v>597</v>
      </c>
    </row>
    <row r="258" spans="1:43" x14ac:dyDescent="0.35">
      <c r="A258" s="85" t="s">
        <v>102</v>
      </c>
      <c r="B258" s="48">
        <f>_xlfn.XLOOKUP(A258,T_Custos[Produto],T_Custos[Peso])</f>
        <v>10</v>
      </c>
      <c r="C258" s="49" t="str">
        <f>_xlfn.XLOOKUP(A258,T_Custos[Produto],T_Custos[Und])</f>
        <v>kg</v>
      </c>
      <c r="D258" s="1" t="s">
        <v>252</v>
      </c>
      <c r="E258" s="1" t="s">
        <v>261</v>
      </c>
      <c r="F258" s="1" t="s">
        <v>248</v>
      </c>
      <c r="G258" s="1" t="s">
        <v>255</v>
      </c>
      <c r="H258" s="1" t="s">
        <v>258</v>
      </c>
      <c r="I258" s="1" t="s">
        <v>260</v>
      </c>
      <c r="J258" s="1" t="s">
        <v>492</v>
      </c>
      <c r="K258" s="85" t="s">
        <v>552</v>
      </c>
      <c r="L258" s="1" t="s">
        <v>259</v>
      </c>
      <c r="M258" s="1" t="s">
        <v>251</v>
      </c>
      <c r="N258" s="1" t="s">
        <v>257</v>
      </c>
      <c r="O258" s="1" t="s">
        <v>247</v>
      </c>
      <c r="P258" s="1"/>
      <c r="Q258" s="1"/>
      <c r="R258" s="1" t="s">
        <v>256</v>
      </c>
      <c r="S258" s="85" t="s">
        <v>442</v>
      </c>
      <c r="T258" s="85" t="s">
        <v>443</v>
      </c>
      <c r="U258" s="85" t="s">
        <v>444</v>
      </c>
      <c r="V258" s="85" t="s">
        <v>445</v>
      </c>
      <c r="W258" s="85" t="s">
        <v>446</v>
      </c>
      <c r="X258" s="85" t="s">
        <v>452</v>
      </c>
      <c r="Y258" s="85"/>
      <c r="Z258" s="85"/>
      <c r="AA258" s="85" t="s">
        <v>489</v>
      </c>
      <c r="AB258" s="85" t="s">
        <v>490</v>
      </c>
      <c r="AC258" s="85"/>
      <c r="AD258" s="85"/>
      <c r="AE258" s="85"/>
      <c r="AF258" s="85"/>
      <c r="AG258" s="85"/>
      <c r="AH258" s="85"/>
      <c r="AI258" s="85"/>
      <c r="AJ258" s="85"/>
      <c r="AK258" s="85"/>
      <c r="AL258" s="85"/>
      <c r="AM258" s="85"/>
      <c r="AN258" s="85"/>
      <c r="AO258" s="1" t="s">
        <v>559</v>
      </c>
      <c r="AP258" s="85" t="s">
        <v>591</v>
      </c>
      <c r="AQ258" s="85" t="s">
        <v>597</v>
      </c>
    </row>
    <row r="259" spans="1:43" x14ac:dyDescent="0.35">
      <c r="A259" s="134" t="s">
        <v>103</v>
      </c>
      <c r="B259" s="48">
        <f>_xlfn.XLOOKUP(A259,T_Custos[Produto],T_Custos[Peso])</f>
        <v>10</v>
      </c>
      <c r="C259" s="49" t="str">
        <f>_xlfn.XLOOKUP(A259,T_Custos[Produto],T_Custos[Und])</f>
        <v>kg</v>
      </c>
      <c r="D259" s="1" t="s">
        <v>252</v>
      </c>
      <c r="E259" s="1" t="s">
        <v>261</v>
      </c>
      <c r="F259" s="1" t="s">
        <v>248</v>
      </c>
      <c r="G259" s="1" t="s">
        <v>255</v>
      </c>
      <c r="H259" s="1" t="s">
        <v>258</v>
      </c>
      <c r="I259" s="1" t="s">
        <v>260</v>
      </c>
      <c r="J259" s="1" t="s">
        <v>492</v>
      </c>
      <c r="K259" s="85" t="s">
        <v>552</v>
      </c>
      <c r="L259" s="1" t="s">
        <v>259</v>
      </c>
      <c r="M259" s="1" t="s">
        <v>251</v>
      </c>
      <c r="N259" s="1" t="s">
        <v>257</v>
      </c>
      <c r="O259" s="1" t="s">
        <v>247</v>
      </c>
      <c r="P259" s="1"/>
      <c r="Q259" s="1"/>
      <c r="R259" s="1" t="s">
        <v>256</v>
      </c>
      <c r="S259" s="85" t="s">
        <v>442</v>
      </c>
      <c r="T259" s="85" t="s">
        <v>443</v>
      </c>
      <c r="U259" s="85" t="s">
        <v>444</v>
      </c>
      <c r="V259" s="85" t="s">
        <v>445</v>
      </c>
      <c r="W259" s="85" t="s">
        <v>446</v>
      </c>
      <c r="X259" s="85" t="s">
        <v>452</v>
      </c>
      <c r="Y259" s="85"/>
      <c r="Z259" s="85"/>
      <c r="AA259" s="85" t="s">
        <v>489</v>
      </c>
      <c r="AB259" s="85" t="s">
        <v>490</v>
      </c>
      <c r="AC259" s="85"/>
      <c r="AD259" s="85"/>
      <c r="AE259" s="85"/>
      <c r="AF259" s="85"/>
      <c r="AG259" s="85"/>
      <c r="AH259" s="85"/>
      <c r="AI259" s="85"/>
      <c r="AJ259" s="85"/>
      <c r="AK259" s="85"/>
      <c r="AL259" s="85"/>
      <c r="AM259" s="85"/>
      <c r="AN259" s="85"/>
      <c r="AO259" s="1" t="s">
        <v>559</v>
      </c>
      <c r="AP259" s="85" t="s">
        <v>591</v>
      </c>
      <c r="AQ259" s="85" t="s">
        <v>597</v>
      </c>
    </row>
    <row r="260" spans="1:43" x14ac:dyDescent="0.35">
      <c r="A260" s="134" t="s">
        <v>104</v>
      </c>
      <c r="B260" s="48">
        <f>_xlfn.XLOOKUP(A260,T_Custos[Produto],T_Custos[Peso])</f>
        <v>10</v>
      </c>
      <c r="C260" s="49" t="str">
        <f>_xlfn.XLOOKUP(A260,T_Custos[Produto],T_Custos[Und])</f>
        <v>bd</v>
      </c>
      <c r="D260" s="1" t="s">
        <v>252</v>
      </c>
      <c r="E260" s="1" t="s">
        <v>261</v>
      </c>
      <c r="F260" s="1" t="s">
        <v>248</v>
      </c>
      <c r="G260" s="1" t="s">
        <v>255</v>
      </c>
      <c r="H260" s="1" t="s">
        <v>258</v>
      </c>
      <c r="I260" s="1" t="s">
        <v>260</v>
      </c>
      <c r="J260" s="1" t="s">
        <v>492</v>
      </c>
      <c r="K260" s="85" t="s">
        <v>552</v>
      </c>
      <c r="L260" s="1" t="s">
        <v>259</v>
      </c>
      <c r="M260" s="1" t="s">
        <v>251</v>
      </c>
      <c r="N260" s="1" t="s">
        <v>257</v>
      </c>
      <c r="O260" s="1" t="s">
        <v>247</v>
      </c>
      <c r="P260" s="1"/>
      <c r="Q260" s="1"/>
      <c r="R260" s="1" t="s">
        <v>256</v>
      </c>
      <c r="S260" s="85" t="s">
        <v>442</v>
      </c>
      <c r="T260" s="85" t="s">
        <v>443</v>
      </c>
      <c r="U260" s="85" t="s">
        <v>444</v>
      </c>
      <c r="V260" s="85" t="s">
        <v>445</v>
      </c>
      <c r="W260" s="85" t="s">
        <v>446</v>
      </c>
      <c r="X260" s="85" t="s">
        <v>452</v>
      </c>
      <c r="Y260" s="85"/>
      <c r="Z260" s="85"/>
      <c r="AA260" s="85" t="s">
        <v>489</v>
      </c>
      <c r="AB260" s="85" t="s">
        <v>490</v>
      </c>
      <c r="AC260" s="85"/>
      <c r="AD260" s="85"/>
      <c r="AE260" s="85"/>
      <c r="AF260" s="85"/>
      <c r="AG260" s="85"/>
      <c r="AH260" s="85"/>
      <c r="AI260" s="85"/>
      <c r="AJ260" s="85"/>
      <c r="AK260" s="85"/>
      <c r="AL260" s="85"/>
      <c r="AM260" s="85" t="s">
        <v>537</v>
      </c>
      <c r="AN260" s="85" t="s">
        <v>538</v>
      </c>
      <c r="AO260" s="1" t="s">
        <v>559</v>
      </c>
      <c r="AP260" s="85" t="s">
        <v>591</v>
      </c>
      <c r="AQ260" s="85" t="s">
        <v>597</v>
      </c>
    </row>
    <row r="261" spans="1:43" x14ac:dyDescent="0.35">
      <c r="A261" s="134" t="s">
        <v>426</v>
      </c>
      <c r="B261" s="48">
        <f>_xlfn.XLOOKUP(A261,T_Custos[Produto],T_Custos[Peso])</f>
        <v>1</v>
      </c>
      <c r="C261" s="49" t="str">
        <f>_xlfn.XLOOKUP(A261,T_Custos[Produto],T_Custos[Und])</f>
        <v>bd</v>
      </c>
      <c r="D261" s="1"/>
      <c r="E261" s="1"/>
      <c r="F261" s="1"/>
      <c r="G261" s="1"/>
      <c r="H261" s="1"/>
      <c r="I261" s="1"/>
      <c r="J261" s="1"/>
      <c r="K261" s="85"/>
      <c r="L261" s="1"/>
      <c r="M261" s="1"/>
      <c r="N261" s="1"/>
      <c r="O261" s="1"/>
      <c r="P261" s="47" t="s">
        <v>253</v>
      </c>
      <c r="Q261" s="47" t="s">
        <v>254</v>
      </c>
      <c r="R261" s="1"/>
      <c r="S261" s="85" t="s">
        <v>442</v>
      </c>
      <c r="T261" s="85" t="s">
        <v>443</v>
      </c>
      <c r="U261" s="85" t="s">
        <v>444</v>
      </c>
      <c r="V261" s="85" t="s">
        <v>445</v>
      </c>
      <c r="W261" s="85" t="s">
        <v>446</v>
      </c>
      <c r="X261" s="85" t="s">
        <v>452</v>
      </c>
      <c r="Y261" s="85"/>
      <c r="Z261" s="85"/>
      <c r="AA261" s="85"/>
      <c r="AB261" s="85"/>
      <c r="AC261" s="85"/>
      <c r="AD261" s="85"/>
      <c r="AE261" s="85"/>
      <c r="AF261" s="85"/>
      <c r="AG261" s="85"/>
      <c r="AH261" s="85"/>
      <c r="AI261" s="85"/>
      <c r="AJ261" s="85"/>
      <c r="AK261" s="85"/>
      <c r="AL261" s="85"/>
      <c r="AM261" s="85"/>
      <c r="AN261" s="85"/>
      <c r="AO261" s="1"/>
      <c r="AP261" s="85"/>
      <c r="AQ261" s="85"/>
    </row>
    <row r="262" spans="1:43" x14ac:dyDescent="0.35">
      <c r="A262" s="134" t="s">
        <v>105</v>
      </c>
      <c r="B262" s="48">
        <f>_xlfn.XLOOKUP(A262,T_Custos[Produto],T_Custos[Peso])</f>
        <v>15</v>
      </c>
      <c r="C262" s="49" t="str">
        <f>_xlfn.XLOOKUP(A262,T_Custos[Produto],T_Custos[Und])</f>
        <v>kg</v>
      </c>
      <c r="D262" s="1" t="s">
        <v>252</v>
      </c>
      <c r="E262" s="1" t="s">
        <v>261</v>
      </c>
      <c r="F262" s="1" t="s">
        <v>248</v>
      </c>
      <c r="G262" s="1" t="s">
        <v>255</v>
      </c>
      <c r="H262" s="1" t="s">
        <v>258</v>
      </c>
      <c r="I262" s="1" t="s">
        <v>260</v>
      </c>
      <c r="J262" s="1" t="s">
        <v>492</v>
      </c>
      <c r="K262" s="85" t="s">
        <v>552</v>
      </c>
      <c r="L262" s="1" t="s">
        <v>259</v>
      </c>
      <c r="M262" s="1" t="s">
        <v>251</v>
      </c>
      <c r="N262" s="1" t="s">
        <v>257</v>
      </c>
      <c r="O262" s="1" t="s">
        <v>247</v>
      </c>
      <c r="P262" s="1"/>
      <c r="Q262" s="1"/>
      <c r="R262" s="1" t="s">
        <v>256</v>
      </c>
      <c r="S262" s="85" t="s">
        <v>442</v>
      </c>
      <c r="T262" s="85" t="s">
        <v>443</v>
      </c>
      <c r="U262" s="85" t="s">
        <v>444</v>
      </c>
      <c r="V262" s="85" t="s">
        <v>445</v>
      </c>
      <c r="W262" s="85" t="s">
        <v>446</v>
      </c>
      <c r="X262" s="85" t="s">
        <v>452</v>
      </c>
      <c r="Y262" s="85"/>
      <c r="Z262" s="85"/>
      <c r="AA262" s="85" t="s">
        <v>489</v>
      </c>
      <c r="AB262" s="85" t="s">
        <v>490</v>
      </c>
      <c r="AC262" s="85"/>
      <c r="AD262" s="85"/>
      <c r="AE262" s="85"/>
      <c r="AF262" s="85"/>
      <c r="AG262" s="85"/>
      <c r="AH262" s="85"/>
      <c r="AI262" s="85"/>
      <c r="AJ262" s="85"/>
      <c r="AK262" s="85"/>
      <c r="AL262" s="85"/>
      <c r="AM262" s="85" t="s">
        <v>537</v>
      </c>
      <c r="AN262" s="85" t="s">
        <v>538</v>
      </c>
      <c r="AO262" s="1" t="s">
        <v>559</v>
      </c>
      <c r="AP262" s="85" t="s">
        <v>591</v>
      </c>
      <c r="AQ262" s="85" t="s">
        <v>597</v>
      </c>
    </row>
    <row r="263" spans="1:43" x14ac:dyDescent="0.35">
      <c r="A263" s="134" t="s">
        <v>233</v>
      </c>
      <c r="B263" s="48">
        <f>_xlfn.XLOOKUP(A263,T_Custos[Produto],T_Custos[Peso])</f>
        <v>1</v>
      </c>
      <c r="C263" s="49" t="str">
        <f>_xlfn.XLOOKUP(A263,T_Custos[Produto],T_Custos[Und])</f>
        <v>un</v>
      </c>
      <c r="D263" s="1" t="s">
        <v>252</v>
      </c>
      <c r="E263" s="1" t="s">
        <v>261</v>
      </c>
      <c r="F263" s="1" t="s">
        <v>248</v>
      </c>
      <c r="G263" s="1" t="s">
        <v>255</v>
      </c>
      <c r="H263" s="1" t="s">
        <v>258</v>
      </c>
      <c r="I263" s="1" t="s">
        <v>260</v>
      </c>
      <c r="J263" s="1" t="s">
        <v>492</v>
      </c>
      <c r="K263" s="85" t="s">
        <v>552</v>
      </c>
      <c r="L263" s="1" t="s">
        <v>259</v>
      </c>
      <c r="M263" s="1" t="s">
        <v>251</v>
      </c>
      <c r="N263" s="1" t="s">
        <v>257</v>
      </c>
      <c r="O263" s="1" t="s">
        <v>247</v>
      </c>
      <c r="P263" s="1"/>
      <c r="Q263" s="1"/>
      <c r="R263" s="1" t="s">
        <v>256</v>
      </c>
      <c r="S263" s="85" t="s">
        <v>442</v>
      </c>
      <c r="T263" s="85" t="s">
        <v>443</v>
      </c>
      <c r="U263" s="85" t="s">
        <v>444</v>
      </c>
      <c r="V263" s="85" t="s">
        <v>445</v>
      </c>
      <c r="W263" s="85" t="s">
        <v>446</v>
      </c>
      <c r="X263" s="85"/>
      <c r="Y263" s="85"/>
      <c r="Z263" s="85"/>
      <c r="AA263" s="85" t="s">
        <v>489</v>
      </c>
      <c r="AB263" s="85" t="s">
        <v>490</v>
      </c>
      <c r="AC263" s="85"/>
      <c r="AD263" s="85"/>
      <c r="AE263" s="85"/>
      <c r="AF263" s="85"/>
      <c r="AG263" s="85"/>
      <c r="AH263" s="85"/>
      <c r="AI263" s="85"/>
      <c r="AJ263" s="85"/>
      <c r="AK263" s="85"/>
      <c r="AL263" s="85"/>
      <c r="AM263" s="85"/>
      <c r="AN263" s="85"/>
      <c r="AO263" s="1" t="s">
        <v>559</v>
      </c>
      <c r="AP263" s="85"/>
      <c r="AQ263" s="85" t="s">
        <v>597</v>
      </c>
    </row>
    <row r="264" spans="1:43" x14ac:dyDescent="0.35">
      <c r="A264" s="134" t="s">
        <v>230</v>
      </c>
      <c r="B264" s="48">
        <f>_xlfn.XLOOKUP(A264,T_Custos[Produto],T_Custos[Peso])</f>
        <v>1</v>
      </c>
      <c r="C264" s="49" t="str">
        <f>_xlfn.XLOOKUP(A264,T_Custos[Produto],T_Custos[Und])</f>
        <v>un</v>
      </c>
      <c r="D264" s="1" t="s">
        <v>252</v>
      </c>
      <c r="E264" s="1" t="s">
        <v>261</v>
      </c>
      <c r="F264" s="1" t="s">
        <v>248</v>
      </c>
      <c r="G264" s="1" t="s">
        <v>255</v>
      </c>
      <c r="H264" s="1" t="s">
        <v>258</v>
      </c>
      <c r="I264" s="1" t="s">
        <v>260</v>
      </c>
      <c r="J264" s="1" t="s">
        <v>492</v>
      </c>
      <c r="K264" s="85" t="s">
        <v>552</v>
      </c>
      <c r="L264" s="1" t="s">
        <v>259</v>
      </c>
      <c r="M264" s="1" t="s">
        <v>251</v>
      </c>
      <c r="N264" s="1" t="s">
        <v>257</v>
      </c>
      <c r="O264" s="1" t="s">
        <v>247</v>
      </c>
      <c r="P264" s="1"/>
      <c r="Q264" s="1"/>
      <c r="R264" s="1" t="s">
        <v>256</v>
      </c>
      <c r="S264" s="85" t="s">
        <v>442</v>
      </c>
      <c r="T264" s="85" t="s">
        <v>443</v>
      </c>
      <c r="U264" s="85" t="s">
        <v>444</v>
      </c>
      <c r="V264" s="85" t="s">
        <v>445</v>
      </c>
      <c r="W264" s="85" t="s">
        <v>446</v>
      </c>
      <c r="X264" s="85"/>
      <c r="Y264" s="85"/>
      <c r="Z264" s="85"/>
      <c r="AA264" s="85" t="s">
        <v>489</v>
      </c>
      <c r="AB264" s="85" t="s">
        <v>490</v>
      </c>
      <c r="AC264" s="85"/>
      <c r="AD264" s="85"/>
      <c r="AE264" s="85"/>
      <c r="AF264" s="85"/>
      <c r="AG264" s="85"/>
      <c r="AH264" s="85"/>
      <c r="AI264" s="85"/>
      <c r="AJ264" s="85"/>
      <c r="AK264" s="85"/>
      <c r="AL264" s="85"/>
      <c r="AM264" s="85"/>
      <c r="AN264" s="85"/>
      <c r="AO264" s="1" t="s">
        <v>559</v>
      </c>
      <c r="AP264" s="85"/>
      <c r="AQ264" s="85" t="s">
        <v>597</v>
      </c>
    </row>
    <row r="265" spans="1:43" x14ac:dyDescent="0.35">
      <c r="A265" s="134" t="s">
        <v>106</v>
      </c>
      <c r="B265" s="48">
        <f>_xlfn.XLOOKUP(A265,T_Custos[Produto],T_Custos[Peso])</f>
        <v>1</v>
      </c>
      <c r="C265" s="49" t="str">
        <f>_xlfn.XLOOKUP(A265,T_Custos[Produto],T_Custos[Und])</f>
        <v>kg</v>
      </c>
      <c r="D265" s="1" t="s">
        <v>252</v>
      </c>
      <c r="E265" s="1" t="s">
        <v>261</v>
      </c>
      <c r="F265" s="1" t="s">
        <v>248</v>
      </c>
      <c r="G265" s="1" t="s">
        <v>255</v>
      </c>
      <c r="H265" s="1" t="s">
        <v>258</v>
      </c>
      <c r="I265" s="1" t="s">
        <v>260</v>
      </c>
      <c r="J265" s="1" t="s">
        <v>492</v>
      </c>
      <c r="K265" s="85" t="s">
        <v>552</v>
      </c>
      <c r="L265" s="1" t="s">
        <v>259</v>
      </c>
      <c r="M265" s="1" t="s">
        <v>251</v>
      </c>
      <c r="N265" s="1" t="s">
        <v>257</v>
      </c>
      <c r="O265" s="1" t="s">
        <v>247</v>
      </c>
      <c r="P265" s="1"/>
      <c r="Q265" s="1"/>
      <c r="R265" s="1" t="s">
        <v>256</v>
      </c>
      <c r="S265" s="85" t="s">
        <v>442</v>
      </c>
      <c r="T265" s="85" t="s">
        <v>443</v>
      </c>
      <c r="U265" s="85" t="s">
        <v>444</v>
      </c>
      <c r="V265" s="85" t="s">
        <v>445</v>
      </c>
      <c r="W265" s="85" t="s">
        <v>446</v>
      </c>
      <c r="X265" s="85" t="s">
        <v>452</v>
      </c>
      <c r="Y265" s="85"/>
      <c r="Z265" s="85"/>
      <c r="AA265" s="85" t="s">
        <v>489</v>
      </c>
      <c r="AB265" s="85" t="s">
        <v>490</v>
      </c>
      <c r="AC265" s="85"/>
      <c r="AD265" s="85"/>
      <c r="AE265" s="85"/>
      <c r="AF265" s="85"/>
      <c r="AG265" s="85"/>
      <c r="AH265" s="85"/>
      <c r="AI265" s="85"/>
      <c r="AJ265" s="85"/>
      <c r="AK265" s="85"/>
      <c r="AL265" s="85"/>
      <c r="AM265" s="85"/>
      <c r="AN265" s="85"/>
      <c r="AO265" s="1" t="s">
        <v>559</v>
      </c>
      <c r="AP265" s="85" t="s">
        <v>591</v>
      </c>
      <c r="AQ265" s="85" t="s">
        <v>597</v>
      </c>
    </row>
    <row r="266" spans="1:43" x14ac:dyDescent="0.35">
      <c r="A266" s="134" t="s">
        <v>427</v>
      </c>
      <c r="B266" s="48">
        <f>_xlfn.XLOOKUP(A266,T_Custos[Produto],T_Custos[Peso])</f>
        <v>1</v>
      </c>
      <c r="C266" s="49" t="str">
        <f>_xlfn.XLOOKUP(A266,T_Custos[Produto],T_Custos[Und])</f>
        <v>pc</v>
      </c>
      <c r="D266" s="1"/>
      <c r="E266" s="1"/>
      <c r="F266" s="1"/>
      <c r="G266" s="1"/>
      <c r="H266" s="1"/>
      <c r="I266" s="1"/>
      <c r="J266" s="1"/>
      <c r="K266" s="85"/>
      <c r="L266" s="1"/>
      <c r="M266" s="1"/>
      <c r="N266" s="1"/>
      <c r="O266" s="1"/>
      <c r="P266" s="47" t="s">
        <v>253</v>
      </c>
      <c r="Q266" s="47" t="s">
        <v>254</v>
      </c>
      <c r="R266" s="1"/>
      <c r="S266" s="85" t="s">
        <v>442</v>
      </c>
      <c r="T266" s="85" t="s">
        <v>443</v>
      </c>
      <c r="U266" s="85" t="s">
        <v>444</v>
      </c>
      <c r="V266" s="85" t="s">
        <v>445</v>
      </c>
      <c r="W266" s="85" t="s">
        <v>446</v>
      </c>
      <c r="X266" s="85" t="s">
        <v>452</v>
      </c>
      <c r="Y266" s="85"/>
      <c r="Z266" s="85"/>
      <c r="AA266" s="85"/>
      <c r="AB266" s="85"/>
      <c r="AC266" s="85"/>
      <c r="AD266" s="85" t="s">
        <v>507</v>
      </c>
      <c r="AE266" s="85"/>
      <c r="AF266" s="85"/>
      <c r="AG266" s="85"/>
      <c r="AH266" s="85"/>
      <c r="AI266" s="85"/>
      <c r="AJ266" s="85"/>
      <c r="AK266" s="85"/>
      <c r="AL266" s="85"/>
      <c r="AM266" s="85"/>
      <c r="AN266" s="85"/>
      <c r="AO266" s="1"/>
      <c r="AP266" s="85"/>
      <c r="AQ266" s="85"/>
    </row>
    <row r="267" spans="1:43" x14ac:dyDescent="0.35">
      <c r="A267" s="134" t="s">
        <v>428</v>
      </c>
      <c r="B267" s="48">
        <f>_xlfn.XLOOKUP(A267,T_Custos[Produto],T_Custos[Peso])</f>
        <v>1</v>
      </c>
      <c r="C267" s="49" t="str">
        <f>_xlfn.XLOOKUP(A267,T_Custos[Produto],T_Custos[Und])</f>
        <v>pc</v>
      </c>
      <c r="D267" s="1"/>
      <c r="E267" s="1"/>
      <c r="F267" s="1"/>
      <c r="G267" s="1"/>
      <c r="H267" s="1"/>
      <c r="I267" s="1"/>
      <c r="J267" s="1"/>
      <c r="K267" s="85"/>
      <c r="L267" s="1"/>
      <c r="M267" s="1"/>
      <c r="N267" s="1"/>
      <c r="O267" s="1"/>
      <c r="P267" s="47" t="s">
        <v>253</v>
      </c>
      <c r="Q267" s="47" t="s">
        <v>254</v>
      </c>
      <c r="R267" s="1"/>
      <c r="S267" s="85" t="s">
        <v>442</v>
      </c>
      <c r="T267" s="85" t="s">
        <v>443</v>
      </c>
      <c r="U267" s="85" t="s">
        <v>444</v>
      </c>
      <c r="V267" s="85" t="s">
        <v>445</v>
      </c>
      <c r="W267" s="85" t="s">
        <v>446</v>
      </c>
      <c r="X267" s="85" t="s">
        <v>452</v>
      </c>
      <c r="Y267" s="85"/>
      <c r="Z267" s="85"/>
      <c r="AA267" s="85"/>
      <c r="AB267" s="85"/>
      <c r="AC267" s="85"/>
      <c r="AD267" s="85" t="s">
        <v>507</v>
      </c>
      <c r="AE267" s="85"/>
      <c r="AF267" s="85"/>
      <c r="AG267" s="85"/>
      <c r="AH267" s="85"/>
      <c r="AI267" s="85"/>
      <c r="AJ267" s="85"/>
      <c r="AK267" s="85"/>
      <c r="AL267" s="85"/>
      <c r="AM267" s="85"/>
      <c r="AN267" s="85"/>
      <c r="AO267" s="1"/>
      <c r="AP267" s="85"/>
      <c r="AQ267" s="85"/>
    </row>
    <row r="268" spans="1:43" x14ac:dyDescent="0.35">
      <c r="A268" s="134" t="s">
        <v>107</v>
      </c>
      <c r="B268" s="48">
        <f>_xlfn.XLOOKUP(A268,T_Custos[Produto],T_Custos[Peso])</f>
        <v>4</v>
      </c>
      <c r="C268" s="49" t="str">
        <f>_xlfn.XLOOKUP(A268,T_Custos[Produto],T_Custos[Und])</f>
        <v>bd</v>
      </c>
      <c r="D268" s="1" t="s">
        <v>252</v>
      </c>
      <c r="E268" s="1" t="s">
        <v>261</v>
      </c>
      <c r="F268" s="1" t="s">
        <v>248</v>
      </c>
      <c r="G268" s="1" t="s">
        <v>255</v>
      </c>
      <c r="H268" s="1" t="s">
        <v>258</v>
      </c>
      <c r="I268" s="1" t="s">
        <v>260</v>
      </c>
      <c r="J268" s="1" t="s">
        <v>492</v>
      </c>
      <c r="K268" s="85" t="s">
        <v>552</v>
      </c>
      <c r="L268" s="1" t="s">
        <v>259</v>
      </c>
      <c r="M268" s="1" t="s">
        <v>251</v>
      </c>
      <c r="N268" s="1" t="s">
        <v>257</v>
      </c>
      <c r="O268" s="1" t="s">
        <v>247</v>
      </c>
      <c r="P268" s="47" t="s">
        <v>253</v>
      </c>
      <c r="Q268" s="47" t="s">
        <v>254</v>
      </c>
      <c r="R268" s="1" t="s">
        <v>256</v>
      </c>
      <c r="S268" s="85" t="s">
        <v>442</v>
      </c>
      <c r="T268" s="85" t="s">
        <v>443</v>
      </c>
      <c r="U268" s="85" t="s">
        <v>444</v>
      </c>
      <c r="V268" s="85" t="s">
        <v>445</v>
      </c>
      <c r="W268" s="85" t="s">
        <v>446</v>
      </c>
      <c r="X268" s="85" t="s">
        <v>452</v>
      </c>
      <c r="Y268" s="85" t="s">
        <v>463</v>
      </c>
      <c r="Z268" s="85"/>
      <c r="AA268" s="85" t="s">
        <v>489</v>
      </c>
      <c r="AB268" s="85" t="s">
        <v>490</v>
      </c>
      <c r="AC268" s="85"/>
      <c r="AD268" s="85" t="s">
        <v>507</v>
      </c>
      <c r="AE268" s="85" t="s">
        <v>509</v>
      </c>
      <c r="AF268" s="85" t="s">
        <v>515</v>
      </c>
      <c r="AG268" s="85"/>
      <c r="AH268" s="85"/>
      <c r="AI268" s="85" t="s">
        <v>518</v>
      </c>
      <c r="AJ268" s="85" t="s">
        <v>519</v>
      </c>
      <c r="AK268" s="85" t="s">
        <v>520</v>
      </c>
      <c r="AL268" s="85" t="s">
        <v>521</v>
      </c>
      <c r="AM268" s="85" t="s">
        <v>537</v>
      </c>
      <c r="AN268" s="85" t="s">
        <v>538</v>
      </c>
      <c r="AO268" s="1" t="s">
        <v>559</v>
      </c>
      <c r="AP268" s="85" t="s">
        <v>591</v>
      </c>
      <c r="AQ268" s="85" t="s">
        <v>597</v>
      </c>
    </row>
    <row r="269" spans="1:43" x14ac:dyDescent="0.35">
      <c r="A269" s="134" t="s">
        <v>108</v>
      </c>
      <c r="B269" s="48">
        <f>_xlfn.XLOOKUP(A269,T_Custos[Produto],T_Custos[Peso])</f>
        <v>10</v>
      </c>
      <c r="C269" s="49" t="str">
        <f>_xlfn.XLOOKUP(A269,T_Custos[Produto],T_Custos[Und])</f>
        <v>kg</v>
      </c>
      <c r="D269" s="1" t="s">
        <v>252</v>
      </c>
      <c r="E269" s="1" t="s">
        <v>261</v>
      </c>
      <c r="F269" s="1" t="s">
        <v>248</v>
      </c>
      <c r="G269" s="1" t="s">
        <v>255</v>
      </c>
      <c r="H269" s="1" t="s">
        <v>258</v>
      </c>
      <c r="I269" s="1" t="s">
        <v>260</v>
      </c>
      <c r="J269" s="1" t="s">
        <v>492</v>
      </c>
      <c r="K269" s="85" t="s">
        <v>552</v>
      </c>
      <c r="L269" s="1" t="s">
        <v>259</v>
      </c>
      <c r="M269" s="1" t="s">
        <v>251</v>
      </c>
      <c r="N269" s="1" t="s">
        <v>257</v>
      </c>
      <c r="O269" s="1" t="s">
        <v>247</v>
      </c>
      <c r="P269" s="1"/>
      <c r="Q269" s="1"/>
      <c r="R269" s="1" t="s">
        <v>256</v>
      </c>
      <c r="S269" s="85" t="s">
        <v>442</v>
      </c>
      <c r="T269" s="85" t="s">
        <v>443</v>
      </c>
      <c r="U269" s="85" t="s">
        <v>444</v>
      </c>
      <c r="V269" s="85" t="s">
        <v>445</v>
      </c>
      <c r="W269" s="85" t="s">
        <v>446</v>
      </c>
      <c r="X269" s="85" t="s">
        <v>452</v>
      </c>
      <c r="Y269" s="85"/>
      <c r="Z269" s="85"/>
      <c r="AA269" s="85" t="s">
        <v>489</v>
      </c>
      <c r="AB269" s="85" t="s">
        <v>490</v>
      </c>
      <c r="AC269" s="85"/>
      <c r="AD269" s="85"/>
      <c r="AE269" s="85"/>
      <c r="AF269" s="85"/>
      <c r="AG269" s="85"/>
      <c r="AH269" s="85"/>
      <c r="AI269" s="85"/>
      <c r="AJ269" s="85"/>
      <c r="AK269" s="85"/>
      <c r="AL269" s="85"/>
      <c r="AM269" s="85"/>
      <c r="AN269" s="85"/>
      <c r="AO269" s="1" t="s">
        <v>559</v>
      </c>
      <c r="AP269" s="85" t="s">
        <v>591</v>
      </c>
      <c r="AQ269" s="85" t="s">
        <v>597</v>
      </c>
    </row>
    <row r="270" spans="1:43" x14ac:dyDescent="0.35">
      <c r="A270" s="134" t="s">
        <v>207</v>
      </c>
      <c r="B270" s="48">
        <f>_xlfn.XLOOKUP(A270,T_Custos[Produto],T_Custos[Peso])</f>
        <v>1</v>
      </c>
      <c r="C270" s="49" t="str">
        <f>_xlfn.XLOOKUP(A270,T_Custos[Produto],T_Custos[Und])</f>
        <v>un</v>
      </c>
      <c r="D270" s="1" t="s">
        <v>252</v>
      </c>
      <c r="E270" s="1" t="s">
        <v>261</v>
      </c>
      <c r="F270" s="1" t="s">
        <v>248</v>
      </c>
      <c r="G270" s="1" t="s">
        <v>255</v>
      </c>
      <c r="H270" s="1" t="s">
        <v>258</v>
      </c>
      <c r="I270" s="1" t="s">
        <v>260</v>
      </c>
      <c r="J270" s="1" t="s">
        <v>492</v>
      </c>
      <c r="K270" s="85" t="s">
        <v>552</v>
      </c>
      <c r="L270" s="1" t="s">
        <v>259</v>
      </c>
      <c r="M270" s="1" t="s">
        <v>251</v>
      </c>
      <c r="N270" s="1" t="s">
        <v>257</v>
      </c>
      <c r="O270" s="1" t="s">
        <v>247</v>
      </c>
      <c r="P270" s="1"/>
      <c r="Q270" s="1"/>
      <c r="R270" s="1" t="s">
        <v>256</v>
      </c>
      <c r="S270" s="85" t="s">
        <v>442</v>
      </c>
      <c r="T270" s="85" t="s">
        <v>443</v>
      </c>
      <c r="U270" s="85" t="s">
        <v>444</v>
      </c>
      <c r="V270" s="85" t="s">
        <v>445</v>
      </c>
      <c r="W270" s="85" t="s">
        <v>446</v>
      </c>
      <c r="X270" s="85"/>
      <c r="Y270" s="85"/>
      <c r="Z270" s="85"/>
      <c r="AA270" s="85" t="s">
        <v>489</v>
      </c>
      <c r="AB270" s="85" t="s">
        <v>490</v>
      </c>
      <c r="AC270" s="85" t="s">
        <v>503</v>
      </c>
      <c r="AD270" s="85"/>
      <c r="AE270" s="85"/>
      <c r="AF270" s="85"/>
      <c r="AG270" s="85"/>
      <c r="AH270" s="85"/>
      <c r="AI270" s="85"/>
      <c r="AJ270" s="85"/>
      <c r="AK270" s="85"/>
      <c r="AL270" s="85"/>
      <c r="AM270" s="85"/>
      <c r="AN270" s="85"/>
      <c r="AO270" s="1" t="s">
        <v>559</v>
      </c>
      <c r="AP270" s="85"/>
      <c r="AQ270" s="85" t="s">
        <v>597</v>
      </c>
    </row>
    <row r="271" spans="1:43" x14ac:dyDescent="0.35">
      <c r="A271" s="134" t="s">
        <v>109</v>
      </c>
      <c r="B271" s="48">
        <f>_xlfn.XLOOKUP(A271,T_Custos[Produto],T_Custos[Peso])</f>
        <v>2</v>
      </c>
      <c r="C271" s="49" t="str">
        <f>_xlfn.XLOOKUP(A271,T_Custos[Produto],T_Custos[Und])</f>
        <v>kg</v>
      </c>
      <c r="D271" s="1" t="s">
        <v>252</v>
      </c>
      <c r="E271" s="1" t="s">
        <v>261</v>
      </c>
      <c r="F271" s="1" t="s">
        <v>248</v>
      </c>
      <c r="G271" s="1" t="s">
        <v>255</v>
      </c>
      <c r="H271" s="1" t="s">
        <v>258</v>
      </c>
      <c r="I271" s="1" t="s">
        <v>260</v>
      </c>
      <c r="J271" s="1" t="s">
        <v>492</v>
      </c>
      <c r="K271" s="85" t="s">
        <v>552</v>
      </c>
      <c r="L271" s="1" t="s">
        <v>259</v>
      </c>
      <c r="M271" s="1" t="s">
        <v>251</v>
      </c>
      <c r="N271" s="1" t="s">
        <v>257</v>
      </c>
      <c r="O271" s="1" t="s">
        <v>247</v>
      </c>
      <c r="P271" s="1"/>
      <c r="Q271" s="1"/>
      <c r="R271" s="1" t="s">
        <v>256</v>
      </c>
      <c r="S271" s="85" t="s">
        <v>442</v>
      </c>
      <c r="T271" s="85" t="s">
        <v>443</v>
      </c>
      <c r="U271" s="85" t="s">
        <v>444</v>
      </c>
      <c r="V271" s="85" t="s">
        <v>445</v>
      </c>
      <c r="W271" s="85" t="s">
        <v>446</v>
      </c>
      <c r="X271" s="85" t="s">
        <v>452</v>
      </c>
      <c r="Y271" s="85"/>
      <c r="Z271" s="85"/>
      <c r="AA271" s="85" t="s">
        <v>489</v>
      </c>
      <c r="AB271" s="85" t="s">
        <v>490</v>
      </c>
      <c r="AC271" s="85"/>
      <c r="AD271" s="85"/>
      <c r="AE271" s="85"/>
      <c r="AF271" s="85"/>
      <c r="AG271" s="85"/>
      <c r="AH271" s="85"/>
      <c r="AI271" s="85"/>
      <c r="AJ271" s="85"/>
      <c r="AK271" s="85"/>
      <c r="AL271" s="85"/>
      <c r="AM271" s="85"/>
      <c r="AN271" s="85"/>
      <c r="AO271" s="1" t="s">
        <v>559</v>
      </c>
      <c r="AP271" s="85" t="s">
        <v>591</v>
      </c>
      <c r="AQ271" s="85" t="s">
        <v>597</v>
      </c>
    </row>
    <row r="272" spans="1:43" x14ac:dyDescent="0.35">
      <c r="A272" s="85" t="s">
        <v>110</v>
      </c>
      <c r="B272" s="48">
        <f>_xlfn.XLOOKUP(A272,T_Custos[Produto],T_Custos[Peso])</f>
        <v>1</v>
      </c>
      <c r="C272" s="49" t="str">
        <f>_xlfn.XLOOKUP(A272,T_Custos[Produto],T_Custos[Und])</f>
        <v>un</v>
      </c>
      <c r="D272" s="1" t="s">
        <v>252</v>
      </c>
      <c r="E272" s="1" t="s">
        <v>261</v>
      </c>
      <c r="F272" s="1" t="s">
        <v>248</v>
      </c>
      <c r="G272" s="1" t="s">
        <v>255</v>
      </c>
      <c r="H272" s="1" t="s">
        <v>258</v>
      </c>
      <c r="I272" s="1" t="s">
        <v>260</v>
      </c>
      <c r="J272" s="1" t="s">
        <v>492</v>
      </c>
      <c r="K272" s="85" t="s">
        <v>552</v>
      </c>
      <c r="L272" s="1" t="s">
        <v>259</v>
      </c>
      <c r="M272" s="1" t="s">
        <v>251</v>
      </c>
      <c r="N272" s="1" t="s">
        <v>257</v>
      </c>
      <c r="O272" s="1" t="s">
        <v>247</v>
      </c>
      <c r="P272" s="1"/>
      <c r="Q272" s="1"/>
      <c r="R272" s="1" t="s">
        <v>256</v>
      </c>
      <c r="S272" s="85" t="s">
        <v>442</v>
      </c>
      <c r="T272" s="85" t="s">
        <v>443</v>
      </c>
      <c r="U272" s="85" t="s">
        <v>444</v>
      </c>
      <c r="V272" s="85" t="s">
        <v>445</v>
      </c>
      <c r="W272" s="85" t="s">
        <v>446</v>
      </c>
      <c r="X272" s="85"/>
      <c r="Y272" s="85"/>
      <c r="Z272" s="85"/>
      <c r="AA272" s="85"/>
      <c r="AB272" s="85"/>
      <c r="AC272" s="85"/>
      <c r="AD272" s="85"/>
      <c r="AE272" s="85"/>
      <c r="AF272" s="85"/>
      <c r="AG272" s="85"/>
      <c r="AH272" s="85"/>
      <c r="AI272" s="85"/>
      <c r="AJ272" s="85"/>
      <c r="AK272" s="85"/>
      <c r="AL272" s="85"/>
      <c r="AM272" s="85"/>
      <c r="AN272" s="85"/>
      <c r="AO272" s="1" t="s">
        <v>559</v>
      </c>
      <c r="AP272" s="85"/>
      <c r="AQ272" s="85" t="s">
        <v>597</v>
      </c>
    </row>
    <row r="273" spans="1:43" x14ac:dyDescent="0.35">
      <c r="A273" s="134" t="s">
        <v>583</v>
      </c>
      <c r="B273" s="64">
        <f>_xlfn.XLOOKUP(A273,T_Custos[Produto],T_Custos[Peso])</f>
        <v>1</v>
      </c>
      <c r="C273" s="65" t="str">
        <f>_xlfn.XLOOKUP(A273,T_Custos[Produto],T_Custos[Und])</f>
        <v>kg</v>
      </c>
      <c r="D273" s="1"/>
      <c r="E273" s="1"/>
      <c r="F273" s="1"/>
      <c r="G273" s="1"/>
      <c r="H273" s="1"/>
      <c r="I273" s="1"/>
      <c r="J273" s="1"/>
      <c r="K273" s="85"/>
      <c r="L273" s="1"/>
      <c r="M273" s="1"/>
      <c r="N273" s="1"/>
      <c r="O273" s="1"/>
      <c r="P273" s="1"/>
      <c r="Q273" s="1"/>
      <c r="R273" s="1"/>
      <c r="S273" s="85"/>
      <c r="T273" s="85"/>
      <c r="U273" s="85"/>
      <c r="V273" s="85"/>
      <c r="W273" s="85"/>
      <c r="X273" s="85"/>
      <c r="Y273" s="85"/>
      <c r="Z273" s="85"/>
      <c r="AA273" s="85"/>
      <c r="AB273" s="85"/>
      <c r="AC273" s="85"/>
      <c r="AD273" s="85"/>
      <c r="AE273" s="85"/>
      <c r="AF273" s="85"/>
      <c r="AG273" s="85"/>
      <c r="AH273" s="85"/>
      <c r="AI273" s="85"/>
      <c r="AJ273" s="85"/>
      <c r="AK273" s="85"/>
      <c r="AL273" s="85"/>
      <c r="AM273" s="85"/>
      <c r="AN273" s="85"/>
      <c r="AO273" s="85"/>
      <c r="AP273" s="85" t="s">
        <v>591</v>
      </c>
      <c r="AQ273" s="85"/>
    </row>
    <row r="274" spans="1:43" x14ac:dyDescent="0.35">
      <c r="A274" s="85" t="s">
        <v>111</v>
      </c>
      <c r="B274" s="48">
        <f>_xlfn.XLOOKUP(A274,T_Custos[Produto],T_Custos[Peso])</f>
        <v>16</v>
      </c>
      <c r="C274" s="49" t="str">
        <f>_xlfn.XLOOKUP(A274,T_Custos[Produto],T_Custos[Und])</f>
        <v>kg</v>
      </c>
      <c r="D274" s="1" t="s">
        <v>252</v>
      </c>
      <c r="E274" s="1" t="s">
        <v>261</v>
      </c>
      <c r="F274" s="1" t="s">
        <v>248</v>
      </c>
      <c r="G274" s="1" t="s">
        <v>255</v>
      </c>
      <c r="H274" s="1" t="s">
        <v>258</v>
      </c>
      <c r="I274" s="1" t="s">
        <v>260</v>
      </c>
      <c r="J274" s="1" t="s">
        <v>492</v>
      </c>
      <c r="K274" s="85" t="s">
        <v>552</v>
      </c>
      <c r="L274" s="1" t="s">
        <v>259</v>
      </c>
      <c r="M274" s="1" t="s">
        <v>251</v>
      </c>
      <c r="N274" s="1" t="s">
        <v>257</v>
      </c>
      <c r="O274" s="1" t="s">
        <v>247</v>
      </c>
      <c r="P274" s="1"/>
      <c r="Q274" s="1"/>
      <c r="R274" s="1" t="s">
        <v>256</v>
      </c>
      <c r="S274" s="85" t="s">
        <v>442</v>
      </c>
      <c r="T274" s="85" t="s">
        <v>443</v>
      </c>
      <c r="U274" s="85" t="s">
        <v>444</v>
      </c>
      <c r="V274" s="85" t="s">
        <v>445</v>
      </c>
      <c r="W274" s="85" t="s">
        <v>446</v>
      </c>
      <c r="X274" s="85" t="s">
        <v>452</v>
      </c>
      <c r="Y274" s="85"/>
      <c r="Z274" s="85"/>
      <c r="AA274" s="85" t="s">
        <v>489</v>
      </c>
      <c r="AB274" s="85" t="s">
        <v>490</v>
      </c>
      <c r="AC274" s="85"/>
      <c r="AD274" s="85"/>
      <c r="AE274" s="85"/>
      <c r="AF274" s="85"/>
      <c r="AG274" s="85"/>
      <c r="AH274" s="85"/>
      <c r="AI274" s="85"/>
      <c r="AJ274" s="85"/>
      <c r="AK274" s="85"/>
      <c r="AL274" s="85"/>
      <c r="AM274" s="85"/>
      <c r="AN274" s="85"/>
      <c r="AO274" s="1" t="s">
        <v>559</v>
      </c>
      <c r="AP274" s="85" t="s">
        <v>591</v>
      </c>
      <c r="AQ274" s="85" t="s">
        <v>597</v>
      </c>
    </row>
    <row r="275" spans="1:43" x14ac:dyDescent="0.35">
      <c r="A275" s="134" t="s">
        <v>112</v>
      </c>
      <c r="B275" s="48">
        <f>_xlfn.XLOOKUP(A275,T_Custos[Produto],T_Custos[Peso])</f>
        <v>8</v>
      </c>
      <c r="C275" s="49" t="str">
        <f>_xlfn.XLOOKUP(A275,T_Custos[Produto],T_Custos[Und])</f>
        <v>kg</v>
      </c>
      <c r="D275" s="1" t="s">
        <v>252</v>
      </c>
      <c r="E275" s="1" t="s">
        <v>261</v>
      </c>
      <c r="F275" s="1" t="s">
        <v>248</v>
      </c>
      <c r="G275" s="1" t="s">
        <v>255</v>
      </c>
      <c r="H275" s="1" t="s">
        <v>258</v>
      </c>
      <c r="I275" s="1" t="s">
        <v>260</v>
      </c>
      <c r="J275" s="1" t="s">
        <v>492</v>
      </c>
      <c r="K275" s="85" t="s">
        <v>552</v>
      </c>
      <c r="L275" s="1" t="s">
        <v>259</v>
      </c>
      <c r="M275" s="1" t="s">
        <v>251</v>
      </c>
      <c r="N275" s="1" t="s">
        <v>257</v>
      </c>
      <c r="O275" s="1" t="s">
        <v>247</v>
      </c>
      <c r="P275" s="1"/>
      <c r="Q275" s="1"/>
      <c r="R275" s="1" t="s">
        <v>256</v>
      </c>
      <c r="S275" s="85" t="s">
        <v>442</v>
      </c>
      <c r="T275" s="85" t="s">
        <v>443</v>
      </c>
      <c r="U275" s="85" t="s">
        <v>444</v>
      </c>
      <c r="V275" s="85" t="s">
        <v>445</v>
      </c>
      <c r="W275" s="85" t="s">
        <v>446</v>
      </c>
      <c r="X275" s="85" t="s">
        <v>452</v>
      </c>
      <c r="Y275" s="85"/>
      <c r="Z275" s="85"/>
      <c r="AA275" s="85" t="s">
        <v>489</v>
      </c>
      <c r="AB275" s="85" t="s">
        <v>490</v>
      </c>
      <c r="AC275" s="85"/>
      <c r="AD275" s="85"/>
      <c r="AE275" s="85"/>
      <c r="AF275" s="85"/>
      <c r="AG275" s="85"/>
      <c r="AH275" s="85"/>
      <c r="AI275" s="85"/>
      <c r="AJ275" s="85"/>
      <c r="AK275" s="85"/>
      <c r="AL275" s="85"/>
      <c r="AM275" s="85" t="s">
        <v>537</v>
      </c>
      <c r="AN275" s="85" t="s">
        <v>538</v>
      </c>
      <c r="AO275" s="1" t="s">
        <v>559</v>
      </c>
      <c r="AP275" s="85" t="s">
        <v>591</v>
      </c>
      <c r="AQ275" s="85" t="s">
        <v>597</v>
      </c>
    </row>
    <row r="276" spans="1:43" x14ac:dyDescent="0.35">
      <c r="A276" s="134" t="s">
        <v>113</v>
      </c>
      <c r="B276" s="48">
        <f>_xlfn.XLOOKUP(A276,T_Custos[Produto],T_Custos[Peso])</f>
        <v>8</v>
      </c>
      <c r="C276" s="49" t="str">
        <f>_xlfn.XLOOKUP(A276,T_Custos[Produto],T_Custos[Und])</f>
        <v>kg</v>
      </c>
      <c r="D276" s="1" t="s">
        <v>252</v>
      </c>
      <c r="E276" s="1" t="s">
        <v>261</v>
      </c>
      <c r="F276" s="1" t="s">
        <v>248</v>
      </c>
      <c r="G276" s="1" t="s">
        <v>255</v>
      </c>
      <c r="H276" s="1" t="s">
        <v>258</v>
      </c>
      <c r="I276" s="1" t="s">
        <v>260</v>
      </c>
      <c r="J276" s="1" t="s">
        <v>492</v>
      </c>
      <c r="K276" s="85" t="s">
        <v>552</v>
      </c>
      <c r="L276" s="1" t="s">
        <v>259</v>
      </c>
      <c r="M276" s="1" t="s">
        <v>251</v>
      </c>
      <c r="N276" s="1" t="s">
        <v>257</v>
      </c>
      <c r="O276" s="1" t="s">
        <v>247</v>
      </c>
      <c r="P276" s="1"/>
      <c r="Q276" s="1"/>
      <c r="R276" s="1" t="s">
        <v>256</v>
      </c>
      <c r="S276" s="85" t="s">
        <v>442</v>
      </c>
      <c r="T276" s="85" t="s">
        <v>443</v>
      </c>
      <c r="U276" s="85" t="s">
        <v>444</v>
      </c>
      <c r="V276" s="85" t="s">
        <v>445</v>
      </c>
      <c r="W276" s="85" t="s">
        <v>446</v>
      </c>
      <c r="X276" s="85" t="s">
        <v>452</v>
      </c>
      <c r="Y276" s="85"/>
      <c r="Z276" s="85"/>
      <c r="AA276" s="85" t="s">
        <v>489</v>
      </c>
      <c r="AB276" s="85" t="s">
        <v>490</v>
      </c>
      <c r="AC276" s="85"/>
      <c r="AD276" s="85"/>
      <c r="AE276" s="85"/>
      <c r="AF276" s="85"/>
      <c r="AG276" s="85"/>
      <c r="AH276" s="85"/>
      <c r="AI276" s="85"/>
      <c r="AJ276" s="85"/>
      <c r="AK276" s="85"/>
      <c r="AL276" s="85"/>
      <c r="AM276" s="85"/>
      <c r="AN276" s="85"/>
      <c r="AO276" s="1" t="s">
        <v>559</v>
      </c>
      <c r="AP276" s="85" t="s">
        <v>591</v>
      </c>
      <c r="AQ276" s="85" t="s">
        <v>597</v>
      </c>
    </row>
    <row r="277" spans="1:43" x14ac:dyDescent="0.35">
      <c r="A277" s="134" t="s">
        <v>221</v>
      </c>
      <c r="B277" s="48">
        <f>_xlfn.XLOOKUP(A277,T_Custos[Produto],T_Custos[Peso])</f>
        <v>1</v>
      </c>
      <c r="C277" s="49" t="str">
        <f>_xlfn.XLOOKUP(A277,T_Custos[Produto],T_Custos[Und])</f>
        <v>kg</v>
      </c>
      <c r="D277" s="1" t="s">
        <v>252</v>
      </c>
      <c r="E277" s="1" t="s">
        <v>261</v>
      </c>
      <c r="F277" s="1" t="s">
        <v>248</v>
      </c>
      <c r="G277" s="1" t="s">
        <v>255</v>
      </c>
      <c r="H277" s="1" t="s">
        <v>258</v>
      </c>
      <c r="I277" s="1" t="s">
        <v>260</v>
      </c>
      <c r="J277" s="1" t="s">
        <v>492</v>
      </c>
      <c r="K277" s="85" t="s">
        <v>552</v>
      </c>
      <c r="L277" s="1" t="s">
        <v>259</v>
      </c>
      <c r="M277" s="1" t="s">
        <v>251</v>
      </c>
      <c r="N277" s="1" t="s">
        <v>257</v>
      </c>
      <c r="O277" s="1" t="s">
        <v>247</v>
      </c>
      <c r="P277" s="1"/>
      <c r="Q277" s="1"/>
      <c r="R277" s="1" t="s">
        <v>256</v>
      </c>
      <c r="S277" s="85" t="s">
        <v>442</v>
      </c>
      <c r="T277" s="85" t="s">
        <v>443</v>
      </c>
      <c r="U277" s="85" t="s">
        <v>444</v>
      </c>
      <c r="V277" s="85" t="s">
        <v>445</v>
      </c>
      <c r="W277" s="85" t="s">
        <v>446</v>
      </c>
      <c r="X277" s="85" t="s">
        <v>452</v>
      </c>
      <c r="Y277" s="85"/>
      <c r="Z277" s="85"/>
      <c r="AA277" s="85" t="s">
        <v>489</v>
      </c>
      <c r="AB277" s="85" t="s">
        <v>490</v>
      </c>
      <c r="AC277" s="85"/>
      <c r="AD277" s="85"/>
      <c r="AE277" s="85"/>
      <c r="AF277" s="85"/>
      <c r="AG277" s="85"/>
      <c r="AH277" s="85"/>
      <c r="AI277" s="85"/>
      <c r="AJ277" s="85"/>
      <c r="AK277" s="85"/>
      <c r="AL277" s="85"/>
      <c r="AM277" s="85"/>
      <c r="AN277" s="85"/>
      <c r="AO277" s="1" t="s">
        <v>559</v>
      </c>
      <c r="AP277" s="85" t="s">
        <v>591</v>
      </c>
      <c r="AQ277" s="85" t="s">
        <v>597</v>
      </c>
    </row>
    <row r="278" spans="1:43" x14ac:dyDescent="0.35">
      <c r="A278" s="134" t="s">
        <v>218</v>
      </c>
      <c r="B278" s="48">
        <f>_xlfn.XLOOKUP(A278,T_Custos[Produto],T_Custos[Peso])</f>
        <v>1</v>
      </c>
      <c r="C278" s="49" t="str">
        <f>_xlfn.XLOOKUP(A278,T_Custos[Produto],T_Custos[Und])</f>
        <v>un</v>
      </c>
      <c r="D278" s="1" t="s">
        <v>252</v>
      </c>
      <c r="E278" s="1" t="s">
        <v>261</v>
      </c>
      <c r="F278" s="1" t="s">
        <v>248</v>
      </c>
      <c r="G278" s="1" t="s">
        <v>255</v>
      </c>
      <c r="H278" s="1" t="s">
        <v>258</v>
      </c>
      <c r="I278" s="1" t="s">
        <v>260</v>
      </c>
      <c r="J278" s="1" t="s">
        <v>492</v>
      </c>
      <c r="K278" s="85" t="s">
        <v>552</v>
      </c>
      <c r="L278" s="1" t="s">
        <v>259</v>
      </c>
      <c r="M278" s="1" t="s">
        <v>251</v>
      </c>
      <c r="N278" s="1" t="s">
        <v>257</v>
      </c>
      <c r="O278" s="1" t="s">
        <v>247</v>
      </c>
      <c r="P278" s="1"/>
      <c r="Q278" s="1"/>
      <c r="R278" s="1" t="s">
        <v>256</v>
      </c>
      <c r="S278" s="85" t="s">
        <v>442</v>
      </c>
      <c r="T278" s="85" t="s">
        <v>443</v>
      </c>
      <c r="U278" s="85" t="s">
        <v>444</v>
      </c>
      <c r="V278" s="85" t="s">
        <v>445</v>
      </c>
      <c r="W278" s="85" t="s">
        <v>446</v>
      </c>
      <c r="X278" s="85"/>
      <c r="Y278" s="85"/>
      <c r="Z278" s="85"/>
      <c r="AA278" s="85" t="s">
        <v>489</v>
      </c>
      <c r="AB278" s="85" t="s">
        <v>490</v>
      </c>
      <c r="AC278" s="85"/>
      <c r="AD278" s="85"/>
      <c r="AE278" s="85"/>
      <c r="AF278" s="85"/>
      <c r="AG278" s="85"/>
      <c r="AH278" s="85"/>
      <c r="AI278" s="85"/>
      <c r="AJ278" s="85"/>
      <c r="AK278" s="85"/>
      <c r="AL278" s="85"/>
      <c r="AM278" s="85"/>
      <c r="AN278" s="85"/>
      <c r="AO278" s="1" t="s">
        <v>559</v>
      </c>
      <c r="AP278" s="85"/>
      <c r="AQ278" s="85" t="s">
        <v>597</v>
      </c>
    </row>
    <row r="279" spans="1:43" x14ac:dyDescent="0.35">
      <c r="A279" s="134" t="s">
        <v>114</v>
      </c>
      <c r="B279" s="48">
        <f>_xlfn.XLOOKUP(A279,T_Custos[Produto],T_Custos[Peso])</f>
        <v>10</v>
      </c>
      <c r="C279" s="49" t="str">
        <f>_xlfn.XLOOKUP(A279,T_Custos[Produto],T_Custos[Und])</f>
        <v>un</v>
      </c>
      <c r="D279" s="1" t="s">
        <v>252</v>
      </c>
      <c r="E279" s="1" t="s">
        <v>261</v>
      </c>
      <c r="F279" s="1" t="s">
        <v>248</v>
      </c>
      <c r="G279" s="1" t="s">
        <v>255</v>
      </c>
      <c r="H279" s="1" t="s">
        <v>258</v>
      </c>
      <c r="I279" s="1" t="s">
        <v>260</v>
      </c>
      <c r="J279" s="1" t="s">
        <v>492</v>
      </c>
      <c r="K279" s="85" t="s">
        <v>552</v>
      </c>
      <c r="L279" s="1" t="s">
        <v>259</v>
      </c>
      <c r="M279" s="1" t="s">
        <v>251</v>
      </c>
      <c r="N279" s="1" t="s">
        <v>257</v>
      </c>
      <c r="O279" s="1" t="s">
        <v>247</v>
      </c>
      <c r="P279" s="1"/>
      <c r="Q279" s="1"/>
      <c r="R279" s="1" t="s">
        <v>256</v>
      </c>
      <c r="S279" s="85" t="s">
        <v>442</v>
      </c>
      <c r="T279" s="85" t="s">
        <v>443</v>
      </c>
      <c r="U279" s="85" t="s">
        <v>444</v>
      </c>
      <c r="V279" s="85" t="s">
        <v>445</v>
      </c>
      <c r="W279" s="85" t="s">
        <v>446</v>
      </c>
      <c r="X279" s="85" t="s">
        <v>452</v>
      </c>
      <c r="Y279" s="85"/>
      <c r="Z279" s="85"/>
      <c r="AA279" s="85" t="s">
        <v>489</v>
      </c>
      <c r="AB279" s="85" t="s">
        <v>490</v>
      </c>
      <c r="AC279" s="85" t="s">
        <v>503</v>
      </c>
      <c r="AD279" s="85"/>
      <c r="AE279" s="85"/>
      <c r="AF279" s="85"/>
      <c r="AG279" s="85"/>
      <c r="AH279" s="85"/>
      <c r="AI279" s="85"/>
      <c r="AJ279" s="85"/>
      <c r="AK279" s="85"/>
      <c r="AL279" s="85"/>
      <c r="AM279" s="85" t="s">
        <v>537</v>
      </c>
      <c r="AN279" s="85" t="s">
        <v>538</v>
      </c>
      <c r="AO279" s="1" t="s">
        <v>559</v>
      </c>
      <c r="AP279" s="85" t="s">
        <v>591</v>
      </c>
      <c r="AQ279" s="85" t="s">
        <v>597</v>
      </c>
    </row>
    <row r="280" spans="1:43" x14ac:dyDescent="0.35">
      <c r="A280" s="134" t="s">
        <v>115</v>
      </c>
      <c r="B280" s="48">
        <f>_xlfn.XLOOKUP(A280,T_Custos[Produto],T_Custos[Peso])</f>
        <v>12</v>
      </c>
      <c r="C280" s="49" t="str">
        <f>_xlfn.XLOOKUP(A280,T_Custos[Produto],T_Custos[Und])</f>
        <v>un</v>
      </c>
      <c r="D280" s="1" t="s">
        <v>252</v>
      </c>
      <c r="E280" s="1" t="s">
        <v>261</v>
      </c>
      <c r="F280" s="1" t="s">
        <v>248</v>
      </c>
      <c r="G280" s="1" t="s">
        <v>255</v>
      </c>
      <c r="H280" s="1" t="s">
        <v>258</v>
      </c>
      <c r="I280" s="1" t="s">
        <v>260</v>
      </c>
      <c r="J280" s="1" t="s">
        <v>492</v>
      </c>
      <c r="K280" s="85" t="s">
        <v>552</v>
      </c>
      <c r="L280" s="1" t="s">
        <v>259</v>
      </c>
      <c r="M280" s="1" t="s">
        <v>251</v>
      </c>
      <c r="N280" s="1" t="s">
        <v>257</v>
      </c>
      <c r="O280" s="1" t="s">
        <v>247</v>
      </c>
      <c r="P280" s="1"/>
      <c r="Q280" s="1"/>
      <c r="R280" s="1" t="s">
        <v>256</v>
      </c>
      <c r="S280" s="85" t="s">
        <v>442</v>
      </c>
      <c r="T280" s="85" t="s">
        <v>443</v>
      </c>
      <c r="U280" s="85" t="s">
        <v>444</v>
      </c>
      <c r="V280" s="85" t="s">
        <v>445</v>
      </c>
      <c r="W280" s="85" t="s">
        <v>446</v>
      </c>
      <c r="X280" s="85" t="s">
        <v>452</v>
      </c>
      <c r="Y280" s="85" t="s">
        <v>463</v>
      </c>
      <c r="Z280" s="85"/>
      <c r="AA280" s="85" t="s">
        <v>489</v>
      </c>
      <c r="AB280" s="85" t="s">
        <v>490</v>
      </c>
      <c r="AC280" s="85" t="s">
        <v>503</v>
      </c>
      <c r="AD280" s="85"/>
      <c r="AE280" s="85"/>
      <c r="AF280" s="85"/>
      <c r="AG280" s="85"/>
      <c r="AH280" s="85"/>
      <c r="AI280" s="85"/>
      <c r="AJ280" s="85"/>
      <c r="AK280" s="85"/>
      <c r="AL280" s="85"/>
      <c r="AM280" s="85"/>
      <c r="AN280" s="85"/>
      <c r="AO280" s="1" t="s">
        <v>559</v>
      </c>
      <c r="AP280" s="85" t="s">
        <v>591</v>
      </c>
      <c r="AQ280" s="85" t="s">
        <v>597</v>
      </c>
    </row>
    <row r="281" spans="1:43" x14ac:dyDescent="0.35">
      <c r="A281" s="134" t="s">
        <v>117</v>
      </c>
      <c r="B281" s="48">
        <f>_xlfn.XLOOKUP(A281,T_Custos[Produto],T_Custos[Peso])</f>
        <v>20</v>
      </c>
      <c r="C281" s="49" t="str">
        <f>_xlfn.XLOOKUP(A281,T_Custos[Produto],T_Custos[Und])</f>
        <v>dz</v>
      </c>
      <c r="D281" s="1" t="s">
        <v>252</v>
      </c>
      <c r="E281" s="1" t="s">
        <v>261</v>
      </c>
      <c r="F281" s="1" t="s">
        <v>248</v>
      </c>
      <c r="G281" s="1" t="s">
        <v>255</v>
      </c>
      <c r="H281" s="1" t="s">
        <v>258</v>
      </c>
      <c r="I281" s="1" t="s">
        <v>260</v>
      </c>
      <c r="J281" s="1" t="s">
        <v>492</v>
      </c>
      <c r="K281" s="85" t="s">
        <v>552</v>
      </c>
      <c r="L281" s="1" t="s">
        <v>259</v>
      </c>
      <c r="M281" s="1" t="s">
        <v>251</v>
      </c>
      <c r="N281" s="1" t="s">
        <v>257</v>
      </c>
      <c r="O281" s="1" t="s">
        <v>247</v>
      </c>
      <c r="P281" s="47" t="s">
        <v>253</v>
      </c>
      <c r="Q281" s="47" t="s">
        <v>254</v>
      </c>
      <c r="R281" s="1" t="s">
        <v>256</v>
      </c>
      <c r="S281" s="85" t="s">
        <v>442</v>
      </c>
      <c r="T281" s="85" t="s">
        <v>443</v>
      </c>
      <c r="U281" s="85" t="s">
        <v>444</v>
      </c>
      <c r="V281" s="85" t="s">
        <v>445</v>
      </c>
      <c r="W281" s="85" t="s">
        <v>446</v>
      </c>
      <c r="X281" s="85" t="s">
        <v>452</v>
      </c>
      <c r="Y281" s="85"/>
      <c r="Z281" s="85"/>
      <c r="AA281" s="85" t="s">
        <v>489</v>
      </c>
      <c r="AB281" s="85" t="s">
        <v>490</v>
      </c>
      <c r="AC281" s="85"/>
      <c r="AD281" s="85"/>
      <c r="AE281" s="85"/>
      <c r="AF281" s="85"/>
      <c r="AG281" s="85"/>
      <c r="AH281" s="85"/>
      <c r="AI281" s="85"/>
      <c r="AJ281" s="85"/>
      <c r="AK281" s="85"/>
      <c r="AL281" s="85"/>
      <c r="AM281" s="85"/>
      <c r="AN281" s="85"/>
      <c r="AO281" s="1" t="s">
        <v>559</v>
      </c>
      <c r="AP281" s="85" t="s">
        <v>591</v>
      </c>
      <c r="AQ281" s="85" t="s">
        <v>597</v>
      </c>
    </row>
    <row r="282" spans="1:43" x14ac:dyDescent="0.35">
      <c r="A282" s="134" t="s">
        <v>116</v>
      </c>
      <c r="B282" s="48">
        <f>_xlfn.XLOOKUP(A282,T_Custos[Produto],T_Custos[Peso])</f>
        <v>20</v>
      </c>
      <c r="C282" s="49" t="str">
        <f>_xlfn.XLOOKUP(A282,T_Custos[Produto],T_Custos[Und])</f>
        <v>dz</v>
      </c>
      <c r="D282" s="1" t="s">
        <v>252</v>
      </c>
      <c r="E282" s="1" t="s">
        <v>261</v>
      </c>
      <c r="F282" s="1" t="s">
        <v>248</v>
      </c>
      <c r="G282" s="1" t="s">
        <v>255</v>
      </c>
      <c r="H282" s="1" t="s">
        <v>258</v>
      </c>
      <c r="I282" s="1" t="s">
        <v>260</v>
      </c>
      <c r="J282" s="1" t="s">
        <v>492</v>
      </c>
      <c r="K282" s="85" t="s">
        <v>552</v>
      </c>
      <c r="L282" s="1" t="s">
        <v>259</v>
      </c>
      <c r="M282" s="1" t="s">
        <v>251</v>
      </c>
      <c r="N282" s="1" t="s">
        <v>257</v>
      </c>
      <c r="O282" s="1" t="s">
        <v>247</v>
      </c>
      <c r="P282" s="1"/>
      <c r="Q282" s="1"/>
      <c r="R282" s="1" t="s">
        <v>256</v>
      </c>
      <c r="S282" s="85" t="s">
        <v>442</v>
      </c>
      <c r="T282" s="85" t="s">
        <v>443</v>
      </c>
      <c r="U282" s="85" t="s">
        <v>444</v>
      </c>
      <c r="V282" s="85" t="s">
        <v>445</v>
      </c>
      <c r="W282" s="85" t="s">
        <v>446</v>
      </c>
      <c r="X282" s="85" t="s">
        <v>452</v>
      </c>
      <c r="Y282" s="85" t="s">
        <v>463</v>
      </c>
      <c r="Z282" s="85"/>
      <c r="AA282" s="85" t="s">
        <v>489</v>
      </c>
      <c r="AB282" s="85" t="s">
        <v>490</v>
      </c>
      <c r="AC282" s="85"/>
      <c r="AD282" s="85"/>
      <c r="AE282" s="85"/>
      <c r="AF282" s="85"/>
      <c r="AG282" s="85"/>
      <c r="AH282" s="85"/>
      <c r="AI282" s="85"/>
      <c r="AJ282" s="85"/>
      <c r="AK282" s="85"/>
      <c r="AL282" s="85"/>
      <c r="AM282" s="85" t="s">
        <v>537</v>
      </c>
      <c r="AN282" s="85" t="s">
        <v>538</v>
      </c>
      <c r="AO282" s="1" t="s">
        <v>559</v>
      </c>
      <c r="AP282" s="85" t="s">
        <v>591</v>
      </c>
      <c r="AQ282" s="85" t="s">
        <v>597</v>
      </c>
    </row>
    <row r="283" spans="1:43" x14ac:dyDescent="0.35">
      <c r="A283" s="134" t="s">
        <v>118</v>
      </c>
      <c r="B283" s="48">
        <f>_xlfn.XLOOKUP(A283,T_Custos[Produto],T_Custos[Peso])</f>
        <v>1</v>
      </c>
      <c r="C283" s="49" t="str">
        <f>_xlfn.XLOOKUP(A283,T_Custos[Produto],T_Custos[Und])</f>
        <v>pc</v>
      </c>
      <c r="D283" s="1" t="s">
        <v>252</v>
      </c>
      <c r="E283" s="1" t="s">
        <v>261</v>
      </c>
      <c r="F283" s="1" t="s">
        <v>248</v>
      </c>
      <c r="G283" s="1" t="s">
        <v>255</v>
      </c>
      <c r="H283" s="1" t="s">
        <v>258</v>
      </c>
      <c r="I283" s="1" t="s">
        <v>260</v>
      </c>
      <c r="J283" s="1" t="s">
        <v>492</v>
      </c>
      <c r="K283" s="85" t="s">
        <v>552</v>
      </c>
      <c r="L283" s="1" t="s">
        <v>259</v>
      </c>
      <c r="M283" s="1" t="s">
        <v>251</v>
      </c>
      <c r="N283" s="1" t="s">
        <v>257</v>
      </c>
      <c r="O283" s="1" t="s">
        <v>247</v>
      </c>
      <c r="P283" s="1"/>
      <c r="Q283" s="1"/>
      <c r="R283" s="1" t="s">
        <v>256</v>
      </c>
      <c r="S283" s="85" t="s">
        <v>442</v>
      </c>
      <c r="T283" s="85" t="s">
        <v>443</v>
      </c>
      <c r="U283" s="85" t="s">
        <v>444</v>
      </c>
      <c r="V283" s="85" t="s">
        <v>445</v>
      </c>
      <c r="W283" s="85" t="s">
        <v>446</v>
      </c>
      <c r="X283" s="85" t="s">
        <v>452</v>
      </c>
      <c r="Y283" s="85" t="s">
        <v>463</v>
      </c>
      <c r="Z283" s="85"/>
      <c r="AA283" s="85" t="s">
        <v>489</v>
      </c>
      <c r="AB283" s="85" t="s">
        <v>490</v>
      </c>
      <c r="AC283" s="85"/>
      <c r="AD283" s="85"/>
      <c r="AE283" s="85"/>
      <c r="AF283" s="85"/>
      <c r="AG283" s="85"/>
      <c r="AH283" s="85"/>
      <c r="AI283" s="85"/>
      <c r="AJ283" s="85"/>
      <c r="AK283" s="85"/>
      <c r="AL283" s="85"/>
      <c r="AM283" s="85"/>
      <c r="AN283" s="85"/>
      <c r="AO283" s="1" t="s">
        <v>559</v>
      </c>
      <c r="AP283" s="85" t="s">
        <v>591</v>
      </c>
      <c r="AQ283" s="85" t="s">
        <v>597</v>
      </c>
    </row>
    <row r="284" spans="1:43" x14ac:dyDescent="0.35">
      <c r="A284" s="134" t="s">
        <v>119</v>
      </c>
      <c r="B284" s="48">
        <f>_xlfn.XLOOKUP(A284,T_Custos[Produto],T_Custos[Peso])</f>
        <v>15</v>
      </c>
      <c r="C284" s="49" t="str">
        <f>_xlfn.XLOOKUP(A284,T_Custos[Produto],T_Custos[Und])</f>
        <v>dz</v>
      </c>
      <c r="D284" s="1" t="s">
        <v>252</v>
      </c>
      <c r="E284" s="1" t="s">
        <v>261</v>
      </c>
      <c r="F284" s="1" t="s">
        <v>248</v>
      </c>
      <c r="G284" s="1" t="s">
        <v>255</v>
      </c>
      <c r="H284" s="1" t="s">
        <v>258</v>
      </c>
      <c r="I284" s="1" t="s">
        <v>260</v>
      </c>
      <c r="J284" s="1" t="s">
        <v>492</v>
      </c>
      <c r="K284" s="85" t="s">
        <v>552</v>
      </c>
      <c r="L284" s="1" t="s">
        <v>259</v>
      </c>
      <c r="M284" s="1" t="s">
        <v>251</v>
      </c>
      <c r="N284" s="1" t="s">
        <v>257</v>
      </c>
      <c r="O284" s="1" t="s">
        <v>247</v>
      </c>
      <c r="P284" s="47" t="s">
        <v>253</v>
      </c>
      <c r="Q284" s="47" t="s">
        <v>254</v>
      </c>
      <c r="R284" s="1" t="s">
        <v>256</v>
      </c>
      <c r="S284" s="85" t="s">
        <v>442</v>
      </c>
      <c r="T284" s="85" t="s">
        <v>443</v>
      </c>
      <c r="U284" s="85" t="s">
        <v>444</v>
      </c>
      <c r="V284" s="85" t="s">
        <v>445</v>
      </c>
      <c r="W284" s="85" t="s">
        <v>446</v>
      </c>
      <c r="X284" s="85" t="s">
        <v>452</v>
      </c>
      <c r="Y284" s="85"/>
      <c r="Z284" s="85"/>
      <c r="AA284" s="85" t="s">
        <v>489</v>
      </c>
      <c r="AB284" s="85" t="s">
        <v>490</v>
      </c>
      <c r="AC284" s="85" t="s">
        <v>503</v>
      </c>
      <c r="AD284" s="85"/>
      <c r="AE284" s="85"/>
      <c r="AF284" s="85"/>
      <c r="AG284" s="85"/>
      <c r="AH284" s="85"/>
      <c r="AI284" s="85"/>
      <c r="AJ284" s="85"/>
      <c r="AK284" s="85"/>
      <c r="AL284" s="85"/>
      <c r="AM284" s="85"/>
      <c r="AN284" s="85"/>
      <c r="AO284" s="1" t="s">
        <v>559</v>
      </c>
      <c r="AP284" s="85" t="s">
        <v>591</v>
      </c>
      <c r="AQ284" s="85" t="s">
        <v>597</v>
      </c>
    </row>
    <row r="285" spans="1:43" x14ac:dyDescent="0.35">
      <c r="A285" s="134" t="s">
        <v>120</v>
      </c>
      <c r="B285" s="48">
        <f>_xlfn.XLOOKUP(A285,T_Custos[Produto],T_Custos[Peso])</f>
        <v>20</v>
      </c>
      <c r="C285" s="49" t="str">
        <f>_xlfn.XLOOKUP(A285,T_Custos[Produto],T_Custos[Und])</f>
        <v>dz</v>
      </c>
      <c r="D285" s="1" t="s">
        <v>252</v>
      </c>
      <c r="E285" s="1" t="s">
        <v>261</v>
      </c>
      <c r="F285" s="1" t="s">
        <v>248</v>
      </c>
      <c r="G285" s="1" t="s">
        <v>255</v>
      </c>
      <c r="H285" s="1" t="s">
        <v>258</v>
      </c>
      <c r="I285" s="1" t="s">
        <v>260</v>
      </c>
      <c r="J285" s="1" t="s">
        <v>492</v>
      </c>
      <c r="K285" s="85" t="s">
        <v>552</v>
      </c>
      <c r="L285" s="1" t="s">
        <v>259</v>
      </c>
      <c r="M285" s="1" t="s">
        <v>251</v>
      </c>
      <c r="N285" s="1" t="s">
        <v>257</v>
      </c>
      <c r="O285" s="1" t="s">
        <v>247</v>
      </c>
      <c r="P285" s="1"/>
      <c r="Q285" s="1"/>
      <c r="R285" s="1" t="s">
        <v>256</v>
      </c>
      <c r="S285" s="85" t="s">
        <v>442</v>
      </c>
      <c r="T285" s="85" t="s">
        <v>443</v>
      </c>
      <c r="U285" s="85" t="s">
        <v>444</v>
      </c>
      <c r="V285" s="85" t="s">
        <v>445</v>
      </c>
      <c r="W285" s="85" t="s">
        <v>446</v>
      </c>
      <c r="X285" s="85" t="s">
        <v>452</v>
      </c>
      <c r="Y285" s="85"/>
      <c r="Z285" s="85"/>
      <c r="AA285" s="85" t="s">
        <v>489</v>
      </c>
      <c r="AB285" s="85" t="s">
        <v>490</v>
      </c>
      <c r="AC285" s="85" t="s">
        <v>503</v>
      </c>
      <c r="AD285" s="85"/>
      <c r="AE285" s="85"/>
      <c r="AF285" s="85"/>
      <c r="AG285" s="85"/>
      <c r="AH285" s="85"/>
      <c r="AI285" s="85"/>
      <c r="AJ285" s="85"/>
      <c r="AK285" s="85"/>
      <c r="AL285" s="85"/>
      <c r="AM285" s="85" t="s">
        <v>537</v>
      </c>
      <c r="AN285" s="85" t="s">
        <v>538</v>
      </c>
      <c r="AO285" s="1" t="s">
        <v>559</v>
      </c>
      <c r="AP285" s="85" t="s">
        <v>591</v>
      </c>
      <c r="AQ285" s="85" t="s">
        <v>597</v>
      </c>
    </row>
    <row r="286" spans="1:43" x14ac:dyDescent="0.35">
      <c r="A286" s="134" t="s">
        <v>121</v>
      </c>
      <c r="B286" s="48">
        <f>_xlfn.XLOOKUP(A286,T_Custos[Produto],T_Custos[Peso])</f>
        <v>30</v>
      </c>
      <c r="C286" s="49" t="str">
        <f>_xlfn.XLOOKUP(A286,T_Custos[Produto],T_Custos[Und])</f>
        <v>dz</v>
      </c>
      <c r="D286" s="1" t="s">
        <v>252</v>
      </c>
      <c r="E286" s="1" t="s">
        <v>261</v>
      </c>
      <c r="F286" s="1" t="s">
        <v>248</v>
      </c>
      <c r="G286" s="1" t="s">
        <v>255</v>
      </c>
      <c r="H286" s="1" t="s">
        <v>258</v>
      </c>
      <c r="I286" s="1" t="s">
        <v>260</v>
      </c>
      <c r="J286" s="1" t="s">
        <v>492</v>
      </c>
      <c r="K286" s="85" t="s">
        <v>552</v>
      </c>
      <c r="L286" s="1" t="s">
        <v>259</v>
      </c>
      <c r="M286" s="1" t="s">
        <v>251</v>
      </c>
      <c r="N286" s="1" t="s">
        <v>257</v>
      </c>
      <c r="O286" s="1" t="s">
        <v>247</v>
      </c>
      <c r="P286" s="1"/>
      <c r="Q286" s="1"/>
      <c r="R286" s="1" t="s">
        <v>256</v>
      </c>
      <c r="S286" s="85" t="s">
        <v>442</v>
      </c>
      <c r="T286" s="85" t="s">
        <v>443</v>
      </c>
      <c r="U286" s="85" t="s">
        <v>444</v>
      </c>
      <c r="V286" s="85" t="s">
        <v>445</v>
      </c>
      <c r="W286" s="85" t="s">
        <v>446</v>
      </c>
      <c r="X286" s="85" t="s">
        <v>452</v>
      </c>
      <c r="Y286" s="85" t="s">
        <v>463</v>
      </c>
      <c r="Z286" s="85"/>
      <c r="AA286" s="85" t="s">
        <v>489</v>
      </c>
      <c r="AB286" s="85" t="s">
        <v>490</v>
      </c>
      <c r="AC286" s="85" t="s">
        <v>503</v>
      </c>
      <c r="AD286" s="85" t="s">
        <v>507</v>
      </c>
      <c r="AE286" s="85" t="s">
        <v>509</v>
      </c>
      <c r="AF286" s="85" t="s">
        <v>515</v>
      </c>
      <c r="AG286" s="85" t="s">
        <v>516</v>
      </c>
      <c r="AH286" s="85" t="s">
        <v>517</v>
      </c>
      <c r="AI286" s="85" t="s">
        <v>518</v>
      </c>
      <c r="AJ286" s="85" t="s">
        <v>519</v>
      </c>
      <c r="AK286" s="85" t="s">
        <v>520</v>
      </c>
      <c r="AL286" s="85" t="s">
        <v>521</v>
      </c>
      <c r="AM286" s="85"/>
      <c r="AN286" s="85"/>
      <c r="AO286" s="1" t="s">
        <v>559</v>
      </c>
      <c r="AP286" s="85" t="s">
        <v>591</v>
      </c>
      <c r="AQ286" s="85" t="s">
        <v>597</v>
      </c>
    </row>
    <row r="287" spans="1:43" x14ac:dyDescent="0.35">
      <c r="A287" s="134" t="s">
        <v>554</v>
      </c>
      <c r="B287" s="48">
        <f>_xlfn.XLOOKUP(A287,T_Custos[Produto],T_Custos[Peso])</f>
        <v>10</v>
      </c>
      <c r="C287" s="49" t="str">
        <f>_xlfn.XLOOKUP(A287,T_Custos[Produto],T_Custos[Und])</f>
        <v>un</v>
      </c>
      <c r="D287" s="1" t="s">
        <v>252</v>
      </c>
      <c r="E287" s="1" t="s">
        <v>261</v>
      </c>
      <c r="F287" s="1" t="s">
        <v>248</v>
      </c>
      <c r="G287" s="1" t="s">
        <v>255</v>
      </c>
      <c r="H287" s="1" t="s">
        <v>258</v>
      </c>
      <c r="I287" s="1" t="s">
        <v>260</v>
      </c>
      <c r="J287" s="1" t="s">
        <v>492</v>
      </c>
      <c r="K287" s="85" t="s">
        <v>552</v>
      </c>
      <c r="L287" s="1" t="s">
        <v>259</v>
      </c>
      <c r="M287" s="1" t="s">
        <v>251</v>
      </c>
      <c r="N287" s="1" t="s">
        <v>257</v>
      </c>
      <c r="O287" s="1" t="s">
        <v>247</v>
      </c>
      <c r="P287" s="1"/>
      <c r="Q287" s="1"/>
      <c r="R287" s="1" t="s">
        <v>256</v>
      </c>
      <c r="S287" s="85" t="s">
        <v>442</v>
      </c>
      <c r="T287" s="85" t="s">
        <v>443</v>
      </c>
      <c r="U287" s="85" t="s">
        <v>444</v>
      </c>
      <c r="V287" s="85" t="s">
        <v>445</v>
      </c>
      <c r="W287" s="85" t="s">
        <v>446</v>
      </c>
      <c r="X287" s="85" t="s">
        <v>452</v>
      </c>
      <c r="Y287" s="85"/>
      <c r="Z287" s="85"/>
      <c r="AA287" s="85" t="s">
        <v>489</v>
      </c>
      <c r="AB287" s="85" t="s">
        <v>490</v>
      </c>
      <c r="AC287" s="85" t="s">
        <v>503</v>
      </c>
      <c r="AD287" s="85" t="s">
        <v>507</v>
      </c>
      <c r="AE287" s="85"/>
      <c r="AF287" s="85"/>
      <c r="AG287" s="85"/>
      <c r="AH287" s="85"/>
      <c r="AI287" s="85"/>
      <c r="AJ287" s="85"/>
      <c r="AK287" s="85"/>
      <c r="AL287" s="85"/>
      <c r="AM287" s="85"/>
      <c r="AN287" s="85"/>
      <c r="AO287" s="1" t="s">
        <v>559</v>
      </c>
      <c r="AP287" s="85" t="s">
        <v>591</v>
      </c>
      <c r="AQ287" s="85" t="s">
        <v>597</v>
      </c>
    </row>
    <row r="288" spans="1:43" x14ac:dyDescent="0.35">
      <c r="A288" s="134" t="s">
        <v>122</v>
      </c>
      <c r="B288" s="48">
        <f>_xlfn.XLOOKUP(A288,T_Custos[Produto],T_Custos[Peso])</f>
        <v>10</v>
      </c>
      <c r="C288" s="49" t="str">
        <f>_xlfn.XLOOKUP(A288,T_Custos[Produto],T_Custos[Und])</f>
        <v>un</v>
      </c>
      <c r="D288" s="1" t="s">
        <v>252</v>
      </c>
      <c r="E288" s="1" t="s">
        <v>261</v>
      </c>
      <c r="F288" s="1" t="s">
        <v>248</v>
      </c>
      <c r="G288" s="1" t="s">
        <v>255</v>
      </c>
      <c r="H288" s="1" t="s">
        <v>258</v>
      </c>
      <c r="I288" s="1" t="s">
        <v>260</v>
      </c>
      <c r="J288" s="1" t="s">
        <v>492</v>
      </c>
      <c r="K288" s="85" t="s">
        <v>552</v>
      </c>
      <c r="L288" s="1" t="s">
        <v>259</v>
      </c>
      <c r="M288" s="1" t="s">
        <v>251</v>
      </c>
      <c r="N288" s="1" t="s">
        <v>257</v>
      </c>
      <c r="O288" s="1" t="s">
        <v>247</v>
      </c>
      <c r="P288" s="1"/>
      <c r="Q288" s="1"/>
      <c r="R288" s="1" t="s">
        <v>256</v>
      </c>
      <c r="S288" s="85" t="s">
        <v>442</v>
      </c>
      <c r="T288" s="85" t="s">
        <v>443</v>
      </c>
      <c r="U288" s="85" t="s">
        <v>444</v>
      </c>
      <c r="V288" s="85" t="s">
        <v>445</v>
      </c>
      <c r="W288" s="85" t="s">
        <v>446</v>
      </c>
      <c r="X288" s="85" t="s">
        <v>452</v>
      </c>
      <c r="Y288" s="85" t="s">
        <v>463</v>
      </c>
      <c r="Z288" s="85" t="s">
        <v>465</v>
      </c>
      <c r="AA288" s="85" t="s">
        <v>489</v>
      </c>
      <c r="AB288" s="85" t="s">
        <v>490</v>
      </c>
      <c r="AC288" s="85" t="s">
        <v>503</v>
      </c>
      <c r="AD288" s="85" t="s">
        <v>507</v>
      </c>
      <c r="AE288" s="85"/>
      <c r="AF288" s="85"/>
      <c r="AG288" s="85"/>
      <c r="AH288" s="85"/>
      <c r="AI288" s="85"/>
      <c r="AJ288" s="85"/>
      <c r="AK288" s="85"/>
      <c r="AL288" s="85"/>
      <c r="AM288" s="85"/>
      <c r="AN288" s="85"/>
      <c r="AO288" s="1" t="s">
        <v>559</v>
      </c>
      <c r="AP288" s="85" t="s">
        <v>591</v>
      </c>
      <c r="AQ288" s="85" t="s">
        <v>597</v>
      </c>
    </row>
    <row r="289" spans="1:43" x14ac:dyDescent="0.35">
      <c r="A289" s="85" t="s">
        <v>123</v>
      </c>
      <c r="B289" s="48">
        <f>_xlfn.XLOOKUP(A289,T_Custos[Produto],T_Custos[Peso])</f>
        <v>1</v>
      </c>
      <c r="C289" s="49" t="str">
        <f>_xlfn.XLOOKUP(A289,T_Custos[Produto],T_Custos[Und])</f>
        <v>dz</v>
      </c>
      <c r="D289" s="1" t="s">
        <v>252</v>
      </c>
      <c r="E289" s="1" t="s">
        <v>261</v>
      </c>
      <c r="F289" s="1" t="s">
        <v>248</v>
      </c>
      <c r="G289" s="1" t="s">
        <v>255</v>
      </c>
      <c r="H289" s="1" t="s">
        <v>258</v>
      </c>
      <c r="I289" s="1" t="s">
        <v>260</v>
      </c>
      <c r="J289" s="1" t="s">
        <v>492</v>
      </c>
      <c r="K289" s="85" t="s">
        <v>552</v>
      </c>
      <c r="L289" s="1" t="s">
        <v>259</v>
      </c>
      <c r="M289" s="1" t="s">
        <v>251</v>
      </c>
      <c r="N289" s="1" t="s">
        <v>257</v>
      </c>
      <c r="O289" s="1" t="s">
        <v>247</v>
      </c>
      <c r="P289" s="1"/>
      <c r="Q289" s="1"/>
      <c r="R289" s="1" t="s">
        <v>256</v>
      </c>
      <c r="S289" s="85" t="s">
        <v>442</v>
      </c>
      <c r="T289" s="85" t="s">
        <v>443</v>
      </c>
      <c r="U289" s="85" t="s">
        <v>444</v>
      </c>
      <c r="V289" s="85" t="s">
        <v>445</v>
      </c>
      <c r="W289" s="85" t="s">
        <v>446</v>
      </c>
      <c r="X289" s="85" t="s">
        <v>452</v>
      </c>
      <c r="Y289" s="85"/>
      <c r="Z289" s="85"/>
      <c r="AA289" s="85" t="s">
        <v>489</v>
      </c>
      <c r="AB289" s="85" t="s">
        <v>490</v>
      </c>
      <c r="AC289" s="85" t="s">
        <v>503</v>
      </c>
      <c r="AD289" s="85"/>
      <c r="AE289" s="85"/>
      <c r="AF289" s="85"/>
      <c r="AG289" s="85"/>
      <c r="AH289" s="85"/>
      <c r="AI289" s="85"/>
      <c r="AJ289" s="85"/>
      <c r="AK289" s="85"/>
      <c r="AL289" s="85"/>
      <c r="AM289" s="85"/>
      <c r="AN289" s="85"/>
      <c r="AO289" s="1" t="s">
        <v>559</v>
      </c>
      <c r="AP289" s="85" t="s">
        <v>591</v>
      </c>
      <c r="AQ289" s="85" t="s">
        <v>597</v>
      </c>
    </row>
    <row r="290" spans="1:43" x14ac:dyDescent="0.35">
      <c r="A290" s="85" t="s">
        <v>124</v>
      </c>
      <c r="B290" s="48">
        <f>_xlfn.XLOOKUP(A290,T_Custos[Produto],T_Custos[Peso])</f>
        <v>1</v>
      </c>
      <c r="C290" s="49" t="str">
        <f>_xlfn.XLOOKUP(A290,T_Custos[Produto],T_Custos[Und])</f>
        <v>dz</v>
      </c>
      <c r="D290" s="1" t="s">
        <v>252</v>
      </c>
      <c r="E290" s="1" t="s">
        <v>261</v>
      </c>
      <c r="F290" s="1" t="s">
        <v>248</v>
      </c>
      <c r="G290" s="1" t="s">
        <v>255</v>
      </c>
      <c r="H290" s="1" t="s">
        <v>258</v>
      </c>
      <c r="I290" s="1" t="s">
        <v>260</v>
      </c>
      <c r="J290" s="1" t="s">
        <v>492</v>
      </c>
      <c r="K290" s="85" t="s">
        <v>552</v>
      </c>
      <c r="L290" s="1" t="s">
        <v>259</v>
      </c>
      <c r="M290" s="1" t="s">
        <v>251</v>
      </c>
      <c r="N290" s="1" t="s">
        <v>257</v>
      </c>
      <c r="O290" s="1" t="s">
        <v>247</v>
      </c>
      <c r="P290" s="1"/>
      <c r="Q290" s="1"/>
      <c r="R290" s="1" t="s">
        <v>256</v>
      </c>
      <c r="S290" s="85" t="s">
        <v>442</v>
      </c>
      <c r="T290" s="85" t="s">
        <v>443</v>
      </c>
      <c r="U290" s="85" t="s">
        <v>444</v>
      </c>
      <c r="V290" s="85" t="s">
        <v>445</v>
      </c>
      <c r="W290" s="85" t="s">
        <v>446</v>
      </c>
      <c r="X290" s="85" t="s">
        <v>452</v>
      </c>
      <c r="Y290" s="85"/>
      <c r="Z290" s="85"/>
      <c r="AA290" s="85" t="s">
        <v>489</v>
      </c>
      <c r="AB290" s="85" t="s">
        <v>490</v>
      </c>
      <c r="AC290" s="85" t="s">
        <v>503</v>
      </c>
      <c r="AD290" s="85"/>
      <c r="AE290" s="85"/>
      <c r="AF290" s="85"/>
      <c r="AG290" s="85"/>
      <c r="AH290" s="85"/>
      <c r="AI290" s="85"/>
      <c r="AJ290" s="85"/>
      <c r="AK290" s="85"/>
      <c r="AL290" s="85"/>
      <c r="AM290" s="85"/>
      <c r="AN290" s="85"/>
      <c r="AO290" s="1" t="s">
        <v>559</v>
      </c>
      <c r="AP290" s="85" t="s">
        <v>591</v>
      </c>
      <c r="AQ290" s="85" t="s">
        <v>597</v>
      </c>
    </row>
    <row r="291" spans="1:43" x14ac:dyDescent="0.35">
      <c r="A291" s="85" t="s">
        <v>125</v>
      </c>
      <c r="B291" s="48">
        <f>_xlfn.XLOOKUP(A291,T_Custos[Produto],T_Custos[Peso])</f>
        <v>1</v>
      </c>
      <c r="C291" s="49" t="str">
        <f>_xlfn.XLOOKUP(A291,T_Custos[Produto],T_Custos[Und])</f>
        <v>dz</v>
      </c>
      <c r="D291" s="1" t="s">
        <v>252</v>
      </c>
      <c r="E291" s="1" t="s">
        <v>261</v>
      </c>
      <c r="F291" s="1" t="s">
        <v>248</v>
      </c>
      <c r="G291" s="1" t="s">
        <v>255</v>
      </c>
      <c r="H291" s="1" t="s">
        <v>258</v>
      </c>
      <c r="I291" s="1" t="s">
        <v>260</v>
      </c>
      <c r="J291" s="1" t="s">
        <v>492</v>
      </c>
      <c r="K291" s="85" t="s">
        <v>552</v>
      </c>
      <c r="L291" s="1" t="s">
        <v>259</v>
      </c>
      <c r="M291" s="1" t="s">
        <v>251</v>
      </c>
      <c r="N291" s="1" t="s">
        <v>257</v>
      </c>
      <c r="O291" s="1" t="s">
        <v>247</v>
      </c>
      <c r="P291" s="1"/>
      <c r="Q291" s="1"/>
      <c r="R291" s="1" t="s">
        <v>256</v>
      </c>
      <c r="S291" s="85" t="s">
        <v>442</v>
      </c>
      <c r="T291" s="85" t="s">
        <v>443</v>
      </c>
      <c r="U291" s="85" t="s">
        <v>444</v>
      </c>
      <c r="V291" s="85" t="s">
        <v>445</v>
      </c>
      <c r="W291" s="85" t="s">
        <v>446</v>
      </c>
      <c r="X291" s="85" t="s">
        <v>452</v>
      </c>
      <c r="Y291" s="85"/>
      <c r="Z291" s="85"/>
      <c r="AA291" s="85" t="s">
        <v>489</v>
      </c>
      <c r="AB291" s="85" t="s">
        <v>490</v>
      </c>
      <c r="AC291" s="85" t="s">
        <v>503</v>
      </c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5"/>
      <c r="AO291" s="1" t="s">
        <v>559</v>
      </c>
      <c r="AP291" s="85" t="s">
        <v>591</v>
      </c>
      <c r="AQ291" s="85" t="s">
        <v>597</v>
      </c>
    </row>
    <row r="292" spans="1:43" x14ac:dyDescent="0.35">
      <c r="A292" s="85" t="s">
        <v>126</v>
      </c>
      <c r="B292" s="48">
        <f>_xlfn.XLOOKUP(A292,T_Custos[Produto],T_Custos[Peso])</f>
        <v>1</v>
      </c>
      <c r="C292" s="49" t="str">
        <f>_xlfn.XLOOKUP(A292,T_Custos[Produto],T_Custos[Und])</f>
        <v>dz</v>
      </c>
      <c r="D292" s="1" t="s">
        <v>252</v>
      </c>
      <c r="E292" s="1" t="s">
        <v>261</v>
      </c>
      <c r="F292" s="1" t="s">
        <v>248</v>
      </c>
      <c r="G292" s="1" t="s">
        <v>255</v>
      </c>
      <c r="H292" s="1" t="s">
        <v>258</v>
      </c>
      <c r="I292" s="1" t="s">
        <v>260</v>
      </c>
      <c r="J292" s="1" t="s">
        <v>492</v>
      </c>
      <c r="K292" s="85" t="s">
        <v>552</v>
      </c>
      <c r="L292" s="1" t="s">
        <v>259</v>
      </c>
      <c r="M292" s="1" t="s">
        <v>251</v>
      </c>
      <c r="N292" s="1" t="s">
        <v>257</v>
      </c>
      <c r="O292" s="1" t="s">
        <v>247</v>
      </c>
      <c r="P292" s="1"/>
      <c r="Q292" s="1"/>
      <c r="R292" s="1" t="s">
        <v>256</v>
      </c>
      <c r="S292" s="85" t="s">
        <v>442</v>
      </c>
      <c r="T292" s="85" t="s">
        <v>443</v>
      </c>
      <c r="U292" s="85" t="s">
        <v>444</v>
      </c>
      <c r="V292" s="85" t="s">
        <v>445</v>
      </c>
      <c r="W292" s="85" t="s">
        <v>446</v>
      </c>
      <c r="X292" s="85" t="s">
        <v>452</v>
      </c>
      <c r="Y292" s="85"/>
      <c r="Z292" s="85"/>
      <c r="AA292" s="85" t="s">
        <v>489</v>
      </c>
      <c r="AB292" s="85" t="s">
        <v>490</v>
      </c>
      <c r="AC292" s="85" t="s">
        <v>503</v>
      </c>
      <c r="AD292" s="85"/>
      <c r="AE292" s="85"/>
      <c r="AF292" s="85"/>
      <c r="AG292" s="85"/>
      <c r="AH292" s="85"/>
      <c r="AI292" s="85"/>
      <c r="AJ292" s="85"/>
      <c r="AK292" s="85"/>
      <c r="AL292" s="85"/>
      <c r="AM292" s="85"/>
      <c r="AN292" s="85"/>
      <c r="AO292" s="1" t="s">
        <v>559</v>
      </c>
      <c r="AP292" s="85" t="s">
        <v>591</v>
      </c>
      <c r="AQ292" s="85" t="s">
        <v>597</v>
      </c>
    </row>
    <row r="293" spans="1:43" x14ac:dyDescent="0.35">
      <c r="A293" s="85" t="s">
        <v>127</v>
      </c>
      <c r="B293" s="48">
        <f>_xlfn.XLOOKUP(A293,T_Custos[Produto],T_Custos[Peso])</f>
        <v>1</v>
      </c>
      <c r="C293" s="49" t="str">
        <f>_xlfn.XLOOKUP(A293,T_Custos[Produto],T_Custos[Und])</f>
        <v>pc</v>
      </c>
      <c r="D293" s="1" t="s">
        <v>252</v>
      </c>
      <c r="E293" s="1" t="s">
        <v>261</v>
      </c>
      <c r="F293" s="1" t="s">
        <v>248</v>
      </c>
      <c r="G293" s="1" t="s">
        <v>255</v>
      </c>
      <c r="H293" s="1" t="s">
        <v>258</v>
      </c>
      <c r="I293" s="1" t="s">
        <v>260</v>
      </c>
      <c r="J293" s="1" t="s">
        <v>492</v>
      </c>
      <c r="K293" s="85" t="s">
        <v>552</v>
      </c>
      <c r="L293" s="1" t="s">
        <v>259</v>
      </c>
      <c r="M293" s="1" t="s">
        <v>251</v>
      </c>
      <c r="N293" s="1" t="s">
        <v>257</v>
      </c>
      <c r="O293" s="1" t="s">
        <v>247</v>
      </c>
      <c r="P293" s="1"/>
      <c r="Q293" s="1"/>
      <c r="R293" s="1" t="s">
        <v>256</v>
      </c>
      <c r="S293" s="85" t="s">
        <v>442</v>
      </c>
      <c r="T293" s="85" t="s">
        <v>443</v>
      </c>
      <c r="U293" s="85" t="s">
        <v>444</v>
      </c>
      <c r="V293" s="85" t="s">
        <v>445</v>
      </c>
      <c r="W293" s="85" t="s">
        <v>446</v>
      </c>
      <c r="X293" s="85" t="s">
        <v>452</v>
      </c>
      <c r="Y293" s="85"/>
      <c r="Z293" s="85"/>
      <c r="AA293" s="85" t="s">
        <v>489</v>
      </c>
      <c r="AB293" s="85" t="s">
        <v>490</v>
      </c>
      <c r="AC293" s="85"/>
      <c r="AD293" s="85" t="s">
        <v>507</v>
      </c>
      <c r="AE293" s="85"/>
      <c r="AF293" s="85"/>
      <c r="AG293" s="85"/>
      <c r="AH293" s="85"/>
      <c r="AI293" s="85"/>
      <c r="AJ293" s="85"/>
      <c r="AK293" s="85"/>
      <c r="AL293" s="85"/>
      <c r="AM293" s="85"/>
      <c r="AN293" s="85"/>
      <c r="AO293" s="1" t="s">
        <v>559</v>
      </c>
      <c r="AP293" s="85" t="s">
        <v>591</v>
      </c>
      <c r="AQ293" s="85" t="s">
        <v>597</v>
      </c>
    </row>
    <row r="294" spans="1:43" x14ac:dyDescent="0.35">
      <c r="A294" s="134" t="s">
        <v>128</v>
      </c>
      <c r="B294" s="48">
        <f>_xlfn.XLOOKUP(A294,T_Custos[Produto],T_Custos[Peso])</f>
        <v>30</v>
      </c>
      <c r="C294" s="49" t="str">
        <f>_xlfn.XLOOKUP(A294,T_Custos[Produto],T_Custos[Und])</f>
        <v>dz</v>
      </c>
      <c r="D294" s="1" t="s">
        <v>252</v>
      </c>
      <c r="E294" s="1" t="s">
        <v>261</v>
      </c>
      <c r="F294" s="1" t="s">
        <v>248</v>
      </c>
      <c r="G294" s="1" t="s">
        <v>255</v>
      </c>
      <c r="H294" s="1" t="s">
        <v>258</v>
      </c>
      <c r="I294" s="1" t="s">
        <v>260</v>
      </c>
      <c r="J294" s="1" t="s">
        <v>492</v>
      </c>
      <c r="K294" s="85" t="s">
        <v>552</v>
      </c>
      <c r="L294" s="1" t="s">
        <v>259</v>
      </c>
      <c r="M294" s="1" t="s">
        <v>251</v>
      </c>
      <c r="N294" s="1" t="s">
        <v>257</v>
      </c>
      <c r="O294" s="1" t="s">
        <v>247</v>
      </c>
      <c r="P294" s="47" t="s">
        <v>253</v>
      </c>
      <c r="Q294" s="47" t="s">
        <v>254</v>
      </c>
      <c r="R294" s="1" t="s">
        <v>256</v>
      </c>
      <c r="S294" s="85" t="s">
        <v>442</v>
      </c>
      <c r="T294" s="85" t="s">
        <v>443</v>
      </c>
      <c r="U294" s="85" t="s">
        <v>444</v>
      </c>
      <c r="V294" s="85" t="s">
        <v>445</v>
      </c>
      <c r="W294" s="85" t="s">
        <v>446</v>
      </c>
      <c r="X294" s="85" t="s">
        <v>452</v>
      </c>
      <c r="Y294" s="85"/>
      <c r="Z294" s="85"/>
      <c r="AA294" s="85" t="s">
        <v>489</v>
      </c>
      <c r="AB294" s="85" t="s">
        <v>490</v>
      </c>
      <c r="AC294" s="85"/>
      <c r="AD294" s="85"/>
      <c r="AE294" s="85"/>
      <c r="AF294" s="85"/>
      <c r="AG294" s="85"/>
      <c r="AH294" s="85"/>
      <c r="AI294" s="85"/>
      <c r="AJ294" s="85"/>
      <c r="AK294" s="85"/>
      <c r="AL294" s="85"/>
      <c r="AM294" s="85"/>
      <c r="AN294" s="85"/>
      <c r="AO294" s="1" t="s">
        <v>559</v>
      </c>
      <c r="AP294" s="85" t="s">
        <v>591</v>
      </c>
      <c r="AQ294" s="85" t="s">
        <v>597</v>
      </c>
    </row>
    <row r="295" spans="1:43" x14ac:dyDescent="0.35">
      <c r="A295" s="134" t="s">
        <v>129</v>
      </c>
      <c r="B295" s="48">
        <f>_xlfn.XLOOKUP(A295,T_Custos[Produto],T_Custos[Peso])</f>
        <v>1</v>
      </c>
      <c r="C295" s="49" t="str">
        <f>_xlfn.XLOOKUP(A295,T_Custos[Produto],T_Custos[Und])</f>
        <v>bd</v>
      </c>
      <c r="D295" s="1" t="s">
        <v>252</v>
      </c>
      <c r="E295" s="1" t="s">
        <v>261</v>
      </c>
      <c r="F295" s="1" t="s">
        <v>248</v>
      </c>
      <c r="G295" s="1" t="s">
        <v>255</v>
      </c>
      <c r="H295" s="1" t="s">
        <v>258</v>
      </c>
      <c r="I295" s="1" t="s">
        <v>260</v>
      </c>
      <c r="J295" s="1" t="s">
        <v>492</v>
      </c>
      <c r="K295" s="85" t="s">
        <v>552</v>
      </c>
      <c r="L295" s="1" t="s">
        <v>259</v>
      </c>
      <c r="M295" s="1" t="s">
        <v>251</v>
      </c>
      <c r="N295" s="1" t="s">
        <v>257</v>
      </c>
      <c r="O295" s="1" t="s">
        <v>247</v>
      </c>
      <c r="P295" s="1"/>
      <c r="Q295" s="1"/>
      <c r="R295" s="1" t="s">
        <v>256</v>
      </c>
      <c r="S295" s="85" t="s">
        <v>442</v>
      </c>
      <c r="T295" s="85" t="s">
        <v>443</v>
      </c>
      <c r="U295" s="85" t="s">
        <v>444</v>
      </c>
      <c r="V295" s="85" t="s">
        <v>445</v>
      </c>
      <c r="W295" s="85" t="s">
        <v>446</v>
      </c>
      <c r="X295" s="85" t="s">
        <v>452</v>
      </c>
      <c r="Y295" s="85"/>
      <c r="Z295" s="85"/>
      <c r="AA295" s="85" t="s">
        <v>489</v>
      </c>
      <c r="AB295" s="85" t="s">
        <v>490</v>
      </c>
      <c r="AC295" s="85"/>
      <c r="AD295" s="85"/>
      <c r="AE295" s="85"/>
      <c r="AF295" s="85"/>
      <c r="AG295" s="85"/>
      <c r="AH295" s="85"/>
      <c r="AI295" s="85"/>
      <c r="AJ295" s="85"/>
      <c r="AK295" s="85"/>
      <c r="AL295" s="85"/>
      <c r="AM295" s="85"/>
      <c r="AN295" s="85"/>
      <c r="AO295" s="1" t="s">
        <v>559</v>
      </c>
      <c r="AP295" s="85" t="s">
        <v>591</v>
      </c>
      <c r="AQ295" s="85" t="s">
        <v>597</v>
      </c>
    </row>
    <row r="296" spans="1:43" x14ac:dyDescent="0.35">
      <c r="A296" s="134" t="s">
        <v>130</v>
      </c>
      <c r="B296" s="48">
        <f>_xlfn.XLOOKUP(A296,T_Custos[Produto],T_Custos[Peso])</f>
        <v>18</v>
      </c>
      <c r="C296" s="49" t="str">
        <f>_xlfn.XLOOKUP(A296,T_Custos[Produto],T_Custos[Und])</f>
        <v>kg</v>
      </c>
      <c r="D296" s="1" t="s">
        <v>252</v>
      </c>
      <c r="E296" s="1" t="s">
        <v>261</v>
      </c>
      <c r="F296" s="1" t="s">
        <v>248</v>
      </c>
      <c r="G296" s="1" t="s">
        <v>255</v>
      </c>
      <c r="H296" s="1" t="s">
        <v>258</v>
      </c>
      <c r="I296" s="1" t="s">
        <v>260</v>
      </c>
      <c r="J296" s="1" t="s">
        <v>492</v>
      </c>
      <c r="K296" s="85" t="s">
        <v>552</v>
      </c>
      <c r="L296" s="1" t="s">
        <v>259</v>
      </c>
      <c r="M296" s="1" t="s">
        <v>251</v>
      </c>
      <c r="N296" s="1" t="s">
        <v>257</v>
      </c>
      <c r="O296" s="1" t="s">
        <v>247</v>
      </c>
      <c r="P296" s="1"/>
      <c r="Q296" s="1"/>
      <c r="R296" s="1" t="s">
        <v>256</v>
      </c>
      <c r="S296" s="85" t="s">
        <v>442</v>
      </c>
      <c r="T296" s="85" t="s">
        <v>443</v>
      </c>
      <c r="U296" s="85" t="s">
        <v>444</v>
      </c>
      <c r="V296" s="85" t="s">
        <v>445</v>
      </c>
      <c r="W296" s="85" t="s">
        <v>446</v>
      </c>
      <c r="X296" s="85" t="s">
        <v>452</v>
      </c>
      <c r="Y296" s="85" t="s">
        <v>463</v>
      </c>
      <c r="Z296" s="85"/>
      <c r="AA296" s="85" t="s">
        <v>489</v>
      </c>
      <c r="AB296" s="85" t="s">
        <v>490</v>
      </c>
      <c r="AC296" s="85" t="s">
        <v>503</v>
      </c>
      <c r="AD296" s="85" t="s">
        <v>507</v>
      </c>
      <c r="AE296" s="85"/>
      <c r="AF296" s="85" t="s">
        <v>515</v>
      </c>
      <c r="AG296" s="85"/>
      <c r="AH296" s="85"/>
      <c r="AI296" s="85" t="s">
        <v>518</v>
      </c>
      <c r="AJ296" s="85"/>
      <c r="AK296" s="85"/>
      <c r="AL296" s="85"/>
      <c r="AM296" s="85" t="s">
        <v>537</v>
      </c>
      <c r="AN296" s="85" t="s">
        <v>538</v>
      </c>
      <c r="AO296" s="1" t="s">
        <v>559</v>
      </c>
      <c r="AP296" s="85" t="s">
        <v>591</v>
      </c>
      <c r="AQ296" s="85" t="s">
        <v>597</v>
      </c>
    </row>
    <row r="297" spans="1:43" x14ac:dyDescent="0.35">
      <c r="A297" s="134" t="s">
        <v>131</v>
      </c>
      <c r="B297" s="48">
        <f>_xlfn.XLOOKUP(A297,T_Custos[Produto],T_Custos[Peso])</f>
        <v>18</v>
      </c>
      <c r="C297" s="49" t="str">
        <f>_xlfn.XLOOKUP(A297,T_Custos[Produto],T_Custos[Und])</f>
        <v>kg</v>
      </c>
      <c r="D297" s="1" t="s">
        <v>252</v>
      </c>
      <c r="E297" s="1" t="s">
        <v>261</v>
      </c>
      <c r="F297" s="1" t="s">
        <v>248</v>
      </c>
      <c r="G297" s="1" t="s">
        <v>255</v>
      </c>
      <c r="H297" s="1" t="s">
        <v>258</v>
      </c>
      <c r="I297" s="1" t="s">
        <v>260</v>
      </c>
      <c r="J297" s="1" t="s">
        <v>492</v>
      </c>
      <c r="K297" s="85" t="s">
        <v>552</v>
      </c>
      <c r="L297" s="1" t="s">
        <v>259</v>
      </c>
      <c r="M297" s="1" t="s">
        <v>251</v>
      </c>
      <c r="N297" s="1" t="s">
        <v>257</v>
      </c>
      <c r="O297" s="1" t="s">
        <v>247</v>
      </c>
      <c r="P297" s="1"/>
      <c r="Q297" s="1"/>
      <c r="R297" s="1" t="s">
        <v>256</v>
      </c>
      <c r="S297" s="85" t="s">
        <v>442</v>
      </c>
      <c r="T297" s="85" t="s">
        <v>443</v>
      </c>
      <c r="U297" s="85" t="s">
        <v>444</v>
      </c>
      <c r="V297" s="85" t="s">
        <v>445</v>
      </c>
      <c r="W297" s="85" t="s">
        <v>446</v>
      </c>
      <c r="X297" s="85" t="s">
        <v>452</v>
      </c>
      <c r="Y297" s="85" t="s">
        <v>463</v>
      </c>
      <c r="Z297" s="85"/>
      <c r="AA297" s="85" t="s">
        <v>489</v>
      </c>
      <c r="AB297" s="85" t="s">
        <v>490</v>
      </c>
      <c r="AC297" s="85"/>
      <c r="AD297" s="85" t="s">
        <v>507</v>
      </c>
      <c r="AE297" s="85"/>
      <c r="AF297" s="85" t="s">
        <v>515</v>
      </c>
      <c r="AG297" s="85"/>
      <c r="AH297" s="85"/>
      <c r="AI297" s="85" t="s">
        <v>518</v>
      </c>
      <c r="AJ297" s="85"/>
      <c r="AK297" s="85"/>
      <c r="AL297" s="85"/>
      <c r="AM297" s="85" t="s">
        <v>537</v>
      </c>
      <c r="AN297" s="85" t="s">
        <v>538</v>
      </c>
      <c r="AO297" s="1" t="s">
        <v>559</v>
      </c>
      <c r="AP297" s="85" t="s">
        <v>591</v>
      </c>
      <c r="AQ297" s="85" t="s">
        <v>597</v>
      </c>
    </row>
    <row r="298" spans="1:43" x14ac:dyDescent="0.35">
      <c r="A298" s="134" t="s">
        <v>387</v>
      </c>
      <c r="B298" s="48">
        <f>_xlfn.XLOOKUP(A298,T_Custos[Produto],T_Custos[Peso])</f>
        <v>1</v>
      </c>
      <c r="C298" s="49" t="str">
        <f>_xlfn.XLOOKUP(A298,T_Custos[Produto],T_Custos[Und])</f>
        <v>und</v>
      </c>
      <c r="D298" s="1"/>
      <c r="E298" s="1"/>
      <c r="F298" s="1"/>
      <c r="G298" s="1"/>
      <c r="H298" s="1"/>
      <c r="I298" s="1"/>
      <c r="J298" s="1"/>
      <c r="K298" s="85"/>
      <c r="L298" s="1"/>
      <c r="M298" s="1"/>
      <c r="N298" s="1"/>
      <c r="O298" s="1"/>
      <c r="P298" s="47" t="s">
        <v>253</v>
      </c>
      <c r="Q298" s="47" t="s">
        <v>254</v>
      </c>
      <c r="R298" s="1"/>
      <c r="S298" s="85" t="s">
        <v>442</v>
      </c>
      <c r="T298" s="85" t="s">
        <v>443</v>
      </c>
      <c r="U298" s="85" t="s">
        <v>444</v>
      </c>
      <c r="V298" s="85" t="s">
        <v>445</v>
      </c>
      <c r="W298" s="85" t="s">
        <v>446</v>
      </c>
      <c r="X298" s="85"/>
      <c r="Y298" s="85"/>
      <c r="Z298" s="85"/>
      <c r="AA298" s="85"/>
      <c r="AB298" s="85"/>
      <c r="AC298" s="85"/>
      <c r="AD298" s="85"/>
      <c r="AE298" s="85"/>
      <c r="AF298" s="85"/>
      <c r="AG298" s="85"/>
      <c r="AH298" s="85"/>
      <c r="AI298" s="85"/>
      <c r="AJ298" s="85"/>
      <c r="AK298" s="85"/>
      <c r="AL298" s="85"/>
      <c r="AM298" s="85"/>
      <c r="AN298" s="85"/>
      <c r="AO298" s="1"/>
      <c r="AP298" s="85"/>
      <c r="AQ298" s="85"/>
    </row>
    <row r="299" spans="1:43" x14ac:dyDescent="0.35">
      <c r="A299" s="85" t="s">
        <v>132</v>
      </c>
      <c r="B299" s="48">
        <f>_xlfn.XLOOKUP(A299,T_Custos[Produto],T_Custos[Peso])</f>
        <v>10</v>
      </c>
      <c r="C299" s="49" t="str">
        <f>_xlfn.XLOOKUP(A299,T_Custos[Produto],T_Custos[Und])</f>
        <v>kg</v>
      </c>
      <c r="D299" s="1" t="s">
        <v>252</v>
      </c>
      <c r="E299" s="1" t="s">
        <v>261</v>
      </c>
      <c r="F299" s="1" t="s">
        <v>248</v>
      </c>
      <c r="G299" s="1" t="s">
        <v>255</v>
      </c>
      <c r="H299" s="1" t="s">
        <v>258</v>
      </c>
      <c r="I299" s="1" t="s">
        <v>260</v>
      </c>
      <c r="J299" s="1" t="s">
        <v>492</v>
      </c>
      <c r="K299" s="85" t="s">
        <v>552</v>
      </c>
      <c r="L299" s="1" t="s">
        <v>259</v>
      </c>
      <c r="M299" s="1" t="s">
        <v>251</v>
      </c>
      <c r="N299" s="1" t="s">
        <v>257</v>
      </c>
      <c r="O299" s="1" t="s">
        <v>247</v>
      </c>
      <c r="P299" s="1"/>
      <c r="Q299" s="1"/>
      <c r="R299" s="1" t="s">
        <v>256</v>
      </c>
      <c r="S299" s="85" t="s">
        <v>442</v>
      </c>
      <c r="T299" s="85" t="s">
        <v>443</v>
      </c>
      <c r="U299" s="85" t="s">
        <v>444</v>
      </c>
      <c r="V299" s="85" t="s">
        <v>445</v>
      </c>
      <c r="W299" s="85" t="s">
        <v>446</v>
      </c>
      <c r="X299" s="85" t="s">
        <v>452</v>
      </c>
      <c r="Y299" s="85"/>
      <c r="Z299" s="85"/>
      <c r="AA299" s="85" t="s">
        <v>489</v>
      </c>
      <c r="AB299" s="85" t="s">
        <v>490</v>
      </c>
      <c r="AC299" s="85" t="s">
        <v>503</v>
      </c>
      <c r="AD299" s="85"/>
      <c r="AE299" s="85"/>
      <c r="AF299" s="85"/>
      <c r="AG299" s="85"/>
      <c r="AH299" s="85"/>
      <c r="AI299" s="85"/>
      <c r="AJ299" s="85"/>
      <c r="AK299" s="85"/>
      <c r="AL299" s="85"/>
      <c r="AM299" s="85" t="s">
        <v>537</v>
      </c>
      <c r="AN299" s="85" t="s">
        <v>538</v>
      </c>
      <c r="AO299" s="1" t="s">
        <v>559</v>
      </c>
      <c r="AP299" s="85" t="s">
        <v>591</v>
      </c>
      <c r="AQ299" s="85" t="s">
        <v>597</v>
      </c>
    </row>
    <row r="300" spans="1:43" x14ac:dyDescent="0.35">
      <c r="A300" s="134" t="s">
        <v>468</v>
      </c>
      <c r="B300" s="48">
        <f>_xlfn.XLOOKUP(A300,T_Custos[Produto],T_Custos[Peso])</f>
        <v>1</v>
      </c>
      <c r="C300" s="49" t="str">
        <f>_xlfn.XLOOKUP(A300,T_Custos[Produto],T_Custos[Und])</f>
        <v>kg</v>
      </c>
      <c r="D300" s="1" t="s">
        <v>252</v>
      </c>
      <c r="E300" s="1" t="s">
        <v>261</v>
      </c>
      <c r="F300" s="1" t="s">
        <v>248</v>
      </c>
      <c r="G300" s="1" t="s">
        <v>255</v>
      </c>
      <c r="H300" s="1" t="s">
        <v>258</v>
      </c>
      <c r="I300" s="1" t="s">
        <v>260</v>
      </c>
      <c r="J300" s="1" t="s">
        <v>492</v>
      </c>
      <c r="K300" s="85" t="s">
        <v>552</v>
      </c>
      <c r="L300" s="1" t="s">
        <v>259</v>
      </c>
      <c r="M300" s="1" t="s">
        <v>251</v>
      </c>
      <c r="N300" s="1" t="s">
        <v>257</v>
      </c>
      <c r="O300" s="1" t="s">
        <v>247</v>
      </c>
      <c r="P300" s="1"/>
      <c r="Q300" s="1"/>
      <c r="R300" s="1" t="s">
        <v>256</v>
      </c>
      <c r="S300" s="85" t="s">
        <v>442</v>
      </c>
      <c r="T300" s="85" t="s">
        <v>443</v>
      </c>
      <c r="U300" s="85" t="s">
        <v>444</v>
      </c>
      <c r="V300" s="85" t="s">
        <v>445</v>
      </c>
      <c r="W300" s="85" t="s">
        <v>446</v>
      </c>
      <c r="X300" s="85" t="s">
        <v>452</v>
      </c>
      <c r="Y300" s="85"/>
      <c r="Z300" s="85"/>
      <c r="AA300" s="85" t="s">
        <v>489</v>
      </c>
      <c r="AB300" s="85" t="s">
        <v>490</v>
      </c>
      <c r="AC300" s="85" t="s">
        <v>503</v>
      </c>
      <c r="AD300" s="85"/>
      <c r="AE300" s="85"/>
      <c r="AF300" s="85"/>
      <c r="AG300" s="85"/>
      <c r="AH300" s="85"/>
      <c r="AI300" s="85"/>
      <c r="AJ300" s="85"/>
      <c r="AK300" s="85"/>
      <c r="AL300" s="85"/>
      <c r="AM300" s="85" t="s">
        <v>537</v>
      </c>
      <c r="AN300" s="85" t="s">
        <v>538</v>
      </c>
      <c r="AO300" s="1" t="s">
        <v>559</v>
      </c>
      <c r="AP300" s="85" t="s">
        <v>591</v>
      </c>
      <c r="AQ300" s="85" t="s">
        <v>597</v>
      </c>
    </row>
    <row r="301" spans="1:43" x14ac:dyDescent="0.35">
      <c r="A301" s="134" t="s">
        <v>467</v>
      </c>
      <c r="B301" s="48">
        <f>_xlfn.XLOOKUP(A301,T_Custos[Produto],T_Custos[Peso])</f>
        <v>18</v>
      </c>
      <c r="C301" s="49" t="str">
        <f>_xlfn.XLOOKUP(A301,T_Custos[Produto],T_Custos[Und])</f>
        <v>kg</v>
      </c>
      <c r="D301" s="1" t="s">
        <v>252</v>
      </c>
      <c r="E301" s="1" t="s">
        <v>261</v>
      </c>
      <c r="F301" s="1" t="s">
        <v>248</v>
      </c>
      <c r="G301" s="1" t="s">
        <v>255</v>
      </c>
      <c r="H301" s="1" t="s">
        <v>258</v>
      </c>
      <c r="I301" s="1" t="s">
        <v>260</v>
      </c>
      <c r="J301" s="1" t="s">
        <v>492</v>
      </c>
      <c r="K301" s="85" t="s">
        <v>552</v>
      </c>
      <c r="L301" s="1" t="s">
        <v>259</v>
      </c>
      <c r="M301" s="1" t="s">
        <v>251</v>
      </c>
      <c r="N301" s="1" t="s">
        <v>257</v>
      </c>
      <c r="O301" s="1" t="s">
        <v>247</v>
      </c>
      <c r="P301" s="1"/>
      <c r="Q301" s="1"/>
      <c r="R301" s="1" t="s">
        <v>256</v>
      </c>
      <c r="S301" s="85" t="s">
        <v>442</v>
      </c>
      <c r="T301" s="85" t="s">
        <v>443</v>
      </c>
      <c r="U301" s="85" t="s">
        <v>444</v>
      </c>
      <c r="V301" s="85" t="s">
        <v>445</v>
      </c>
      <c r="W301" s="85" t="s">
        <v>446</v>
      </c>
      <c r="X301" s="85" t="s">
        <v>452</v>
      </c>
      <c r="Y301" s="85"/>
      <c r="Z301" s="85"/>
      <c r="AA301" s="85" t="s">
        <v>489</v>
      </c>
      <c r="AB301" s="85" t="s">
        <v>490</v>
      </c>
      <c r="AC301" s="85" t="s">
        <v>503</v>
      </c>
      <c r="AD301" s="85"/>
      <c r="AE301" s="85"/>
      <c r="AF301" s="85"/>
      <c r="AG301" s="85"/>
      <c r="AH301" s="85"/>
      <c r="AI301" s="85"/>
      <c r="AJ301" s="85"/>
      <c r="AK301" s="85"/>
      <c r="AL301" s="85"/>
      <c r="AM301" s="85" t="s">
        <v>537</v>
      </c>
      <c r="AN301" s="85" t="s">
        <v>538</v>
      </c>
      <c r="AO301" s="1" t="s">
        <v>559</v>
      </c>
      <c r="AP301" s="85" t="s">
        <v>591</v>
      </c>
      <c r="AQ301" s="85" t="s">
        <v>597</v>
      </c>
    </row>
    <row r="302" spans="1:43" x14ac:dyDescent="0.35">
      <c r="A302" s="134" t="s">
        <v>133</v>
      </c>
      <c r="B302" s="48">
        <f>_xlfn.XLOOKUP(A302,T_Custos[Produto],T_Custos[Peso])</f>
        <v>9</v>
      </c>
      <c r="C302" s="49" t="str">
        <f>_xlfn.XLOOKUP(A302,T_Custos[Produto],T_Custos[Und])</f>
        <v>kg</v>
      </c>
      <c r="D302" s="1" t="s">
        <v>252</v>
      </c>
      <c r="E302" s="1" t="s">
        <v>261</v>
      </c>
      <c r="F302" s="1" t="s">
        <v>248</v>
      </c>
      <c r="G302" s="1" t="s">
        <v>255</v>
      </c>
      <c r="H302" s="1" t="s">
        <v>258</v>
      </c>
      <c r="I302" s="1" t="s">
        <v>260</v>
      </c>
      <c r="J302" s="1" t="s">
        <v>492</v>
      </c>
      <c r="K302" s="85" t="s">
        <v>552</v>
      </c>
      <c r="L302" s="1" t="s">
        <v>259</v>
      </c>
      <c r="M302" s="1" t="s">
        <v>251</v>
      </c>
      <c r="N302" s="1" t="s">
        <v>257</v>
      </c>
      <c r="O302" s="1" t="s">
        <v>247</v>
      </c>
      <c r="P302" s="1"/>
      <c r="Q302" s="1"/>
      <c r="R302" s="1" t="s">
        <v>256</v>
      </c>
      <c r="S302" s="85" t="s">
        <v>442</v>
      </c>
      <c r="T302" s="85" t="s">
        <v>443</v>
      </c>
      <c r="U302" s="85" t="s">
        <v>444</v>
      </c>
      <c r="V302" s="85" t="s">
        <v>445</v>
      </c>
      <c r="W302" s="85" t="s">
        <v>446</v>
      </c>
      <c r="X302" s="85" t="s">
        <v>452</v>
      </c>
      <c r="Y302" s="85"/>
      <c r="Z302" s="85"/>
      <c r="AA302" s="85" t="s">
        <v>489</v>
      </c>
      <c r="AB302" s="85" t="s">
        <v>490</v>
      </c>
      <c r="AC302" s="85" t="s">
        <v>503</v>
      </c>
      <c r="AD302" s="85"/>
      <c r="AE302" s="85"/>
      <c r="AF302" s="85"/>
      <c r="AG302" s="85"/>
      <c r="AH302" s="85"/>
      <c r="AI302" s="85"/>
      <c r="AJ302" s="85"/>
      <c r="AK302" s="85"/>
      <c r="AL302" s="85"/>
      <c r="AM302" s="85" t="s">
        <v>537</v>
      </c>
      <c r="AN302" s="85" t="s">
        <v>538</v>
      </c>
      <c r="AO302" s="1" t="s">
        <v>559</v>
      </c>
      <c r="AP302" s="85" t="s">
        <v>591</v>
      </c>
      <c r="AQ302" s="85" t="s">
        <v>597</v>
      </c>
    </row>
    <row r="303" spans="1:43" x14ac:dyDescent="0.35">
      <c r="A303" s="134" t="s">
        <v>388</v>
      </c>
      <c r="B303" s="48">
        <f>_xlfn.XLOOKUP(A303,T_Custos[Produto],T_Custos[Peso])</f>
        <v>1</v>
      </c>
      <c r="C303" s="49" t="str">
        <f>_xlfn.XLOOKUP(A303,T_Custos[Produto],T_Custos[Und])</f>
        <v>und</v>
      </c>
      <c r="D303" s="1"/>
      <c r="E303" s="1"/>
      <c r="F303" s="1"/>
      <c r="G303" s="1"/>
      <c r="H303" s="1"/>
      <c r="I303" s="1"/>
      <c r="J303" s="1"/>
      <c r="K303" s="85"/>
      <c r="L303" s="1"/>
      <c r="M303" s="1"/>
      <c r="N303" s="1"/>
      <c r="O303" s="1"/>
      <c r="P303" s="47" t="s">
        <v>253</v>
      </c>
      <c r="Q303" s="47" t="s">
        <v>254</v>
      </c>
      <c r="R303" s="1"/>
      <c r="S303" s="85" t="s">
        <v>442</v>
      </c>
      <c r="T303" s="85" t="s">
        <v>443</v>
      </c>
      <c r="U303" s="85" t="s">
        <v>444</v>
      </c>
      <c r="V303" s="85" t="s">
        <v>445</v>
      </c>
      <c r="W303" s="85" t="s">
        <v>446</v>
      </c>
      <c r="X303" s="85"/>
      <c r="Y303" s="85"/>
      <c r="Z303" s="85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5"/>
      <c r="AO303" s="1"/>
      <c r="AP303" s="85"/>
      <c r="AQ303" s="85"/>
    </row>
    <row r="304" spans="1:43" x14ac:dyDescent="0.35">
      <c r="A304" s="85" t="s">
        <v>134</v>
      </c>
      <c r="B304" s="48">
        <f>_xlfn.XLOOKUP(A304,T_Custos[Produto],T_Custos[Peso])</f>
        <v>18</v>
      </c>
      <c r="C304" s="49" t="str">
        <f>_xlfn.XLOOKUP(A304,T_Custos[Produto],T_Custos[Und])</f>
        <v>kg</v>
      </c>
      <c r="D304" s="1" t="s">
        <v>252</v>
      </c>
      <c r="E304" s="1" t="s">
        <v>261</v>
      </c>
      <c r="F304" s="1" t="s">
        <v>248</v>
      </c>
      <c r="G304" s="1" t="s">
        <v>255</v>
      </c>
      <c r="H304" s="1" t="s">
        <v>258</v>
      </c>
      <c r="I304" s="1" t="s">
        <v>260</v>
      </c>
      <c r="J304" s="1" t="s">
        <v>492</v>
      </c>
      <c r="K304" s="85" t="s">
        <v>552</v>
      </c>
      <c r="L304" s="1" t="s">
        <v>259</v>
      </c>
      <c r="M304" s="1" t="s">
        <v>251</v>
      </c>
      <c r="N304" s="1" t="s">
        <v>257</v>
      </c>
      <c r="O304" s="1" t="s">
        <v>247</v>
      </c>
      <c r="P304" s="1"/>
      <c r="Q304" s="1"/>
      <c r="R304" s="1" t="s">
        <v>256</v>
      </c>
      <c r="S304" s="85" t="s">
        <v>442</v>
      </c>
      <c r="T304" s="85" t="s">
        <v>443</v>
      </c>
      <c r="U304" s="85" t="s">
        <v>444</v>
      </c>
      <c r="V304" s="85" t="s">
        <v>445</v>
      </c>
      <c r="W304" s="85" t="s">
        <v>446</v>
      </c>
      <c r="X304" s="85" t="s">
        <v>452</v>
      </c>
      <c r="Y304" s="85"/>
      <c r="Z304" s="85"/>
      <c r="AA304" s="85" t="s">
        <v>489</v>
      </c>
      <c r="AB304" s="85" t="s">
        <v>490</v>
      </c>
      <c r="AC304" s="85"/>
      <c r="AD304" s="85"/>
      <c r="AE304" s="85"/>
      <c r="AF304" s="85"/>
      <c r="AG304" s="85"/>
      <c r="AH304" s="85"/>
      <c r="AI304" s="85"/>
      <c r="AJ304" s="85"/>
      <c r="AK304" s="85"/>
      <c r="AL304" s="85"/>
      <c r="AM304" s="85" t="s">
        <v>537</v>
      </c>
      <c r="AN304" s="85" t="s">
        <v>538</v>
      </c>
      <c r="AO304" s="1" t="s">
        <v>559</v>
      </c>
      <c r="AP304" s="85" t="s">
        <v>591</v>
      </c>
      <c r="AQ304" s="85" t="s">
        <v>597</v>
      </c>
    </row>
    <row r="305" spans="1:43" x14ac:dyDescent="0.35">
      <c r="A305" s="134" t="s">
        <v>135</v>
      </c>
      <c r="B305" s="48">
        <f>_xlfn.XLOOKUP(A305,T_Custos[Produto],T_Custos[Peso])</f>
        <v>18</v>
      </c>
      <c r="C305" s="49" t="str">
        <f>_xlfn.XLOOKUP(A305,T_Custos[Produto],T_Custos[Und])</f>
        <v>kg</v>
      </c>
      <c r="D305" s="1" t="s">
        <v>252</v>
      </c>
      <c r="E305" s="1" t="s">
        <v>261</v>
      </c>
      <c r="F305" s="1" t="s">
        <v>248</v>
      </c>
      <c r="G305" s="1" t="s">
        <v>255</v>
      </c>
      <c r="H305" s="1" t="s">
        <v>258</v>
      </c>
      <c r="I305" s="1" t="s">
        <v>260</v>
      </c>
      <c r="J305" s="1" t="s">
        <v>492</v>
      </c>
      <c r="K305" s="85" t="s">
        <v>552</v>
      </c>
      <c r="L305" s="1" t="s">
        <v>259</v>
      </c>
      <c r="M305" s="1" t="s">
        <v>251</v>
      </c>
      <c r="N305" s="1" t="s">
        <v>257</v>
      </c>
      <c r="O305" s="1" t="s">
        <v>247</v>
      </c>
      <c r="P305" s="1"/>
      <c r="Q305" s="1"/>
      <c r="R305" s="1" t="s">
        <v>256</v>
      </c>
      <c r="S305" s="85" t="s">
        <v>442</v>
      </c>
      <c r="T305" s="85" t="s">
        <v>443</v>
      </c>
      <c r="U305" s="85" t="s">
        <v>444</v>
      </c>
      <c r="V305" s="85" t="s">
        <v>445</v>
      </c>
      <c r="W305" s="85" t="s">
        <v>446</v>
      </c>
      <c r="X305" s="85" t="s">
        <v>452</v>
      </c>
      <c r="Y305" s="85"/>
      <c r="Z305" s="85"/>
      <c r="AA305" s="85" t="s">
        <v>489</v>
      </c>
      <c r="AB305" s="85" t="s">
        <v>490</v>
      </c>
      <c r="AC305" s="85" t="s">
        <v>503</v>
      </c>
      <c r="AD305" s="85"/>
      <c r="AE305" s="85"/>
      <c r="AF305" s="85"/>
      <c r="AG305" s="85"/>
      <c r="AH305" s="85"/>
      <c r="AI305" s="85"/>
      <c r="AJ305" s="85"/>
      <c r="AK305" s="85"/>
      <c r="AL305" s="85"/>
      <c r="AM305" s="85" t="s">
        <v>537</v>
      </c>
      <c r="AN305" s="85" t="s">
        <v>538</v>
      </c>
      <c r="AO305" s="1" t="s">
        <v>559</v>
      </c>
      <c r="AP305" s="85" t="s">
        <v>591</v>
      </c>
      <c r="AQ305" s="85" t="s">
        <v>597</v>
      </c>
    </row>
    <row r="306" spans="1:43" x14ac:dyDescent="0.35">
      <c r="A306" s="134" t="s">
        <v>136</v>
      </c>
      <c r="B306" s="48">
        <f>_xlfn.XLOOKUP(A306,T_Custos[Produto],T_Custos[Peso])</f>
        <v>8</v>
      </c>
      <c r="C306" s="49" t="str">
        <f>_xlfn.XLOOKUP(A306,T_Custos[Produto],T_Custos[Und])</f>
        <v>kg</v>
      </c>
      <c r="D306" s="1" t="s">
        <v>252</v>
      </c>
      <c r="E306" s="1" t="s">
        <v>261</v>
      </c>
      <c r="F306" s="1" t="s">
        <v>248</v>
      </c>
      <c r="G306" s="1" t="s">
        <v>255</v>
      </c>
      <c r="H306" s="1" t="s">
        <v>258</v>
      </c>
      <c r="I306" s="1" t="s">
        <v>260</v>
      </c>
      <c r="J306" s="1" t="s">
        <v>492</v>
      </c>
      <c r="K306" s="85" t="s">
        <v>552</v>
      </c>
      <c r="L306" s="1" t="s">
        <v>259</v>
      </c>
      <c r="M306" s="1" t="s">
        <v>251</v>
      </c>
      <c r="N306" s="1" t="s">
        <v>257</v>
      </c>
      <c r="O306" s="1" t="s">
        <v>247</v>
      </c>
      <c r="P306" s="1"/>
      <c r="Q306" s="1"/>
      <c r="R306" s="1" t="s">
        <v>256</v>
      </c>
      <c r="S306" s="85" t="s">
        <v>442</v>
      </c>
      <c r="T306" s="85" t="s">
        <v>443</v>
      </c>
      <c r="U306" s="85" t="s">
        <v>444</v>
      </c>
      <c r="V306" s="85" t="s">
        <v>445</v>
      </c>
      <c r="W306" s="85" t="s">
        <v>446</v>
      </c>
      <c r="X306" s="85" t="s">
        <v>452</v>
      </c>
      <c r="Y306" s="85"/>
      <c r="Z306" s="85"/>
      <c r="AA306" s="85" t="s">
        <v>489</v>
      </c>
      <c r="AB306" s="85" t="s">
        <v>490</v>
      </c>
      <c r="AC306" s="85"/>
      <c r="AD306" s="85"/>
      <c r="AE306" s="85"/>
      <c r="AF306" s="85"/>
      <c r="AG306" s="85"/>
      <c r="AH306" s="85"/>
      <c r="AI306" s="85"/>
      <c r="AJ306" s="85"/>
      <c r="AK306" s="85"/>
      <c r="AL306" s="85"/>
      <c r="AM306" s="85" t="s">
        <v>537</v>
      </c>
      <c r="AN306" s="85" t="s">
        <v>538</v>
      </c>
      <c r="AO306" s="1" t="s">
        <v>559</v>
      </c>
      <c r="AP306" s="85" t="s">
        <v>591</v>
      </c>
      <c r="AQ306" s="85" t="s">
        <v>597</v>
      </c>
    </row>
    <row r="307" spans="1:43" x14ac:dyDescent="0.35">
      <c r="A307" s="134" t="s">
        <v>137</v>
      </c>
      <c r="B307" s="48">
        <f>_xlfn.XLOOKUP(A307,T_Custos[Produto],T_Custos[Peso])</f>
        <v>6</v>
      </c>
      <c r="C307" s="49" t="str">
        <f>_xlfn.XLOOKUP(A307,T_Custos[Produto],T_Custos[Und])</f>
        <v>kg</v>
      </c>
      <c r="D307" s="1" t="s">
        <v>252</v>
      </c>
      <c r="E307" s="1" t="s">
        <v>261</v>
      </c>
      <c r="F307" s="1" t="s">
        <v>248</v>
      </c>
      <c r="G307" s="1" t="s">
        <v>255</v>
      </c>
      <c r="H307" s="1" t="s">
        <v>258</v>
      </c>
      <c r="I307" s="1" t="s">
        <v>260</v>
      </c>
      <c r="J307" s="1" t="s">
        <v>492</v>
      </c>
      <c r="K307" s="85" t="s">
        <v>552</v>
      </c>
      <c r="L307" s="1" t="s">
        <v>259</v>
      </c>
      <c r="M307" s="1" t="s">
        <v>251</v>
      </c>
      <c r="N307" s="1" t="s">
        <v>257</v>
      </c>
      <c r="O307" s="1" t="s">
        <v>247</v>
      </c>
      <c r="P307" s="1"/>
      <c r="Q307" s="1"/>
      <c r="R307" s="1" t="s">
        <v>256</v>
      </c>
      <c r="S307" s="85" t="s">
        <v>442</v>
      </c>
      <c r="T307" s="85" t="s">
        <v>443</v>
      </c>
      <c r="U307" s="85" t="s">
        <v>444</v>
      </c>
      <c r="V307" s="85" t="s">
        <v>445</v>
      </c>
      <c r="W307" s="85" t="s">
        <v>446</v>
      </c>
      <c r="X307" s="85" t="s">
        <v>452</v>
      </c>
      <c r="Y307" s="85"/>
      <c r="Z307" s="85"/>
      <c r="AA307" s="85" t="s">
        <v>489</v>
      </c>
      <c r="AB307" s="85" t="s">
        <v>490</v>
      </c>
      <c r="AC307" s="85"/>
      <c r="AD307" s="85"/>
      <c r="AE307" s="85"/>
      <c r="AF307" s="85"/>
      <c r="AG307" s="85"/>
      <c r="AH307" s="85"/>
      <c r="AI307" s="85"/>
      <c r="AJ307" s="85"/>
      <c r="AK307" s="85"/>
      <c r="AL307" s="85"/>
      <c r="AM307" s="85" t="s">
        <v>537</v>
      </c>
      <c r="AN307" s="85" t="s">
        <v>538</v>
      </c>
      <c r="AO307" s="1" t="s">
        <v>559</v>
      </c>
      <c r="AP307" s="85" t="s">
        <v>591</v>
      </c>
      <c r="AQ307" s="85" t="s">
        <v>597</v>
      </c>
    </row>
    <row r="308" spans="1:43" x14ac:dyDescent="0.35">
      <c r="A308" s="134" t="s">
        <v>501</v>
      </c>
      <c r="B308" s="48">
        <f>_xlfn.XLOOKUP(A308,T_Custos[Produto],T_Custos[Peso])</f>
        <v>1</v>
      </c>
      <c r="C308" s="49" t="str">
        <f>_xlfn.XLOOKUP(A308,T_Custos[Produto],T_Custos[Und])</f>
        <v>bd</v>
      </c>
      <c r="D308" s="1"/>
      <c r="E308" s="1"/>
      <c r="F308" s="1"/>
      <c r="G308" s="1"/>
      <c r="H308" s="1"/>
      <c r="I308" s="1"/>
      <c r="J308" s="1"/>
      <c r="K308" s="85"/>
      <c r="L308" s="1"/>
      <c r="M308" s="1"/>
      <c r="N308" s="1"/>
      <c r="O308" s="1"/>
      <c r="P308" s="47" t="s">
        <v>253</v>
      </c>
      <c r="Q308" s="47" t="s">
        <v>254</v>
      </c>
      <c r="R308" s="1"/>
      <c r="S308" s="85"/>
      <c r="T308" s="85"/>
      <c r="U308" s="85"/>
      <c r="V308" s="85"/>
      <c r="W308" s="85"/>
      <c r="X308" s="85"/>
      <c r="Y308" s="85"/>
      <c r="Z308" s="85"/>
      <c r="AA308" s="85"/>
      <c r="AB308" s="85"/>
      <c r="AC308" s="85"/>
      <c r="AD308" s="85"/>
      <c r="AE308" s="85"/>
      <c r="AF308" s="85"/>
      <c r="AG308" s="85"/>
      <c r="AH308" s="85"/>
      <c r="AI308" s="85"/>
      <c r="AJ308" s="85"/>
      <c r="AK308" s="85"/>
      <c r="AL308" s="85"/>
      <c r="AM308" s="85"/>
      <c r="AN308" s="85"/>
      <c r="AO308" s="1"/>
      <c r="AP308" s="85"/>
      <c r="AQ308" s="85"/>
    </row>
    <row r="309" spans="1:43" x14ac:dyDescent="0.35">
      <c r="A309" s="134" t="s">
        <v>547</v>
      </c>
      <c r="B309" s="145">
        <f>_xlfn.XLOOKUP(A309,T_Custos[Produto],T_Custos[Peso])</f>
        <v>8</v>
      </c>
      <c r="C309" s="146" t="str">
        <f>_xlfn.XLOOKUP(A309,T_Custos[Produto],T_Custos[Und])</f>
        <v>bd</v>
      </c>
      <c r="D309" s="1"/>
      <c r="E309" s="1"/>
      <c r="F309" s="1"/>
      <c r="G309" s="1"/>
      <c r="H309" s="1"/>
      <c r="I309" s="1"/>
      <c r="J309" s="1"/>
      <c r="K309" s="85"/>
      <c r="L309" s="1"/>
      <c r="M309" s="1"/>
      <c r="N309" s="1"/>
      <c r="O309" s="1"/>
      <c r="P309" s="1"/>
      <c r="Q309" s="1"/>
      <c r="R309" s="1"/>
      <c r="S309" s="85"/>
      <c r="T309" s="85"/>
      <c r="U309" s="85"/>
      <c r="V309" s="85"/>
      <c r="W309" s="85"/>
      <c r="X309" s="85"/>
      <c r="Y309" s="85"/>
      <c r="Z309" s="85"/>
      <c r="AA309" s="85"/>
      <c r="AB309" s="85"/>
      <c r="AC309" s="85"/>
      <c r="AD309" s="85"/>
      <c r="AE309" s="85"/>
      <c r="AF309" s="85"/>
      <c r="AG309" s="85"/>
      <c r="AH309" s="85"/>
      <c r="AI309" s="85"/>
      <c r="AJ309" s="85"/>
      <c r="AK309" s="85"/>
      <c r="AL309" s="85"/>
      <c r="AM309" s="85"/>
      <c r="AN309" s="85"/>
      <c r="AO309" s="1"/>
      <c r="AP309" s="85"/>
      <c r="AQ309" s="85"/>
    </row>
    <row r="310" spans="1:43" x14ac:dyDescent="0.35">
      <c r="A310" s="85" t="s">
        <v>138</v>
      </c>
      <c r="B310" s="48">
        <f>_xlfn.XLOOKUP(A310,T_Custos[Produto],T_Custos[Peso])</f>
        <v>1</v>
      </c>
      <c r="C310" s="49" t="str">
        <f>_xlfn.XLOOKUP(A310,T_Custos[Produto],T_Custos[Und])</f>
        <v>kg</v>
      </c>
      <c r="D310" s="1" t="s">
        <v>252</v>
      </c>
      <c r="E310" s="1" t="s">
        <v>261</v>
      </c>
      <c r="F310" s="1" t="s">
        <v>248</v>
      </c>
      <c r="G310" s="1" t="s">
        <v>255</v>
      </c>
      <c r="H310" s="1" t="s">
        <v>258</v>
      </c>
      <c r="I310" s="1" t="s">
        <v>260</v>
      </c>
      <c r="J310" s="1" t="s">
        <v>492</v>
      </c>
      <c r="K310" s="85" t="s">
        <v>552</v>
      </c>
      <c r="L310" s="1" t="s">
        <v>259</v>
      </c>
      <c r="M310" s="1" t="s">
        <v>251</v>
      </c>
      <c r="N310" s="1" t="s">
        <v>257</v>
      </c>
      <c r="O310" s="1" t="s">
        <v>247</v>
      </c>
      <c r="P310" s="1"/>
      <c r="Q310" s="1"/>
      <c r="R310" s="1" t="s">
        <v>256</v>
      </c>
      <c r="S310" s="85" t="s">
        <v>442</v>
      </c>
      <c r="T310" s="85" t="s">
        <v>443</v>
      </c>
      <c r="U310" s="85" t="s">
        <v>444</v>
      </c>
      <c r="V310" s="85" t="s">
        <v>445</v>
      </c>
      <c r="W310" s="85" t="s">
        <v>446</v>
      </c>
      <c r="X310" s="85" t="s">
        <v>452</v>
      </c>
      <c r="Y310" s="85"/>
      <c r="Z310" s="85"/>
      <c r="AA310" s="85" t="s">
        <v>489</v>
      </c>
      <c r="AB310" s="85" t="s">
        <v>490</v>
      </c>
      <c r="AC310" s="85"/>
      <c r="AD310" s="85"/>
      <c r="AE310" s="85"/>
      <c r="AF310" s="85"/>
      <c r="AG310" s="85"/>
      <c r="AH310" s="85"/>
      <c r="AI310" s="85"/>
      <c r="AJ310" s="85"/>
      <c r="AK310" s="85"/>
      <c r="AL310" s="85"/>
      <c r="AM310" s="85"/>
      <c r="AN310" s="85"/>
      <c r="AO310" s="1" t="s">
        <v>559</v>
      </c>
      <c r="AP310" s="85" t="s">
        <v>591</v>
      </c>
      <c r="AQ310" s="85" t="s">
        <v>597</v>
      </c>
    </row>
    <row r="311" spans="1:43" x14ac:dyDescent="0.35">
      <c r="A311" s="85" t="s">
        <v>139</v>
      </c>
      <c r="B311" s="48">
        <f>_xlfn.XLOOKUP(A311,T_Custos[Produto],T_Custos[Peso])</f>
        <v>1</v>
      </c>
      <c r="C311" s="49" t="str">
        <f>_xlfn.XLOOKUP(A311,T_Custos[Produto],T_Custos[Und])</f>
        <v>kg</v>
      </c>
      <c r="D311" s="1" t="s">
        <v>252</v>
      </c>
      <c r="E311" s="1" t="s">
        <v>261</v>
      </c>
      <c r="F311" s="1" t="s">
        <v>248</v>
      </c>
      <c r="G311" s="1" t="s">
        <v>255</v>
      </c>
      <c r="H311" s="1" t="s">
        <v>258</v>
      </c>
      <c r="I311" s="1" t="s">
        <v>260</v>
      </c>
      <c r="J311" s="1" t="s">
        <v>492</v>
      </c>
      <c r="K311" s="85" t="s">
        <v>552</v>
      </c>
      <c r="L311" s="1" t="s">
        <v>259</v>
      </c>
      <c r="M311" s="1" t="s">
        <v>251</v>
      </c>
      <c r="N311" s="1" t="s">
        <v>257</v>
      </c>
      <c r="O311" s="1" t="s">
        <v>247</v>
      </c>
      <c r="P311" s="1"/>
      <c r="Q311" s="1"/>
      <c r="R311" s="1" t="s">
        <v>256</v>
      </c>
      <c r="S311" s="85" t="s">
        <v>442</v>
      </c>
      <c r="T311" s="85" t="s">
        <v>443</v>
      </c>
      <c r="U311" s="85" t="s">
        <v>444</v>
      </c>
      <c r="V311" s="85" t="s">
        <v>445</v>
      </c>
      <c r="W311" s="85" t="s">
        <v>446</v>
      </c>
      <c r="X311" s="85" t="s">
        <v>452</v>
      </c>
      <c r="Y311" s="85"/>
      <c r="Z311" s="85"/>
      <c r="AA311" s="85" t="s">
        <v>489</v>
      </c>
      <c r="AB311" s="85" t="s">
        <v>490</v>
      </c>
      <c r="AC311" s="85"/>
      <c r="AD311" s="85"/>
      <c r="AE311" s="85"/>
      <c r="AF311" s="85"/>
      <c r="AG311" s="85"/>
      <c r="AH311" s="85"/>
      <c r="AI311" s="85"/>
      <c r="AJ311" s="85"/>
      <c r="AK311" s="85"/>
      <c r="AL311" s="85"/>
      <c r="AM311" s="85"/>
      <c r="AN311" s="85"/>
      <c r="AO311" s="1" t="s">
        <v>559</v>
      </c>
      <c r="AP311" s="85" t="s">
        <v>591</v>
      </c>
      <c r="AQ311" s="85" t="s">
        <v>597</v>
      </c>
    </row>
    <row r="312" spans="1:43" x14ac:dyDescent="0.35">
      <c r="A312" s="85" t="s">
        <v>140</v>
      </c>
      <c r="B312" s="48">
        <f>_xlfn.XLOOKUP(A312,T_Custos[Produto],T_Custos[Peso])</f>
        <v>1</v>
      </c>
      <c r="C312" s="49" t="str">
        <f>_xlfn.XLOOKUP(A312,T_Custos[Produto],T_Custos[Und])</f>
        <v>kg</v>
      </c>
      <c r="D312" s="1" t="s">
        <v>252</v>
      </c>
      <c r="E312" s="1" t="s">
        <v>261</v>
      </c>
      <c r="F312" s="1" t="s">
        <v>248</v>
      </c>
      <c r="G312" s="1" t="s">
        <v>255</v>
      </c>
      <c r="H312" s="1" t="s">
        <v>258</v>
      </c>
      <c r="I312" s="1" t="s">
        <v>260</v>
      </c>
      <c r="J312" s="1" t="s">
        <v>492</v>
      </c>
      <c r="K312" s="85" t="s">
        <v>552</v>
      </c>
      <c r="L312" s="1" t="s">
        <v>259</v>
      </c>
      <c r="M312" s="1" t="s">
        <v>251</v>
      </c>
      <c r="N312" s="1" t="s">
        <v>257</v>
      </c>
      <c r="O312" s="1" t="s">
        <v>247</v>
      </c>
      <c r="P312" s="1"/>
      <c r="Q312" s="1"/>
      <c r="R312" s="1" t="s">
        <v>256</v>
      </c>
      <c r="S312" s="85" t="s">
        <v>442</v>
      </c>
      <c r="T312" s="85" t="s">
        <v>443</v>
      </c>
      <c r="U312" s="85" t="s">
        <v>444</v>
      </c>
      <c r="V312" s="85" t="s">
        <v>445</v>
      </c>
      <c r="W312" s="85" t="s">
        <v>446</v>
      </c>
      <c r="X312" s="85" t="s">
        <v>452</v>
      </c>
      <c r="Y312" s="85"/>
      <c r="Z312" s="85"/>
      <c r="AA312" s="85" t="s">
        <v>489</v>
      </c>
      <c r="AB312" s="85" t="s">
        <v>490</v>
      </c>
      <c r="AC312" s="85"/>
      <c r="AD312" s="85"/>
      <c r="AE312" s="85"/>
      <c r="AF312" s="85"/>
      <c r="AG312" s="85"/>
      <c r="AH312" s="85"/>
      <c r="AI312" s="85"/>
      <c r="AJ312" s="85"/>
      <c r="AK312" s="85"/>
      <c r="AL312" s="85"/>
      <c r="AM312" s="85"/>
      <c r="AN312" s="85"/>
      <c r="AO312" s="1" t="s">
        <v>559</v>
      </c>
      <c r="AP312" s="85" t="s">
        <v>591</v>
      </c>
      <c r="AQ312" s="85" t="s">
        <v>597</v>
      </c>
    </row>
    <row r="313" spans="1:43" x14ac:dyDescent="0.35">
      <c r="A313" s="85" t="s">
        <v>141</v>
      </c>
      <c r="B313" s="48">
        <f>_xlfn.XLOOKUP(A313,T_Custos[Produto],T_Custos[Peso])</f>
        <v>1</v>
      </c>
      <c r="C313" s="49" t="str">
        <f>_xlfn.XLOOKUP(A313,T_Custos[Produto],T_Custos[Und])</f>
        <v>kg</v>
      </c>
      <c r="D313" s="1" t="s">
        <v>252</v>
      </c>
      <c r="E313" s="1" t="s">
        <v>261</v>
      </c>
      <c r="F313" s="1" t="s">
        <v>248</v>
      </c>
      <c r="G313" s="1" t="s">
        <v>255</v>
      </c>
      <c r="H313" s="1" t="s">
        <v>258</v>
      </c>
      <c r="I313" s="1" t="s">
        <v>260</v>
      </c>
      <c r="J313" s="1" t="s">
        <v>492</v>
      </c>
      <c r="K313" s="85" t="s">
        <v>552</v>
      </c>
      <c r="L313" s="1" t="s">
        <v>259</v>
      </c>
      <c r="M313" s="1" t="s">
        <v>251</v>
      </c>
      <c r="N313" s="1" t="s">
        <v>257</v>
      </c>
      <c r="O313" s="1" t="s">
        <v>247</v>
      </c>
      <c r="P313" s="1"/>
      <c r="Q313" s="1"/>
      <c r="R313" s="1" t="s">
        <v>256</v>
      </c>
      <c r="S313" s="85" t="s">
        <v>442</v>
      </c>
      <c r="T313" s="85" t="s">
        <v>443</v>
      </c>
      <c r="U313" s="85" t="s">
        <v>444</v>
      </c>
      <c r="V313" s="85" t="s">
        <v>445</v>
      </c>
      <c r="W313" s="85" t="s">
        <v>446</v>
      </c>
      <c r="X313" s="85" t="s">
        <v>452</v>
      </c>
      <c r="Y313" s="85"/>
      <c r="Z313" s="85"/>
      <c r="AA313" s="85" t="s">
        <v>489</v>
      </c>
      <c r="AB313" s="85" t="s">
        <v>490</v>
      </c>
      <c r="AC313" s="85"/>
      <c r="AD313" s="85"/>
      <c r="AE313" s="85"/>
      <c r="AF313" s="85"/>
      <c r="AG313" s="85"/>
      <c r="AH313" s="85"/>
      <c r="AI313" s="85"/>
      <c r="AJ313" s="85"/>
      <c r="AK313" s="85"/>
      <c r="AL313" s="85"/>
      <c r="AM313" s="85"/>
      <c r="AN313" s="85"/>
      <c r="AO313" s="1" t="s">
        <v>559</v>
      </c>
      <c r="AP313" s="85" t="s">
        <v>591</v>
      </c>
      <c r="AQ313" s="85" t="s">
        <v>597</v>
      </c>
    </row>
    <row r="314" spans="1:43" x14ac:dyDescent="0.35">
      <c r="A314" s="134" t="s">
        <v>429</v>
      </c>
      <c r="B314" s="48">
        <f>_xlfn.XLOOKUP(A314,T_Custos[Produto],T_Custos[Peso])</f>
        <v>1</v>
      </c>
      <c r="C314" s="49" t="str">
        <f>_xlfn.XLOOKUP(A314,T_Custos[Produto],T_Custos[Und])</f>
        <v>bd</v>
      </c>
      <c r="D314" s="1"/>
      <c r="E314" s="1"/>
      <c r="F314" s="1"/>
      <c r="G314" s="1"/>
      <c r="H314" s="1"/>
      <c r="I314" s="1"/>
      <c r="J314" s="1"/>
      <c r="K314" s="85"/>
      <c r="L314" s="1"/>
      <c r="M314" s="1"/>
      <c r="N314" s="1"/>
      <c r="O314" s="1"/>
      <c r="P314" s="47" t="s">
        <v>253</v>
      </c>
      <c r="Q314" s="47" t="s">
        <v>254</v>
      </c>
      <c r="R314" s="1"/>
      <c r="S314" s="85" t="s">
        <v>442</v>
      </c>
      <c r="T314" s="85" t="s">
        <v>443</v>
      </c>
      <c r="U314" s="85" t="s">
        <v>444</v>
      </c>
      <c r="V314" s="85" t="s">
        <v>445</v>
      </c>
      <c r="W314" s="85" t="s">
        <v>446</v>
      </c>
      <c r="X314" s="85" t="s">
        <v>452</v>
      </c>
      <c r="Y314" s="85"/>
      <c r="Z314" s="85"/>
      <c r="AA314" s="85"/>
      <c r="AB314" s="85"/>
      <c r="AC314" s="85"/>
      <c r="AD314" s="85"/>
      <c r="AE314" s="85"/>
      <c r="AF314" s="85"/>
      <c r="AG314" s="85"/>
      <c r="AH314" s="85"/>
      <c r="AI314" s="85"/>
      <c r="AJ314" s="85"/>
      <c r="AK314" s="85"/>
      <c r="AL314" s="85"/>
      <c r="AM314" s="85"/>
      <c r="AN314" s="85"/>
      <c r="AO314" s="1"/>
      <c r="AP314" s="85"/>
      <c r="AQ314" s="85"/>
    </row>
    <row r="315" spans="1:43" x14ac:dyDescent="0.35">
      <c r="A315" s="134" t="s">
        <v>142</v>
      </c>
      <c r="B315" s="48">
        <f>_xlfn.XLOOKUP(A315,T_Custos[Produto],T_Custos[Peso])</f>
        <v>1</v>
      </c>
      <c r="C315" s="49" t="str">
        <f>_xlfn.XLOOKUP(A315,T_Custos[Produto],T_Custos[Und])</f>
        <v>kg</v>
      </c>
      <c r="D315" s="1" t="s">
        <v>252</v>
      </c>
      <c r="E315" s="1" t="s">
        <v>261</v>
      </c>
      <c r="F315" s="1" t="s">
        <v>248</v>
      </c>
      <c r="G315" s="1" t="s">
        <v>255</v>
      </c>
      <c r="H315" s="1" t="s">
        <v>258</v>
      </c>
      <c r="I315" s="1" t="s">
        <v>260</v>
      </c>
      <c r="J315" s="1" t="s">
        <v>492</v>
      </c>
      <c r="K315" s="85" t="s">
        <v>552</v>
      </c>
      <c r="L315" s="1" t="s">
        <v>259</v>
      </c>
      <c r="M315" s="1" t="s">
        <v>251</v>
      </c>
      <c r="N315" s="1" t="s">
        <v>257</v>
      </c>
      <c r="O315" s="1" t="s">
        <v>247</v>
      </c>
      <c r="P315" s="1"/>
      <c r="Q315" s="1"/>
      <c r="R315" s="1" t="s">
        <v>256</v>
      </c>
      <c r="S315" s="85" t="s">
        <v>442</v>
      </c>
      <c r="T315" s="85" t="s">
        <v>443</v>
      </c>
      <c r="U315" s="85" t="s">
        <v>444</v>
      </c>
      <c r="V315" s="85" t="s">
        <v>445</v>
      </c>
      <c r="W315" s="85" t="s">
        <v>446</v>
      </c>
      <c r="X315" s="85" t="s">
        <v>452</v>
      </c>
      <c r="Y315" s="85"/>
      <c r="Z315" s="85"/>
      <c r="AA315" s="85" t="s">
        <v>489</v>
      </c>
      <c r="AB315" s="85" t="s">
        <v>490</v>
      </c>
      <c r="AC315" s="85"/>
      <c r="AD315" s="85"/>
      <c r="AE315" s="85" t="s">
        <v>509</v>
      </c>
      <c r="AF315" s="85"/>
      <c r="AG315" s="85"/>
      <c r="AH315" s="85"/>
      <c r="AI315" s="85" t="s">
        <v>518</v>
      </c>
      <c r="AJ315" s="85" t="s">
        <v>519</v>
      </c>
      <c r="AK315" s="85"/>
      <c r="AL315" s="85" t="s">
        <v>521</v>
      </c>
      <c r="AM315" s="85"/>
      <c r="AN315" s="85"/>
      <c r="AO315" s="1" t="s">
        <v>559</v>
      </c>
      <c r="AP315" s="85" t="s">
        <v>591</v>
      </c>
      <c r="AQ315" s="85" t="s">
        <v>597</v>
      </c>
    </row>
    <row r="316" spans="1:43" x14ac:dyDescent="0.35">
      <c r="A316" s="134" t="s">
        <v>430</v>
      </c>
      <c r="B316" s="48">
        <f>_xlfn.XLOOKUP(A316,T_Custos[Produto],T_Custos[Peso])</f>
        <v>1</v>
      </c>
      <c r="C316" s="49" t="str">
        <f>_xlfn.XLOOKUP(A316,T_Custos[Produto],T_Custos[Und])</f>
        <v>bd</v>
      </c>
      <c r="D316" s="1"/>
      <c r="E316" s="1"/>
      <c r="F316" s="1"/>
      <c r="G316" s="1"/>
      <c r="H316" s="1"/>
      <c r="I316" s="1"/>
      <c r="J316" s="1"/>
      <c r="K316" s="85"/>
      <c r="L316" s="1"/>
      <c r="M316" s="1"/>
      <c r="N316" s="1"/>
      <c r="O316" s="1"/>
      <c r="P316" s="47" t="s">
        <v>253</v>
      </c>
      <c r="Q316" s="47" t="s">
        <v>254</v>
      </c>
      <c r="R316" s="1"/>
      <c r="S316" s="85" t="s">
        <v>442</v>
      </c>
      <c r="T316" s="85" t="s">
        <v>443</v>
      </c>
      <c r="U316" s="85" t="s">
        <v>444</v>
      </c>
      <c r="V316" s="85" t="s">
        <v>445</v>
      </c>
      <c r="W316" s="85" t="s">
        <v>446</v>
      </c>
      <c r="X316" s="85" t="s">
        <v>452</v>
      </c>
      <c r="Y316" s="85"/>
      <c r="Z316" s="85"/>
      <c r="AA316" s="85"/>
      <c r="AB316" s="85"/>
      <c r="AC316" s="85"/>
      <c r="AD316" s="85"/>
      <c r="AE316" s="85"/>
      <c r="AF316" s="85"/>
      <c r="AG316" s="85"/>
      <c r="AH316" s="85"/>
      <c r="AI316" s="85"/>
      <c r="AJ316" s="85"/>
      <c r="AK316" s="85"/>
      <c r="AL316" s="85"/>
      <c r="AM316" s="85"/>
      <c r="AN316" s="85"/>
      <c r="AO316" s="1"/>
      <c r="AP316" s="85"/>
      <c r="AQ316" s="85"/>
    </row>
    <row r="317" spans="1:43" x14ac:dyDescent="0.35">
      <c r="A317" s="85" t="s">
        <v>143</v>
      </c>
      <c r="B317" s="48">
        <f>_xlfn.XLOOKUP(A317,T_Custos[Produto],T_Custos[Peso])</f>
        <v>1</v>
      </c>
      <c r="C317" s="49" t="str">
        <f>_xlfn.XLOOKUP(A317,T_Custos[Produto],T_Custos[Und])</f>
        <v>kg</v>
      </c>
      <c r="D317" s="1" t="s">
        <v>252</v>
      </c>
      <c r="E317" s="1" t="s">
        <v>261</v>
      </c>
      <c r="F317" s="1" t="s">
        <v>248</v>
      </c>
      <c r="G317" s="1" t="s">
        <v>255</v>
      </c>
      <c r="H317" s="1" t="s">
        <v>258</v>
      </c>
      <c r="I317" s="1" t="s">
        <v>260</v>
      </c>
      <c r="J317" s="1" t="s">
        <v>492</v>
      </c>
      <c r="K317" s="85" t="s">
        <v>552</v>
      </c>
      <c r="L317" s="1" t="s">
        <v>259</v>
      </c>
      <c r="M317" s="1" t="s">
        <v>251</v>
      </c>
      <c r="N317" s="1" t="s">
        <v>257</v>
      </c>
      <c r="O317" s="1" t="s">
        <v>247</v>
      </c>
      <c r="P317" s="1"/>
      <c r="Q317" s="1"/>
      <c r="R317" s="1" t="s">
        <v>256</v>
      </c>
      <c r="S317" s="85" t="s">
        <v>442</v>
      </c>
      <c r="T317" s="85" t="s">
        <v>443</v>
      </c>
      <c r="U317" s="85" t="s">
        <v>444</v>
      </c>
      <c r="V317" s="85" t="s">
        <v>445</v>
      </c>
      <c r="W317" s="85" t="s">
        <v>446</v>
      </c>
      <c r="X317" s="85" t="s">
        <v>452</v>
      </c>
      <c r="Y317" s="85"/>
      <c r="Z317" s="85"/>
      <c r="AA317" s="85" t="s">
        <v>489</v>
      </c>
      <c r="AB317" s="85" t="s">
        <v>490</v>
      </c>
      <c r="AC317" s="85"/>
      <c r="AD317" s="85"/>
      <c r="AE317" s="85"/>
      <c r="AF317" s="85"/>
      <c r="AG317" s="85"/>
      <c r="AH317" s="85"/>
      <c r="AI317" s="85"/>
      <c r="AJ317" s="85"/>
      <c r="AK317" s="85"/>
      <c r="AL317" s="85"/>
      <c r="AM317" s="85"/>
      <c r="AN317" s="85"/>
      <c r="AO317" s="1" t="s">
        <v>559</v>
      </c>
      <c r="AP317" s="85" t="s">
        <v>591</v>
      </c>
      <c r="AQ317" s="85" t="s">
        <v>597</v>
      </c>
    </row>
    <row r="318" spans="1:43" x14ac:dyDescent="0.35">
      <c r="A318" s="85" t="s">
        <v>144</v>
      </c>
      <c r="B318" s="48">
        <f>_xlfn.XLOOKUP(A318,T_Custos[Produto],T_Custos[Peso])</f>
        <v>1</v>
      </c>
      <c r="C318" s="49" t="str">
        <f>_xlfn.XLOOKUP(A318,T_Custos[Produto],T_Custos[Und])</f>
        <v>kg</v>
      </c>
      <c r="D318" s="1" t="s">
        <v>252</v>
      </c>
      <c r="E318" s="1" t="s">
        <v>261</v>
      </c>
      <c r="F318" s="1" t="s">
        <v>248</v>
      </c>
      <c r="G318" s="1" t="s">
        <v>255</v>
      </c>
      <c r="H318" s="1" t="s">
        <v>258</v>
      </c>
      <c r="I318" s="1" t="s">
        <v>260</v>
      </c>
      <c r="J318" s="1" t="s">
        <v>492</v>
      </c>
      <c r="K318" s="85" t="s">
        <v>552</v>
      </c>
      <c r="L318" s="1" t="s">
        <v>259</v>
      </c>
      <c r="M318" s="1" t="s">
        <v>251</v>
      </c>
      <c r="N318" s="1" t="s">
        <v>257</v>
      </c>
      <c r="O318" s="1" t="s">
        <v>247</v>
      </c>
      <c r="P318" s="1"/>
      <c r="Q318" s="1"/>
      <c r="R318" s="1" t="s">
        <v>256</v>
      </c>
      <c r="S318" s="85" t="s">
        <v>442</v>
      </c>
      <c r="T318" s="85" t="s">
        <v>443</v>
      </c>
      <c r="U318" s="85" t="s">
        <v>444</v>
      </c>
      <c r="V318" s="85" t="s">
        <v>445</v>
      </c>
      <c r="W318" s="85" t="s">
        <v>446</v>
      </c>
      <c r="X318" s="85" t="s">
        <v>452</v>
      </c>
      <c r="Y318" s="85"/>
      <c r="Z318" s="85"/>
      <c r="AA318" s="85" t="s">
        <v>489</v>
      </c>
      <c r="AB318" s="85" t="s">
        <v>490</v>
      </c>
      <c r="AC318" s="85"/>
      <c r="AD318" s="85"/>
      <c r="AE318" s="85"/>
      <c r="AF318" s="85"/>
      <c r="AG318" s="85"/>
      <c r="AH318" s="85"/>
      <c r="AI318" s="85"/>
      <c r="AJ318" s="85"/>
      <c r="AK318" s="85"/>
      <c r="AL318" s="85"/>
      <c r="AM318" s="85"/>
      <c r="AN318" s="85"/>
      <c r="AO318" s="1" t="s">
        <v>559</v>
      </c>
      <c r="AP318" s="85" t="s">
        <v>591</v>
      </c>
      <c r="AQ318" s="85" t="s">
        <v>597</v>
      </c>
    </row>
    <row r="319" spans="1:43" x14ac:dyDescent="0.35">
      <c r="A319" s="134" t="s">
        <v>145</v>
      </c>
      <c r="B319" s="48">
        <f>_xlfn.XLOOKUP(A319,T_Custos[Produto],T_Custos[Peso])</f>
        <v>1</v>
      </c>
      <c r="C319" s="49" t="str">
        <f>_xlfn.XLOOKUP(A319,T_Custos[Produto],T_Custos[Und])</f>
        <v>kg</v>
      </c>
      <c r="D319" s="1" t="s">
        <v>252</v>
      </c>
      <c r="E319" s="1" t="s">
        <v>261</v>
      </c>
      <c r="F319" s="1" t="s">
        <v>248</v>
      </c>
      <c r="G319" s="1" t="s">
        <v>255</v>
      </c>
      <c r="H319" s="1" t="s">
        <v>258</v>
      </c>
      <c r="I319" s="1" t="s">
        <v>260</v>
      </c>
      <c r="J319" s="1" t="s">
        <v>492</v>
      </c>
      <c r="K319" s="85" t="s">
        <v>552</v>
      </c>
      <c r="L319" s="1" t="s">
        <v>259</v>
      </c>
      <c r="M319" s="1" t="s">
        <v>251</v>
      </c>
      <c r="N319" s="1" t="s">
        <v>257</v>
      </c>
      <c r="O319" s="1" t="s">
        <v>247</v>
      </c>
      <c r="P319" s="1"/>
      <c r="Q319" s="1"/>
      <c r="R319" s="1" t="s">
        <v>256</v>
      </c>
      <c r="S319" s="85" t="s">
        <v>442</v>
      </c>
      <c r="T319" s="85" t="s">
        <v>443</v>
      </c>
      <c r="U319" s="85" t="s">
        <v>444</v>
      </c>
      <c r="V319" s="85" t="s">
        <v>445</v>
      </c>
      <c r="W319" s="85" t="s">
        <v>446</v>
      </c>
      <c r="X319" s="85" t="s">
        <v>452</v>
      </c>
      <c r="Y319" s="85"/>
      <c r="Z319" s="85"/>
      <c r="AA319" s="85" t="s">
        <v>489</v>
      </c>
      <c r="AB319" s="85" t="s">
        <v>490</v>
      </c>
      <c r="AC319" s="85"/>
      <c r="AD319" s="85"/>
      <c r="AE319" s="85"/>
      <c r="AF319" s="85"/>
      <c r="AG319" s="85"/>
      <c r="AH319" s="85"/>
      <c r="AI319" s="85"/>
      <c r="AJ319" s="85"/>
      <c r="AK319" s="85"/>
      <c r="AL319" s="85"/>
      <c r="AM319" s="85"/>
      <c r="AN319" s="85"/>
      <c r="AO319" s="1" t="s">
        <v>559</v>
      </c>
      <c r="AP319" s="85" t="s">
        <v>591</v>
      </c>
      <c r="AQ319" s="85" t="s">
        <v>597</v>
      </c>
    </row>
    <row r="320" spans="1:43" x14ac:dyDescent="0.35">
      <c r="A320" s="134" t="s">
        <v>431</v>
      </c>
      <c r="B320" s="48">
        <f>_xlfn.XLOOKUP(A320,T_Custos[Produto],T_Custos[Peso])</f>
        <v>1</v>
      </c>
      <c r="C320" s="49" t="str">
        <f>_xlfn.XLOOKUP(A320,T_Custos[Produto],T_Custos[Und])</f>
        <v>bd</v>
      </c>
      <c r="D320" s="1"/>
      <c r="E320" s="1"/>
      <c r="F320" s="1"/>
      <c r="G320" s="1"/>
      <c r="H320" s="1"/>
      <c r="I320" s="1"/>
      <c r="J320" s="1"/>
      <c r="K320" s="85"/>
      <c r="L320" s="1"/>
      <c r="M320" s="1"/>
      <c r="N320" s="1"/>
      <c r="O320" s="1"/>
      <c r="P320" s="47" t="s">
        <v>253</v>
      </c>
      <c r="Q320" s="47" t="s">
        <v>254</v>
      </c>
      <c r="R320" s="1"/>
      <c r="S320" s="85" t="s">
        <v>442</v>
      </c>
      <c r="T320" s="85" t="s">
        <v>443</v>
      </c>
      <c r="U320" s="85" t="s">
        <v>444</v>
      </c>
      <c r="V320" s="85" t="s">
        <v>445</v>
      </c>
      <c r="W320" s="85" t="s">
        <v>446</v>
      </c>
      <c r="X320" s="85" t="s">
        <v>452</v>
      </c>
      <c r="Y320" s="85"/>
      <c r="Z320" s="85"/>
      <c r="AA320" s="85"/>
      <c r="AB320" s="85"/>
      <c r="AC320" s="85"/>
      <c r="AD320" s="85"/>
      <c r="AE320" s="85"/>
      <c r="AF320" s="85"/>
      <c r="AG320" s="85"/>
      <c r="AH320" s="85"/>
      <c r="AI320" s="85"/>
      <c r="AJ320" s="85"/>
      <c r="AK320" s="85"/>
      <c r="AL320" s="85"/>
      <c r="AM320" s="85"/>
      <c r="AN320" s="85"/>
      <c r="AO320" s="1"/>
      <c r="AP320" s="85"/>
      <c r="AQ320" s="85"/>
    </row>
    <row r="321" spans="1:43" x14ac:dyDescent="0.35">
      <c r="A321" s="134" t="s">
        <v>146</v>
      </c>
      <c r="B321" s="48">
        <f>_xlfn.XLOOKUP(A321,T_Custos[Produto],T_Custos[Peso])</f>
        <v>10</v>
      </c>
      <c r="C321" s="49" t="str">
        <f>_xlfn.XLOOKUP(A321,T_Custos[Produto],T_Custos[Und])</f>
        <v>kg</v>
      </c>
      <c r="D321" s="1" t="s">
        <v>252</v>
      </c>
      <c r="E321" s="1" t="s">
        <v>261</v>
      </c>
      <c r="F321" s="1" t="s">
        <v>248</v>
      </c>
      <c r="G321" s="1" t="s">
        <v>255</v>
      </c>
      <c r="H321" s="1" t="s">
        <v>258</v>
      </c>
      <c r="I321" s="1" t="s">
        <v>260</v>
      </c>
      <c r="J321" s="1" t="s">
        <v>492</v>
      </c>
      <c r="K321" s="85" t="s">
        <v>552</v>
      </c>
      <c r="L321" s="1" t="s">
        <v>259</v>
      </c>
      <c r="M321" s="1" t="s">
        <v>251</v>
      </c>
      <c r="N321" s="1" t="s">
        <v>257</v>
      </c>
      <c r="O321" s="1" t="s">
        <v>247</v>
      </c>
      <c r="P321" s="1"/>
      <c r="Q321" s="1"/>
      <c r="R321" s="1" t="s">
        <v>256</v>
      </c>
      <c r="S321" s="85" t="s">
        <v>442</v>
      </c>
      <c r="T321" s="85" t="s">
        <v>443</v>
      </c>
      <c r="U321" s="85" t="s">
        <v>444</v>
      </c>
      <c r="V321" s="85" t="s">
        <v>445</v>
      </c>
      <c r="W321" s="85" t="s">
        <v>446</v>
      </c>
      <c r="X321" s="85" t="s">
        <v>452</v>
      </c>
      <c r="Y321" s="85" t="s">
        <v>463</v>
      </c>
      <c r="Z321" s="85"/>
      <c r="AA321" s="85" t="s">
        <v>489</v>
      </c>
      <c r="AB321" s="85" t="s">
        <v>490</v>
      </c>
      <c r="AC321" s="85"/>
      <c r="AD321" s="85" t="s">
        <v>507</v>
      </c>
      <c r="AE321" s="85" t="s">
        <v>509</v>
      </c>
      <c r="AF321" s="85" t="s">
        <v>515</v>
      </c>
      <c r="AG321" s="85"/>
      <c r="AH321" s="85" t="s">
        <v>517</v>
      </c>
      <c r="AI321" s="85" t="s">
        <v>518</v>
      </c>
      <c r="AJ321" s="85" t="s">
        <v>519</v>
      </c>
      <c r="AK321" s="85" t="s">
        <v>520</v>
      </c>
      <c r="AL321" s="85" t="s">
        <v>521</v>
      </c>
      <c r="AM321" s="85" t="s">
        <v>537</v>
      </c>
      <c r="AN321" s="85" t="s">
        <v>538</v>
      </c>
      <c r="AO321" s="1" t="s">
        <v>559</v>
      </c>
      <c r="AP321" s="85" t="s">
        <v>591</v>
      </c>
      <c r="AQ321" s="85" t="s">
        <v>597</v>
      </c>
    </row>
    <row r="322" spans="1:43" x14ac:dyDescent="0.35">
      <c r="A322" s="134" t="s">
        <v>389</v>
      </c>
      <c r="B322" s="48">
        <f>_xlfn.XLOOKUP(A322,T_Custos[Produto],T_Custos[Peso])</f>
        <v>1</v>
      </c>
      <c r="C322" s="49" t="str">
        <f>_xlfn.XLOOKUP(A322,T_Custos[Produto],T_Custos[Und])</f>
        <v>und</v>
      </c>
      <c r="D322" s="1"/>
      <c r="E322" s="1"/>
      <c r="F322" s="1"/>
      <c r="G322" s="1"/>
      <c r="H322" s="1"/>
      <c r="I322" s="1"/>
      <c r="J322" s="1"/>
      <c r="K322" s="85"/>
      <c r="L322" s="1"/>
      <c r="M322" s="1"/>
      <c r="N322" s="1"/>
      <c r="O322" s="1"/>
      <c r="P322" s="47" t="s">
        <v>253</v>
      </c>
      <c r="Q322" s="47" t="s">
        <v>254</v>
      </c>
      <c r="R322" s="1"/>
      <c r="S322" s="85" t="s">
        <v>442</v>
      </c>
      <c r="T322" s="85" t="s">
        <v>443</v>
      </c>
      <c r="U322" s="85" t="s">
        <v>444</v>
      </c>
      <c r="V322" s="85" t="s">
        <v>445</v>
      </c>
      <c r="W322" s="85" t="s">
        <v>446</v>
      </c>
      <c r="X322" s="85"/>
      <c r="Y322" s="85"/>
      <c r="Z322" s="85"/>
      <c r="AA322" s="85"/>
      <c r="AB322" s="85"/>
      <c r="AC322" s="85"/>
      <c r="AD322" s="85"/>
      <c r="AE322" s="85"/>
      <c r="AF322" s="85"/>
      <c r="AG322" s="85"/>
      <c r="AH322" s="85"/>
      <c r="AI322" s="85"/>
      <c r="AJ322" s="85"/>
      <c r="AK322" s="85"/>
      <c r="AL322" s="85"/>
      <c r="AM322" s="85"/>
      <c r="AN322" s="85"/>
      <c r="AO322" s="1"/>
      <c r="AP322" s="85"/>
      <c r="AQ322" s="85"/>
    </row>
    <row r="323" spans="1:43" x14ac:dyDescent="0.35">
      <c r="A323" s="134" t="s">
        <v>147</v>
      </c>
      <c r="B323" s="48">
        <f>_xlfn.XLOOKUP(A323,T_Custos[Produto],T_Custos[Peso])</f>
        <v>10</v>
      </c>
      <c r="C323" s="49" t="str">
        <f>_xlfn.XLOOKUP(A323,T_Custos[Produto],T_Custos[Und])</f>
        <v>kg</v>
      </c>
      <c r="D323" s="1" t="s">
        <v>252</v>
      </c>
      <c r="E323" s="1" t="s">
        <v>261</v>
      </c>
      <c r="F323" s="1" t="s">
        <v>248</v>
      </c>
      <c r="G323" s="1" t="s">
        <v>255</v>
      </c>
      <c r="H323" s="1" t="s">
        <v>258</v>
      </c>
      <c r="I323" s="1" t="s">
        <v>260</v>
      </c>
      <c r="J323" s="1" t="s">
        <v>492</v>
      </c>
      <c r="K323" s="85" t="s">
        <v>552</v>
      </c>
      <c r="L323" s="1" t="s">
        <v>259</v>
      </c>
      <c r="M323" s="1" t="s">
        <v>251</v>
      </c>
      <c r="N323" s="1" t="s">
        <v>257</v>
      </c>
      <c r="O323" s="1" t="s">
        <v>247</v>
      </c>
      <c r="P323" s="1"/>
      <c r="Q323" s="1"/>
      <c r="R323" s="1" t="s">
        <v>256</v>
      </c>
      <c r="S323" s="85" t="s">
        <v>442</v>
      </c>
      <c r="T323" s="85" t="s">
        <v>443</v>
      </c>
      <c r="U323" s="85" t="s">
        <v>444</v>
      </c>
      <c r="V323" s="85" t="s">
        <v>445</v>
      </c>
      <c r="W323" s="85" t="s">
        <v>446</v>
      </c>
      <c r="X323" s="85" t="s">
        <v>452</v>
      </c>
      <c r="Y323" s="85" t="s">
        <v>463</v>
      </c>
      <c r="Z323" s="85" t="s">
        <v>465</v>
      </c>
      <c r="AA323" s="85" t="s">
        <v>489</v>
      </c>
      <c r="AB323" s="85" t="s">
        <v>490</v>
      </c>
      <c r="AC323" s="85" t="s">
        <v>503</v>
      </c>
      <c r="AD323" s="85" t="s">
        <v>507</v>
      </c>
      <c r="AE323" s="85" t="s">
        <v>509</v>
      </c>
      <c r="AF323" s="85" t="s">
        <v>515</v>
      </c>
      <c r="AG323" s="85"/>
      <c r="AH323" s="85" t="s">
        <v>517</v>
      </c>
      <c r="AI323" s="85" t="s">
        <v>518</v>
      </c>
      <c r="AJ323" s="85" t="s">
        <v>519</v>
      </c>
      <c r="AK323" s="85" t="s">
        <v>520</v>
      </c>
      <c r="AL323" s="85" t="s">
        <v>521</v>
      </c>
      <c r="AM323" s="85" t="s">
        <v>537</v>
      </c>
      <c r="AN323" s="85" t="s">
        <v>538</v>
      </c>
      <c r="AO323" s="1" t="s">
        <v>559</v>
      </c>
      <c r="AP323" s="85" t="s">
        <v>591</v>
      </c>
      <c r="AQ323" s="85" t="s">
        <v>597</v>
      </c>
    </row>
    <row r="324" spans="1:43" x14ac:dyDescent="0.35">
      <c r="A324" s="134" t="s">
        <v>390</v>
      </c>
      <c r="B324" s="48">
        <f>_xlfn.XLOOKUP(A324,T_Custos[Produto],T_Custos[Peso])</f>
        <v>1</v>
      </c>
      <c r="C324" s="49" t="str">
        <f>_xlfn.XLOOKUP(A324,T_Custos[Produto],T_Custos[Und])</f>
        <v>und</v>
      </c>
      <c r="D324" s="1"/>
      <c r="E324" s="1"/>
      <c r="F324" s="1"/>
      <c r="G324" s="1"/>
      <c r="H324" s="1"/>
      <c r="I324" s="1"/>
      <c r="J324" s="1"/>
      <c r="K324" s="85"/>
      <c r="L324" s="1"/>
      <c r="M324" s="1"/>
      <c r="N324" s="1"/>
      <c r="O324" s="1"/>
      <c r="P324" s="47" t="s">
        <v>253</v>
      </c>
      <c r="Q324" s="47" t="s">
        <v>254</v>
      </c>
      <c r="R324" s="1"/>
      <c r="S324" s="85" t="s">
        <v>442</v>
      </c>
      <c r="T324" s="85" t="s">
        <v>443</v>
      </c>
      <c r="U324" s="85" t="s">
        <v>444</v>
      </c>
      <c r="V324" s="85" t="s">
        <v>445</v>
      </c>
      <c r="W324" s="85" t="s">
        <v>446</v>
      </c>
      <c r="X324" s="85"/>
      <c r="Y324" s="85"/>
      <c r="Z324" s="85"/>
      <c r="AA324" s="85"/>
      <c r="AB324" s="85"/>
      <c r="AC324" s="85"/>
      <c r="AD324" s="85"/>
      <c r="AE324" s="85"/>
      <c r="AF324" s="85"/>
      <c r="AG324" s="85"/>
      <c r="AH324" s="85"/>
      <c r="AI324" s="85"/>
      <c r="AJ324" s="85"/>
      <c r="AK324" s="85"/>
      <c r="AL324" s="85"/>
      <c r="AM324" s="85"/>
      <c r="AN324" s="85"/>
      <c r="AO324" s="1"/>
      <c r="AP324" s="85"/>
      <c r="AQ324" s="85"/>
    </row>
    <row r="325" spans="1:43" x14ac:dyDescent="0.35">
      <c r="A325" s="134" t="s">
        <v>148</v>
      </c>
      <c r="B325" s="48">
        <f>_xlfn.XLOOKUP(A325,T_Custos[Produto],T_Custos[Peso])</f>
        <v>10</v>
      </c>
      <c r="C325" s="49" t="str">
        <f>_xlfn.XLOOKUP(A325,T_Custos[Produto],T_Custos[Und])</f>
        <v>kg</v>
      </c>
      <c r="D325" s="1" t="s">
        <v>252</v>
      </c>
      <c r="E325" s="1" t="s">
        <v>261</v>
      </c>
      <c r="F325" s="1" t="s">
        <v>248</v>
      </c>
      <c r="G325" s="1" t="s">
        <v>255</v>
      </c>
      <c r="H325" s="1" t="s">
        <v>258</v>
      </c>
      <c r="I325" s="1" t="s">
        <v>260</v>
      </c>
      <c r="J325" s="1" t="s">
        <v>492</v>
      </c>
      <c r="K325" s="85" t="s">
        <v>552</v>
      </c>
      <c r="L325" s="1" t="s">
        <v>259</v>
      </c>
      <c r="M325" s="1" t="s">
        <v>251</v>
      </c>
      <c r="N325" s="1" t="s">
        <v>257</v>
      </c>
      <c r="O325" s="1" t="s">
        <v>247</v>
      </c>
      <c r="P325" s="1"/>
      <c r="Q325" s="1"/>
      <c r="R325" s="1" t="s">
        <v>256</v>
      </c>
      <c r="S325" s="85" t="s">
        <v>442</v>
      </c>
      <c r="T325" s="85" t="s">
        <v>443</v>
      </c>
      <c r="U325" s="85" t="s">
        <v>444</v>
      </c>
      <c r="V325" s="85" t="s">
        <v>445</v>
      </c>
      <c r="W325" s="85" t="s">
        <v>446</v>
      </c>
      <c r="X325" s="85" t="s">
        <v>452</v>
      </c>
      <c r="Y325" s="85" t="s">
        <v>463</v>
      </c>
      <c r="Z325" s="85"/>
      <c r="AA325" s="85" t="s">
        <v>489</v>
      </c>
      <c r="AB325" s="85" t="s">
        <v>490</v>
      </c>
      <c r="AC325" s="85"/>
      <c r="AD325" s="85" t="s">
        <v>507</v>
      </c>
      <c r="AE325" s="85" t="s">
        <v>509</v>
      </c>
      <c r="AF325" s="85" t="s">
        <v>515</v>
      </c>
      <c r="AG325" s="85"/>
      <c r="AH325" s="85" t="s">
        <v>517</v>
      </c>
      <c r="AI325" s="85" t="s">
        <v>518</v>
      </c>
      <c r="AJ325" s="85" t="s">
        <v>519</v>
      </c>
      <c r="AK325" s="85" t="s">
        <v>520</v>
      </c>
      <c r="AL325" s="85" t="s">
        <v>521</v>
      </c>
      <c r="AM325" s="85" t="s">
        <v>537</v>
      </c>
      <c r="AN325" s="85" t="s">
        <v>538</v>
      </c>
      <c r="AO325" s="1" t="s">
        <v>559</v>
      </c>
      <c r="AP325" s="85" t="s">
        <v>591</v>
      </c>
      <c r="AQ325" s="85" t="s">
        <v>597</v>
      </c>
    </row>
    <row r="326" spans="1:43" x14ac:dyDescent="0.35">
      <c r="A326" s="134" t="s">
        <v>391</v>
      </c>
      <c r="B326" s="48">
        <f>_xlfn.XLOOKUP(A326,T_Custos[Produto],T_Custos[Peso])</f>
        <v>1</v>
      </c>
      <c r="C326" s="49" t="str">
        <f>_xlfn.XLOOKUP(A326,T_Custos[Produto],T_Custos[Und])</f>
        <v>und</v>
      </c>
      <c r="D326" s="1"/>
      <c r="E326" s="1"/>
      <c r="F326" s="1"/>
      <c r="G326" s="1"/>
      <c r="H326" s="1"/>
      <c r="I326" s="1"/>
      <c r="J326" s="1"/>
      <c r="K326" s="85"/>
      <c r="L326" s="1"/>
      <c r="M326" s="1"/>
      <c r="N326" s="1"/>
      <c r="O326" s="1"/>
      <c r="P326" s="47" t="s">
        <v>253</v>
      </c>
      <c r="Q326" s="47" t="s">
        <v>254</v>
      </c>
      <c r="R326" s="1"/>
      <c r="S326" s="85" t="s">
        <v>442</v>
      </c>
      <c r="T326" s="85" t="s">
        <v>443</v>
      </c>
      <c r="U326" s="85" t="s">
        <v>444</v>
      </c>
      <c r="V326" s="85" t="s">
        <v>445</v>
      </c>
      <c r="W326" s="85" t="s">
        <v>446</v>
      </c>
      <c r="X326" s="85"/>
      <c r="Y326" s="85"/>
      <c r="Z326" s="85"/>
      <c r="AA326" s="85"/>
      <c r="AB326" s="85"/>
      <c r="AC326" s="85"/>
      <c r="AD326" s="85"/>
      <c r="AE326" s="85"/>
      <c r="AF326" s="85"/>
      <c r="AG326" s="85"/>
      <c r="AH326" s="85"/>
      <c r="AI326" s="85"/>
      <c r="AJ326" s="85"/>
      <c r="AK326" s="85"/>
      <c r="AL326" s="85"/>
      <c r="AM326" s="85"/>
      <c r="AN326" s="85"/>
      <c r="AO326" s="1"/>
      <c r="AP326" s="85"/>
      <c r="AQ326" s="85"/>
    </row>
    <row r="327" spans="1:43" x14ac:dyDescent="0.35">
      <c r="A327" s="134" t="s">
        <v>149</v>
      </c>
      <c r="B327" s="48">
        <f>_xlfn.XLOOKUP(A327,T_Custos[Produto],T_Custos[Peso])</f>
        <v>1</v>
      </c>
      <c r="C327" s="49" t="str">
        <f>_xlfn.XLOOKUP(A327,T_Custos[Produto],T_Custos[Und])</f>
        <v>kg</v>
      </c>
      <c r="D327" s="1" t="s">
        <v>252</v>
      </c>
      <c r="E327" s="1" t="s">
        <v>261</v>
      </c>
      <c r="F327" s="1" t="s">
        <v>248</v>
      </c>
      <c r="G327" s="1" t="s">
        <v>255</v>
      </c>
      <c r="H327" s="1" t="s">
        <v>258</v>
      </c>
      <c r="I327" s="1" t="s">
        <v>260</v>
      </c>
      <c r="J327" s="1" t="s">
        <v>492</v>
      </c>
      <c r="K327" s="85" t="s">
        <v>552</v>
      </c>
      <c r="L327" s="1" t="s">
        <v>259</v>
      </c>
      <c r="M327" s="1" t="s">
        <v>251</v>
      </c>
      <c r="N327" s="1" t="s">
        <v>257</v>
      </c>
      <c r="O327" s="1" t="s">
        <v>247</v>
      </c>
      <c r="P327" s="1"/>
      <c r="Q327" s="1"/>
      <c r="R327" s="1" t="s">
        <v>256</v>
      </c>
      <c r="S327" s="85" t="s">
        <v>442</v>
      </c>
      <c r="T327" s="85" t="s">
        <v>443</v>
      </c>
      <c r="U327" s="85" t="s">
        <v>444</v>
      </c>
      <c r="V327" s="85" t="s">
        <v>445</v>
      </c>
      <c r="W327" s="85" t="s">
        <v>446</v>
      </c>
      <c r="X327" s="85" t="s">
        <v>452</v>
      </c>
      <c r="Y327" s="85"/>
      <c r="Z327" s="85"/>
      <c r="AA327" s="85" t="s">
        <v>489</v>
      </c>
      <c r="AB327" s="85" t="s">
        <v>490</v>
      </c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5"/>
      <c r="AO327" s="1" t="s">
        <v>559</v>
      </c>
      <c r="AP327" s="85" t="s">
        <v>591</v>
      </c>
      <c r="AQ327" s="85" t="s">
        <v>597</v>
      </c>
    </row>
    <row r="328" spans="1:43" x14ac:dyDescent="0.35">
      <c r="A328" s="85" t="s">
        <v>150</v>
      </c>
      <c r="B328" s="48">
        <f>_xlfn.XLOOKUP(A328,T_Custos[Produto],T_Custos[Peso])</f>
        <v>20</v>
      </c>
      <c r="C328" s="49" t="str">
        <f>_xlfn.XLOOKUP(A328,T_Custos[Produto],T_Custos[Und])</f>
        <v>kg</v>
      </c>
      <c r="D328" s="1" t="s">
        <v>252</v>
      </c>
      <c r="E328" s="1" t="s">
        <v>261</v>
      </c>
      <c r="F328" s="1" t="s">
        <v>248</v>
      </c>
      <c r="G328" s="1" t="s">
        <v>255</v>
      </c>
      <c r="H328" s="1" t="s">
        <v>258</v>
      </c>
      <c r="I328" s="1" t="s">
        <v>260</v>
      </c>
      <c r="J328" s="1" t="s">
        <v>492</v>
      </c>
      <c r="K328" s="85" t="s">
        <v>552</v>
      </c>
      <c r="L328" s="1" t="s">
        <v>259</v>
      </c>
      <c r="M328" s="1" t="s">
        <v>251</v>
      </c>
      <c r="N328" s="1" t="s">
        <v>257</v>
      </c>
      <c r="O328" s="1" t="s">
        <v>247</v>
      </c>
      <c r="P328" s="1"/>
      <c r="Q328" s="1"/>
      <c r="R328" s="1" t="s">
        <v>256</v>
      </c>
      <c r="S328" s="85" t="s">
        <v>442</v>
      </c>
      <c r="T328" s="85" t="s">
        <v>443</v>
      </c>
      <c r="U328" s="85" t="s">
        <v>444</v>
      </c>
      <c r="V328" s="85" t="s">
        <v>445</v>
      </c>
      <c r="W328" s="85" t="s">
        <v>446</v>
      </c>
      <c r="X328" s="85" t="s">
        <v>452</v>
      </c>
      <c r="Y328" s="85"/>
      <c r="Z328" s="85"/>
      <c r="AA328" s="85" t="s">
        <v>489</v>
      </c>
      <c r="AB328" s="85" t="s">
        <v>490</v>
      </c>
      <c r="AC328" s="85"/>
      <c r="AD328" s="85"/>
      <c r="AE328" s="85"/>
      <c r="AF328" s="85"/>
      <c r="AG328" s="85"/>
      <c r="AH328" s="85"/>
      <c r="AI328" s="85"/>
      <c r="AJ328" s="85"/>
      <c r="AK328" s="85"/>
      <c r="AL328" s="85"/>
      <c r="AM328" s="85"/>
      <c r="AN328" s="85"/>
      <c r="AO328" s="1" t="s">
        <v>559</v>
      </c>
      <c r="AP328" s="85" t="s">
        <v>591</v>
      </c>
      <c r="AQ328" s="85" t="s">
        <v>597</v>
      </c>
    </row>
    <row r="329" spans="1:43" x14ac:dyDescent="0.35">
      <c r="A329" s="134" t="s">
        <v>497</v>
      </c>
      <c r="B329" s="48">
        <f>_xlfn.XLOOKUP(A329,T_Custos[Produto],T_Custos[Peso])</f>
        <v>4</v>
      </c>
      <c r="C329" s="49" t="str">
        <f>_xlfn.XLOOKUP(A329,T_Custos[Produto],T_Custos[Und])</f>
        <v>kg</v>
      </c>
      <c r="D329" s="1" t="s">
        <v>252</v>
      </c>
      <c r="E329" s="1" t="s">
        <v>261</v>
      </c>
      <c r="F329" s="1" t="s">
        <v>248</v>
      </c>
      <c r="G329" s="1" t="s">
        <v>255</v>
      </c>
      <c r="H329" s="1" t="s">
        <v>258</v>
      </c>
      <c r="I329" s="1" t="s">
        <v>260</v>
      </c>
      <c r="J329" s="1" t="s">
        <v>492</v>
      </c>
      <c r="K329" s="85" t="s">
        <v>552</v>
      </c>
      <c r="L329" s="1" t="s">
        <v>259</v>
      </c>
      <c r="M329" s="1" t="s">
        <v>251</v>
      </c>
      <c r="N329" s="1" t="s">
        <v>257</v>
      </c>
      <c r="O329" s="1" t="s">
        <v>247</v>
      </c>
      <c r="P329" s="1"/>
      <c r="Q329" s="1"/>
      <c r="R329" s="1" t="s">
        <v>256</v>
      </c>
      <c r="S329" s="85" t="s">
        <v>442</v>
      </c>
      <c r="T329" s="85" t="s">
        <v>443</v>
      </c>
      <c r="U329" s="85" t="s">
        <v>444</v>
      </c>
      <c r="V329" s="85" t="s">
        <v>445</v>
      </c>
      <c r="W329" s="85" t="s">
        <v>446</v>
      </c>
      <c r="X329" s="85" t="s">
        <v>452</v>
      </c>
      <c r="Y329" s="85" t="s">
        <v>463</v>
      </c>
      <c r="Z329" s="85"/>
      <c r="AA329" s="85" t="s">
        <v>489</v>
      </c>
      <c r="AB329" s="85" t="s">
        <v>490</v>
      </c>
      <c r="AC329" s="85"/>
      <c r="AD329" s="85"/>
      <c r="AE329" s="85"/>
      <c r="AF329" s="85"/>
      <c r="AG329" s="85"/>
      <c r="AH329" s="85"/>
      <c r="AI329" s="85" t="s">
        <v>518</v>
      </c>
      <c r="AJ329" s="85" t="s">
        <v>519</v>
      </c>
      <c r="AK329" s="85" t="s">
        <v>520</v>
      </c>
      <c r="AL329" s="85" t="s">
        <v>521</v>
      </c>
      <c r="AM329" s="85"/>
      <c r="AN329" s="85"/>
      <c r="AO329" s="1" t="s">
        <v>559</v>
      </c>
      <c r="AP329" s="85" t="s">
        <v>591</v>
      </c>
      <c r="AQ329" s="85" t="s">
        <v>597</v>
      </c>
    </row>
    <row r="330" spans="1:43" x14ac:dyDescent="0.35">
      <c r="A330" s="134" t="s">
        <v>217</v>
      </c>
      <c r="B330" s="48">
        <f>_xlfn.XLOOKUP(A330,T_Custos[Produto],T_Custos[Peso])</f>
        <v>1</v>
      </c>
      <c r="C330" s="49" t="str">
        <f>_xlfn.XLOOKUP(A330,T_Custos[Produto],T_Custos[Und])</f>
        <v>un</v>
      </c>
      <c r="D330" s="1" t="s">
        <v>252</v>
      </c>
      <c r="E330" s="1" t="s">
        <v>261</v>
      </c>
      <c r="F330" s="1" t="s">
        <v>248</v>
      </c>
      <c r="G330" s="1" t="s">
        <v>255</v>
      </c>
      <c r="H330" s="1" t="s">
        <v>258</v>
      </c>
      <c r="I330" s="1" t="s">
        <v>260</v>
      </c>
      <c r="J330" s="1" t="s">
        <v>492</v>
      </c>
      <c r="K330" s="85" t="s">
        <v>552</v>
      </c>
      <c r="L330" s="1" t="s">
        <v>259</v>
      </c>
      <c r="M330" s="1" t="s">
        <v>251</v>
      </c>
      <c r="N330" s="1" t="s">
        <v>257</v>
      </c>
      <c r="O330" s="1" t="s">
        <v>247</v>
      </c>
      <c r="P330" s="1"/>
      <c r="Q330" s="1"/>
      <c r="R330" s="1" t="s">
        <v>256</v>
      </c>
      <c r="S330" s="85" t="s">
        <v>442</v>
      </c>
      <c r="T330" s="85" t="s">
        <v>443</v>
      </c>
      <c r="U330" s="85" t="s">
        <v>444</v>
      </c>
      <c r="V330" s="85" t="s">
        <v>445</v>
      </c>
      <c r="W330" s="85" t="s">
        <v>446</v>
      </c>
      <c r="X330" s="85"/>
      <c r="Y330" s="85"/>
      <c r="Z330" s="85"/>
      <c r="AA330" s="85" t="s">
        <v>489</v>
      </c>
      <c r="AB330" s="85" t="s">
        <v>490</v>
      </c>
      <c r="AC330" s="85"/>
      <c r="AD330" s="85"/>
      <c r="AE330" s="85"/>
      <c r="AF330" s="85"/>
      <c r="AG330" s="85"/>
      <c r="AH330" s="85"/>
      <c r="AI330" s="85"/>
      <c r="AJ330" s="85"/>
      <c r="AK330" s="85"/>
      <c r="AL330" s="85"/>
      <c r="AM330" s="85"/>
      <c r="AN330" s="85"/>
      <c r="AO330" s="1" t="s">
        <v>559</v>
      </c>
      <c r="AP330" s="85"/>
      <c r="AQ330" s="85" t="s">
        <v>597</v>
      </c>
    </row>
    <row r="331" spans="1:43" x14ac:dyDescent="0.35">
      <c r="A331" s="134" t="s">
        <v>511</v>
      </c>
      <c r="B331" s="124">
        <f>_xlfn.XLOOKUP(A331,T_Custos[Produto],T_Custos[Peso])</f>
        <v>1</v>
      </c>
      <c r="C331" s="125" t="str">
        <f>_xlfn.XLOOKUP(A331,T_Custos[Produto],T_Custos[Und])</f>
        <v>pc</v>
      </c>
      <c r="D331" s="1"/>
      <c r="E331" s="1"/>
      <c r="F331" s="1"/>
      <c r="G331" s="1"/>
      <c r="H331" s="1"/>
      <c r="I331" s="1"/>
      <c r="J331" s="1"/>
      <c r="K331" s="85"/>
      <c r="L331" s="1"/>
      <c r="M331" s="1"/>
      <c r="N331" s="1"/>
      <c r="O331" s="1"/>
      <c r="P331" s="1"/>
      <c r="Q331" s="1"/>
      <c r="R331" s="1"/>
      <c r="S331" s="85"/>
      <c r="T331" s="85"/>
      <c r="U331" s="85"/>
      <c r="V331" s="85"/>
      <c r="W331" s="85"/>
      <c r="X331" s="85"/>
      <c r="Y331" s="85"/>
      <c r="Z331" s="85"/>
      <c r="AA331" s="85"/>
      <c r="AB331" s="85"/>
      <c r="AC331" s="85"/>
      <c r="AD331" s="85"/>
      <c r="AE331" s="85" t="s">
        <v>509</v>
      </c>
      <c r="AF331" s="85"/>
      <c r="AG331" s="85"/>
      <c r="AH331" s="85"/>
      <c r="AI331" s="85"/>
      <c r="AJ331" s="85"/>
      <c r="AK331" s="85"/>
      <c r="AL331" s="85"/>
      <c r="AM331" s="85"/>
      <c r="AN331" s="85"/>
      <c r="AO331" s="1"/>
      <c r="AP331" s="85"/>
      <c r="AQ331" s="85"/>
    </row>
    <row r="332" spans="1:43" x14ac:dyDescent="0.35">
      <c r="A332" s="134" t="s">
        <v>152</v>
      </c>
      <c r="B332" s="48">
        <f>_xlfn.XLOOKUP(A332,T_Custos[Produto],T_Custos[Peso])</f>
        <v>9</v>
      </c>
      <c r="C332" s="49" t="str">
        <f>_xlfn.XLOOKUP(A332,T_Custos[Produto],T_Custos[Und])</f>
        <v>kg</v>
      </c>
      <c r="D332" s="1" t="s">
        <v>252</v>
      </c>
      <c r="E332" s="1" t="s">
        <v>261</v>
      </c>
      <c r="F332" s="1" t="s">
        <v>248</v>
      </c>
      <c r="G332" s="1" t="s">
        <v>255</v>
      </c>
      <c r="H332" s="1" t="s">
        <v>258</v>
      </c>
      <c r="I332" s="1" t="s">
        <v>260</v>
      </c>
      <c r="J332" s="1" t="s">
        <v>492</v>
      </c>
      <c r="K332" s="85" t="s">
        <v>552</v>
      </c>
      <c r="L332" s="1" t="s">
        <v>259</v>
      </c>
      <c r="M332" s="1" t="s">
        <v>251</v>
      </c>
      <c r="N332" s="1" t="s">
        <v>257</v>
      </c>
      <c r="O332" s="1" t="s">
        <v>247</v>
      </c>
      <c r="P332" s="1"/>
      <c r="Q332" s="1"/>
      <c r="R332" s="1" t="s">
        <v>256</v>
      </c>
      <c r="S332" s="85" t="s">
        <v>442</v>
      </c>
      <c r="T332" s="85" t="s">
        <v>443</v>
      </c>
      <c r="U332" s="85" t="s">
        <v>444</v>
      </c>
      <c r="V332" s="85" t="s">
        <v>445</v>
      </c>
      <c r="W332" s="85" t="s">
        <v>446</v>
      </c>
      <c r="X332" s="85" t="s">
        <v>452</v>
      </c>
      <c r="Y332" s="85"/>
      <c r="Z332" s="85"/>
      <c r="AA332" s="85" t="s">
        <v>489</v>
      </c>
      <c r="AB332" s="85" t="s">
        <v>490</v>
      </c>
      <c r="AC332" s="85"/>
      <c r="AD332" s="85"/>
      <c r="AE332" s="85"/>
      <c r="AF332" s="85"/>
      <c r="AG332" s="85"/>
      <c r="AH332" s="85"/>
      <c r="AI332" s="85"/>
      <c r="AJ332" s="85"/>
      <c r="AK332" s="85"/>
      <c r="AL332" s="85"/>
      <c r="AM332" s="85"/>
      <c r="AN332" s="85"/>
      <c r="AO332" s="1" t="s">
        <v>559</v>
      </c>
      <c r="AP332" s="85" t="s">
        <v>591</v>
      </c>
      <c r="AQ332" s="85" t="s">
        <v>597</v>
      </c>
    </row>
    <row r="333" spans="1:43" x14ac:dyDescent="0.35">
      <c r="A333" s="134" t="s">
        <v>461</v>
      </c>
      <c r="B333" s="48">
        <f>_xlfn.XLOOKUP(A333,T_Custos[Produto],T_Custos[Peso])</f>
        <v>16</v>
      </c>
      <c r="C333" s="49" t="str">
        <f>_xlfn.XLOOKUP(A333,T_Custos[Produto],T_Custos[Und])</f>
        <v>kg</v>
      </c>
      <c r="D333" s="1" t="s">
        <v>252</v>
      </c>
      <c r="E333" s="1" t="s">
        <v>261</v>
      </c>
      <c r="F333" s="1" t="s">
        <v>248</v>
      </c>
      <c r="G333" s="1" t="s">
        <v>255</v>
      </c>
      <c r="H333" s="1" t="s">
        <v>258</v>
      </c>
      <c r="I333" s="1" t="s">
        <v>260</v>
      </c>
      <c r="J333" s="1" t="s">
        <v>492</v>
      </c>
      <c r="K333" s="85" t="s">
        <v>552</v>
      </c>
      <c r="L333" s="1" t="s">
        <v>259</v>
      </c>
      <c r="M333" s="1" t="s">
        <v>251</v>
      </c>
      <c r="N333" s="1" t="s">
        <v>257</v>
      </c>
      <c r="O333" s="1" t="s">
        <v>247</v>
      </c>
      <c r="P333" s="1"/>
      <c r="Q333" s="1"/>
      <c r="R333" s="1" t="s">
        <v>256</v>
      </c>
      <c r="S333" s="85" t="s">
        <v>442</v>
      </c>
      <c r="T333" s="85" t="s">
        <v>443</v>
      </c>
      <c r="U333" s="85" t="s">
        <v>444</v>
      </c>
      <c r="V333" s="85" t="s">
        <v>445</v>
      </c>
      <c r="W333" s="85" t="s">
        <v>446</v>
      </c>
      <c r="X333" s="85" t="s">
        <v>452</v>
      </c>
      <c r="Y333" s="85"/>
      <c r="Z333" s="85"/>
      <c r="AA333" s="85" t="s">
        <v>489</v>
      </c>
      <c r="AB333" s="85" t="s">
        <v>490</v>
      </c>
      <c r="AC333" s="85"/>
      <c r="AD333" s="85"/>
      <c r="AE333" s="85"/>
      <c r="AF333" s="85"/>
      <c r="AG333" s="85"/>
      <c r="AH333" s="85"/>
      <c r="AI333" s="85"/>
      <c r="AJ333" s="85"/>
      <c r="AK333" s="85"/>
      <c r="AL333" s="85"/>
      <c r="AM333" s="85"/>
      <c r="AN333" s="85"/>
      <c r="AO333" s="1" t="s">
        <v>559</v>
      </c>
      <c r="AP333" s="85" t="s">
        <v>591</v>
      </c>
      <c r="AQ333" s="85" t="s">
        <v>597</v>
      </c>
    </row>
    <row r="334" spans="1:43" x14ac:dyDescent="0.35">
      <c r="A334" s="134" t="s">
        <v>392</v>
      </c>
      <c r="B334" s="48">
        <f>_xlfn.XLOOKUP(A334,T_Custos[Produto],T_Custos[Peso])</f>
        <v>1</v>
      </c>
      <c r="C334" s="49" t="str">
        <f>_xlfn.XLOOKUP(A334,T_Custos[Produto],T_Custos[Und])</f>
        <v>und</v>
      </c>
      <c r="D334" s="1"/>
      <c r="E334" s="1"/>
      <c r="F334" s="1"/>
      <c r="G334" s="1"/>
      <c r="H334" s="1"/>
      <c r="I334" s="1"/>
      <c r="J334" s="1"/>
      <c r="K334" s="85"/>
      <c r="L334" s="1"/>
      <c r="M334" s="1"/>
      <c r="N334" s="1"/>
      <c r="O334" s="1"/>
      <c r="P334" s="47" t="s">
        <v>253</v>
      </c>
      <c r="Q334" s="47" t="s">
        <v>254</v>
      </c>
      <c r="R334" s="1"/>
      <c r="S334" s="85" t="s">
        <v>442</v>
      </c>
      <c r="T334" s="85" t="s">
        <v>443</v>
      </c>
      <c r="U334" s="85" t="s">
        <v>444</v>
      </c>
      <c r="V334" s="85" t="s">
        <v>445</v>
      </c>
      <c r="W334" s="85" t="s">
        <v>446</v>
      </c>
      <c r="X334" s="85"/>
      <c r="Y334" s="85"/>
      <c r="Z334" s="85"/>
      <c r="AA334" s="85"/>
      <c r="AB334" s="85"/>
      <c r="AC334" s="85"/>
      <c r="AD334" s="85"/>
      <c r="AE334" s="85"/>
      <c r="AF334" s="85"/>
      <c r="AG334" s="85"/>
      <c r="AH334" s="85"/>
      <c r="AI334" s="85"/>
      <c r="AJ334" s="85"/>
      <c r="AK334" s="85"/>
      <c r="AL334" s="85"/>
      <c r="AM334" s="85"/>
      <c r="AN334" s="85"/>
      <c r="AO334" s="1"/>
      <c r="AP334" s="85"/>
      <c r="AQ334" s="85"/>
    </row>
    <row r="335" spans="1:43" x14ac:dyDescent="0.35">
      <c r="A335" s="134" t="s">
        <v>555</v>
      </c>
      <c r="B335" s="149">
        <f>_xlfn.XLOOKUP(A335,T_Custos[Produto],T_Custos[Peso])</f>
        <v>1</v>
      </c>
      <c r="C335" s="150" t="str">
        <f>_xlfn.XLOOKUP(A335,T_Custos[Produto],T_Custos[Und])</f>
        <v>bd</v>
      </c>
      <c r="D335" s="1"/>
      <c r="E335" s="1"/>
      <c r="F335" s="1"/>
      <c r="G335" s="1"/>
      <c r="H335" s="1"/>
      <c r="I335" s="1"/>
      <c r="J335" s="1"/>
      <c r="K335" s="85"/>
      <c r="L335" s="1"/>
      <c r="M335" s="1"/>
      <c r="N335" s="1"/>
      <c r="O335" s="1"/>
      <c r="P335" s="47" t="s">
        <v>253</v>
      </c>
      <c r="Q335" s="47" t="s">
        <v>254</v>
      </c>
      <c r="R335" s="1" t="s">
        <v>256</v>
      </c>
      <c r="S335" s="85" t="s">
        <v>442</v>
      </c>
      <c r="T335" s="85" t="s">
        <v>443</v>
      </c>
      <c r="U335" s="85" t="s">
        <v>444</v>
      </c>
      <c r="V335" s="85" t="s">
        <v>445</v>
      </c>
      <c r="W335" s="85" t="s">
        <v>446</v>
      </c>
      <c r="X335" s="85" t="s">
        <v>452</v>
      </c>
      <c r="Y335" s="85"/>
      <c r="Z335" s="85"/>
      <c r="AA335" s="85"/>
      <c r="AB335" s="85"/>
      <c r="AC335" s="85"/>
      <c r="AD335" s="85"/>
      <c r="AE335" s="85"/>
      <c r="AF335" s="85"/>
      <c r="AG335" s="85"/>
      <c r="AH335" s="85"/>
      <c r="AI335" s="85"/>
      <c r="AJ335" s="85"/>
      <c r="AK335" s="85"/>
      <c r="AL335" s="85"/>
      <c r="AM335" s="85"/>
      <c r="AN335" s="85"/>
      <c r="AO335" s="1"/>
      <c r="AP335" s="85"/>
      <c r="AQ335" s="85"/>
    </row>
    <row r="336" spans="1:43" x14ac:dyDescent="0.35">
      <c r="A336" s="85" t="s">
        <v>153</v>
      </c>
      <c r="B336" s="48">
        <f>_xlfn.XLOOKUP(A336,T_Custos[Produto],T_Custos[Peso])</f>
        <v>1</v>
      </c>
      <c r="C336" s="49" t="str">
        <f>_xlfn.XLOOKUP(A336,T_Custos[Produto],T_Custos[Und])</f>
        <v>bd</v>
      </c>
      <c r="D336" s="1" t="s">
        <v>252</v>
      </c>
      <c r="E336" s="1" t="s">
        <v>261</v>
      </c>
      <c r="F336" s="1" t="s">
        <v>248</v>
      </c>
      <c r="G336" s="1" t="s">
        <v>255</v>
      </c>
      <c r="H336" s="1" t="s">
        <v>258</v>
      </c>
      <c r="I336" s="1" t="s">
        <v>260</v>
      </c>
      <c r="J336" s="1" t="s">
        <v>492</v>
      </c>
      <c r="K336" s="85" t="s">
        <v>552</v>
      </c>
      <c r="L336" s="1" t="s">
        <v>259</v>
      </c>
      <c r="M336" s="1" t="s">
        <v>251</v>
      </c>
      <c r="N336" s="1" t="s">
        <v>257</v>
      </c>
      <c r="O336" s="1" t="s">
        <v>247</v>
      </c>
      <c r="P336" s="1"/>
      <c r="Q336" s="1"/>
      <c r="R336" s="1" t="s">
        <v>256</v>
      </c>
      <c r="S336" s="85" t="s">
        <v>442</v>
      </c>
      <c r="T336" s="85" t="s">
        <v>443</v>
      </c>
      <c r="U336" s="85" t="s">
        <v>444</v>
      </c>
      <c r="V336" s="85" t="s">
        <v>445</v>
      </c>
      <c r="W336" s="85" t="s">
        <v>446</v>
      </c>
      <c r="X336" s="85" t="s">
        <v>452</v>
      </c>
      <c r="Y336" s="85"/>
      <c r="Z336" s="85"/>
      <c r="AA336" s="85" t="s">
        <v>489</v>
      </c>
      <c r="AB336" s="85" t="s">
        <v>490</v>
      </c>
      <c r="AC336" s="85"/>
      <c r="AD336" s="85"/>
      <c r="AE336" s="85"/>
      <c r="AF336" s="85"/>
      <c r="AG336" s="85"/>
      <c r="AH336" s="85"/>
      <c r="AI336" s="85"/>
      <c r="AJ336" s="85"/>
      <c r="AK336" s="85"/>
      <c r="AL336" s="85"/>
      <c r="AM336" s="85"/>
      <c r="AN336" s="85"/>
      <c r="AO336" s="1" t="s">
        <v>559</v>
      </c>
      <c r="AP336" s="85" t="s">
        <v>591</v>
      </c>
      <c r="AQ336" s="85" t="s">
        <v>597</v>
      </c>
    </row>
    <row r="337" spans="1:43" x14ac:dyDescent="0.35">
      <c r="A337" s="134" t="s">
        <v>154</v>
      </c>
      <c r="B337" s="48">
        <f>_xlfn.XLOOKUP(A337,T_Custos[Produto],T_Custos[Peso])</f>
        <v>20</v>
      </c>
      <c r="C337" s="49" t="str">
        <f>_xlfn.XLOOKUP(A337,T_Custos[Produto],T_Custos[Und])</f>
        <v>bd</v>
      </c>
      <c r="D337" s="1" t="s">
        <v>252</v>
      </c>
      <c r="E337" s="1" t="s">
        <v>261</v>
      </c>
      <c r="F337" s="1" t="s">
        <v>248</v>
      </c>
      <c r="G337" s="1" t="s">
        <v>255</v>
      </c>
      <c r="H337" s="1" t="s">
        <v>258</v>
      </c>
      <c r="I337" s="1" t="s">
        <v>260</v>
      </c>
      <c r="J337" s="1" t="s">
        <v>492</v>
      </c>
      <c r="K337" s="85" t="s">
        <v>552</v>
      </c>
      <c r="L337" s="1" t="s">
        <v>259</v>
      </c>
      <c r="M337" s="1" t="s">
        <v>251</v>
      </c>
      <c r="N337" s="1" t="s">
        <v>257</v>
      </c>
      <c r="O337" s="1" t="s">
        <v>247</v>
      </c>
      <c r="P337" s="1"/>
      <c r="Q337" s="1"/>
      <c r="R337" s="1" t="s">
        <v>256</v>
      </c>
      <c r="S337" s="85" t="s">
        <v>442</v>
      </c>
      <c r="T337" s="85" t="s">
        <v>443</v>
      </c>
      <c r="U337" s="85" t="s">
        <v>444</v>
      </c>
      <c r="V337" s="85" t="s">
        <v>445</v>
      </c>
      <c r="W337" s="85" t="s">
        <v>446</v>
      </c>
      <c r="X337" s="85" t="s">
        <v>452</v>
      </c>
      <c r="Y337" s="85"/>
      <c r="Z337" s="85"/>
      <c r="AA337" s="85" t="s">
        <v>489</v>
      </c>
      <c r="AB337" s="85" t="s">
        <v>490</v>
      </c>
      <c r="AC337" s="85" t="s">
        <v>503</v>
      </c>
      <c r="AD337" s="85"/>
      <c r="AE337" s="85"/>
      <c r="AF337" s="85"/>
      <c r="AG337" s="85"/>
      <c r="AH337" s="85"/>
      <c r="AI337" s="85"/>
      <c r="AJ337" s="85"/>
      <c r="AK337" s="85"/>
      <c r="AL337" s="85"/>
      <c r="AM337" s="85"/>
      <c r="AN337" s="85"/>
      <c r="AO337" s="1" t="s">
        <v>559</v>
      </c>
      <c r="AP337" s="85" t="s">
        <v>591</v>
      </c>
      <c r="AQ337" s="85" t="s">
        <v>597</v>
      </c>
    </row>
    <row r="338" spans="1:43" x14ac:dyDescent="0.35">
      <c r="A338" s="134" t="s">
        <v>155</v>
      </c>
      <c r="B338" s="48">
        <f>_xlfn.XLOOKUP(A338,T_Custos[Produto],T_Custos[Peso])</f>
        <v>10</v>
      </c>
      <c r="C338" s="49" t="str">
        <f>_xlfn.XLOOKUP(A338,T_Custos[Produto],T_Custos[Und])</f>
        <v>kg</v>
      </c>
      <c r="D338" s="1" t="s">
        <v>252</v>
      </c>
      <c r="E338" s="1" t="s">
        <v>261</v>
      </c>
      <c r="F338" s="1" t="s">
        <v>248</v>
      </c>
      <c r="G338" s="1" t="s">
        <v>255</v>
      </c>
      <c r="H338" s="1" t="s">
        <v>258</v>
      </c>
      <c r="I338" s="1" t="s">
        <v>260</v>
      </c>
      <c r="J338" s="1" t="s">
        <v>492</v>
      </c>
      <c r="K338" s="85" t="s">
        <v>552</v>
      </c>
      <c r="L338" s="1" t="s">
        <v>259</v>
      </c>
      <c r="M338" s="1" t="s">
        <v>251</v>
      </c>
      <c r="N338" s="1" t="s">
        <v>257</v>
      </c>
      <c r="O338" s="1" t="s">
        <v>247</v>
      </c>
      <c r="P338" s="1"/>
      <c r="Q338" s="1"/>
      <c r="R338" s="1" t="s">
        <v>256</v>
      </c>
      <c r="S338" s="85" t="s">
        <v>442</v>
      </c>
      <c r="T338" s="85" t="s">
        <v>443</v>
      </c>
      <c r="U338" s="85" t="s">
        <v>444</v>
      </c>
      <c r="V338" s="85" t="s">
        <v>445</v>
      </c>
      <c r="W338" s="85" t="s">
        <v>446</v>
      </c>
      <c r="X338" s="85" t="s">
        <v>452</v>
      </c>
      <c r="Y338" s="85"/>
      <c r="Z338" s="85"/>
      <c r="AA338" s="85" t="s">
        <v>489</v>
      </c>
      <c r="AB338" s="85" t="s">
        <v>490</v>
      </c>
      <c r="AC338" s="85" t="s">
        <v>503</v>
      </c>
      <c r="AD338" s="85"/>
      <c r="AE338" s="85"/>
      <c r="AF338" s="85"/>
      <c r="AG338" s="85"/>
      <c r="AH338" s="85"/>
      <c r="AI338" s="85"/>
      <c r="AJ338" s="85"/>
      <c r="AK338" s="85"/>
      <c r="AL338" s="85"/>
      <c r="AM338" s="85"/>
      <c r="AN338" s="85"/>
      <c r="AO338" s="1" t="s">
        <v>559</v>
      </c>
      <c r="AP338" s="85" t="s">
        <v>591</v>
      </c>
      <c r="AQ338" s="85" t="s">
        <v>597</v>
      </c>
    </row>
    <row r="339" spans="1:43" x14ac:dyDescent="0.35">
      <c r="A339" s="134" t="s">
        <v>208</v>
      </c>
      <c r="B339" s="48">
        <f>_xlfn.XLOOKUP(A339,T_Custos[Produto],T_Custos[Peso])</f>
        <v>1</v>
      </c>
      <c r="C339" s="49" t="str">
        <f>_xlfn.XLOOKUP(A339,T_Custos[Produto],T_Custos[Und])</f>
        <v>un</v>
      </c>
      <c r="D339" s="1" t="s">
        <v>252</v>
      </c>
      <c r="E339" s="1" t="s">
        <v>261</v>
      </c>
      <c r="F339" s="1" t="s">
        <v>248</v>
      </c>
      <c r="G339" s="1" t="s">
        <v>255</v>
      </c>
      <c r="H339" s="1" t="s">
        <v>258</v>
      </c>
      <c r="I339" s="1" t="s">
        <v>260</v>
      </c>
      <c r="J339" s="1" t="s">
        <v>492</v>
      </c>
      <c r="K339" s="85" t="s">
        <v>552</v>
      </c>
      <c r="L339" s="1" t="s">
        <v>259</v>
      </c>
      <c r="M339" s="1" t="s">
        <v>251</v>
      </c>
      <c r="N339" s="1" t="s">
        <v>257</v>
      </c>
      <c r="O339" s="1" t="s">
        <v>247</v>
      </c>
      <c r="P339" s="1"/>
      <c r="Q339" s="1"/>
      <c r="R339" s="1" t="s">
        <v>256</v>
      </c>
      <c r="S339" s="85" t="s">
        <v>442</v>
      </c>
      <c r="T339" s="85" t="s">
        <v>443</v>
      </c>
      <c r="U339" s="85" t="s">
        <v>444</v>
      </c>
      <c r="V339" s="85" t="s">
        <v>445</v>
      </c>
      <c r="W339" s="85" t="s">
        <v>446</v>
      </c>
      <c r="X339" s="85"/>
      <c r="Y339" s="85" t="s">
        <v>463</v>
      </c>
      <c r="Z339" s="85"/>
      <c r="AA339" s="85" t="s">
        <v>489</v>
      </c>
      <c r="AB339" s="85" t="s">
        <v>490</v>
      </c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5"/>
      <c r="AO339" s="1" t="s">
        <v>559</v>
      </c>
      <c r="AP339" s="85"/>
      <c r="AQ339" s="85" t="s">
        <v>597</v>
      </c>
    </row>
    <row r="340" spans="1:43" x14ac:dyDescent="0.35">
      <c r="A340" s="134" t="s">
        <v>584</v>
      </c>
      <c r="B340" s="64">
        <f>_xlfn.XLOOKUP(A340,T_Custos[Produto],T_Custos[Peso])</f>
        <v>1</v>
      </c>
      <c r="C340" s="65" t="str">
        <f>_xlfn.XLOOKUP(A340,T_Custos[Produto],T_Custos[Und])</f>
        <v>kg</v>
      </c>
      <c r="D340" s="1"/>
      <c r="E340" s="1"/>
      <c r="F340" s="1"/>
      <c r="G340" s="1"/>
      <c r="H340" s="1"/>
      <c r="I340" s="1"/>
      <c r="J340" s="1"/>
      <c r="K340" s="85"/>
      <c r="L340" s="1"/>
      <c r="M340" s="1"/>
      <c r="N340" s="1"/>
      <c r="O340" s="1"/>
      <c r="P340" s="1"/>
      <c r="Q340" s="1"/>
      <c r="R340" s="1"/>
      <c r="S340" s="85"/>
      <c r="T340" s="85"/>
      <c r="U340" s="85"/>
      <c r="V340" s="85"/>
      <c r="W340" s="85"/>
      <c r="X340" s="85"/>
      <c r="Y340" s="85"/>
      <c r="Z340" s="85"/>
      <c r="AA340" s="85"/>
      <c r="AB340" s="85"/>
      <c r="AC340" s="85"/>
      <c r="AD340" s="85"/>
      <c r="AE340" s="85"/>
      <c r="AF340" s="85"/>
      <c r="AG340" s="85"/>
      <c r="AH340" s="85"/>
      <c r="AI340" s="85"/>
      <c r="AJ340" s="85"/>
      <c r="AK340" s="85"/>
      <c r="AL340" s="85"/>
      <c r="AM340" s="85"/>
      <c r="AN340" s="85"/>
      <c r="AO340" s="85"/>
      <c r="AP340" s="85" t="s">
        <v>591</v>
      </c>
      <c r="AQ340" s="85"/>
    </row>
    <row r="341" spans="1:43" x14ac:dyDescent="0.35">
      <c r="A341" s="134" t="s">
        <v>232</v>
      </c>
      <c r="B341" s="48">
        <f>_xlfn.XLOOKUP(A341,T_Custos[Produto],T_Custos[Peso])</f>
        <v>1</v>
      </c>
      <c r="C341" s="49" t="str">
        <f>_xlfn.XLOOKUP(A341,T_Custos[Produto],T_Custos[Und])</f>
        <v>un</v>
      </c>
      <c r="D341" s="1" t="s">
        <v>252</v>
      </c>
      <c r="E341" s="1" t="s">
        <v>261</v>
      </c>
      <c r="F341" s="1" t="s">
        <v>248</v>
      </c>
      <c r="G341" s="1" t="s">
        <v>255</v>
      </c>
      <c r="H341" s="1" t="s">
        <v>258</v>
      </c>
      <c r="I341" s="1" t="s">
        <v>260</v>
      </c>
      <c r="J341" s="1" t="s">
        <v>492</v>
      </c>
      <c r="K341" s="85" t="s">
        <v>552</v>
      </c>
      <c r="L341" s="1" t="s">
        <v>259</v>
      </c>
      <c r="M341" s="1" t="s">
        <v>251</v>
      </c>
      <c r="N341" s="1" t="s">
        <v>257</v>
      </c>
      <c r="O341" s="1" t="s">
        <v>247</v>
      </c>
      <c r="P341" s="1"/>
      <c r="Q341" s="1"/>
      <c r="R341" s="1" t="s">
        <v>256</v>
      </c>
      <c r="S341" s="85" t="s">
        <v>442</v>
      </c>
      <c r="T341" s="85" t="s">
        <v>443</v>
      </c>
      <c r="U341" s="85" t="s">
        <v>444</v>
      </c>
      <c r="V341" s="85" t="s">
        <v>445</v>
      </c>
      <c r="W341" s="85" t="s">
        <v>446</v>
      </c>
      <c r="X341" s="85"/>
      <c r="Y341" s="85"/>
      <c r="Z341" s="85"/>
      <c r="AA341" s="85" t="s">
        <v>489</v>
      </c>
      <c r="AB341" s="85" t="s">
        <v>490</v>
      </c>
      <c r="AC341" s="85"/>
      <c r="AD341" s="85"/>
      <c r="AE341" s="85"/>
      <c r="AF341" s="85"/>
      <c r="AG341" s="85"/>
      <c r="AH341" s="85"/>
      <c r="AI341" s="85"/>
      <c r="AJ341" s="85"/>
      <c r="AK341" s="85"/>
      <c r="AL341" s="85"/>
      <c r="AM341" s="85"/>
      <c r="AN341" s="85"/>
      <c r="AO341" s="1" t="s">
        <v>559</v>
      </c>
      <c r="AP341" s="85"/>
      <c r="AQ341" s="85" t="s">
        <v>597</v>
      </c>
    </row>
    <row r="342" spans="1:43" x14ac:dyDescent="0.35">
      <c r="A342" s="134" t="s">
        <v>156</v>
      </c>
      <c r="B342" s="48">
        <f>_xlfn.XLOOKUP(A342,T_Custos[Produto],T_Custos[Peso])</f>
        <v>15</v>
      </c>
      <c r="C342" s="49" t="str">
        <f>_xlfn.XLOOKUP(A342,T_Custos[Produto],T_Custos[Und])</f>
        <v>kg</v>
      </c>
      <c r="D342" s="1" t="s">
        <v>252</v>
      </c>
      <c r="E342" s="1" t="s">
        <v>261</v>
      </c>
      <c r="F342" s="1" t="s">
        <v>248</v>
      </c>
      <c r="G342" s="1" t="s">
        <v>255</v>
      </c>
      <c r="H342" s="1" t="s">
        <v>258</v>
      </c>
      <c r="I342" s="1" t="s">
        <v>260</v>
      </c>
      <c r="J342" s="1" t="s">
        <v>492</v>
      </c>
      <c r="K342" s="85" t="s">
        <v>552</v>
      </c>
      <c r="L342" s="1" t="s">
        <v>259</v>
      </c>
      <c r="M342" s="1" t="s">
        <v>251</v>
      </c>
      <c r="N342" s="1" t="s">
        <v>257</v>
      </c>
      <c r="O342" s="1" t="s">
        <v>247</v>
      </c>
      <c r="P342" s="1"/>
      <c r="Q342" s="1"/>
      <c r="R342" s="1" t="s">
        <v>256</v>
      </c>
      <c r="S342" s="85" t="s">
        <v>442</v>
      </c>
      <c r="T342" s="85" t="s">
        <v>443</v>
      </c>
      <c r="U342" s="85" t="s">
        <v>444</v>
      </c>
      <c r="V342" s="85" t="s">
        <v>445</v>
      </c>
      <c r="W342" s="85" t="s">
        <v>446</v>
      </c>
      <c r="X342" s="85" t="s">
        <v>452</v>
      </c>
      <c r="Y342" s="85"/>
      <c r="Z342" s="85"/>
      <c r="AA342" s="85" t="s">
        <v>489</v>
      </c>
      <c r="AB342" s="85" t="s">
        <v>490</v>
      </c>
      <c r="AC342" s="85" t="s">
        <v>503</v>
      </c>
      <c r="AD342" s="85" t="s">
        <v>507</v>
      </c>
      <c r="AE342" s="85"/>
      <c r="AF342" s="85"/>
      <c r="AG342" s="85"/>
      <c r="AH342" s="85"/>
      <c r="AI342" s="85"/>
      <c r="AJ342" s="85"/>
      <c r="AK342" s="85"/>
      <c r="AL342" s="85"/>
      <c r="AM342" s="85"/>
      <c r="AN342" s="85"/>
      <c r="AO342" s="1" t="s">
        <v>559</v>
      </c>
      <c r="AP342" s="85"/>
      <c r="AQ342" s="85" t="s">
        <v>597</v>
      </c>
    </row>
    <row r="343" spans="1:43" x14ac:dyDescent="0.35">
      <c r="A343" s="134" t="s">
        <v>585</v>
      </c>
      <c r="B343" s="64">
        <f>_xlfn.XLOOKUP(A343,T_Custos[Produto],T_Custos[Peso])</f>
        <v>1</v>
      </c>
      <c r="C343" s="65" t="str">
        <f>_xlfn.XLOOKUP(A343,T_Custos[Produto],T_Custos[Und])</f>
        <v>kg</v>
      </c>
      <c r="D343" s="1"/>
      <c r="E343" s="1"/>
      <c r="F343" s="1"/>
      <c r="G343" s="1"/>
      <c r="H343" s="1"/>
      <c r="I343" s="1"/>
      <c r="J343" s="1"/>
      <c r="K343" s="85"/>
      <c r="L343" s="1"/>
      <c r="M343" s="1"/>
      <c r="N343" s="1"/>
      <c r="O343" s="1"/>
      <c r="P343" s="1"/>
      <c r="Q343" s="1"/>
      <c r="R343" s="1"/>
      <c r="S343" s="85"/>
      <c r="T343" s="85"/>
      <c r="U343" s="85"/>
      <c r="V343" s="85"/>
      <c r="W343" s="85"/>
      <c r="X343" s="85"/>
      <c r="Y343" s="85"/>
      <c r="Z343" s="85"/>
      <c r="AA343" s="85"/>
      <c r="AB343" s="85"/>
      <c r="AC343" s="85"/>
      <c r="AD343" s="85"/>
      <c r="AE343" s="85"/>
      <c r="AF343" s="85"/>
      <c r="AG343" s="85"/>
      <c r="AH343" s="85"/>
      <c r="AI343" s="85"/>
      <c r="AJ343" s="85"/>
      <c r="AK343" s="85"/>
      <c r="AL343" s="85"/>
      <c r="AM343" s="85"/>
      <c r="AN343" s="85"/>
      <c r="AO343" s="85"/>
      <c r="AP343" s="85" t="s">
        <v>591</v>
      </c>
      <c r="AQ343" s="85"/>
    </row>
    <row r="344" spans="1:43" x14ac:dyDescent="0.35">
      <c r="A344" s="134" t="s">
        <v>157</v>
      </c>
      <c r="B344" s="48">
        <f>_xlfn.XLOOKUP(A344,T_Custos[Produto],T_Custos[Peso])</f>
        <v>15</v>
      </c>
      <c r="C344" s="49" t="str">
        <f>_xlfn.XLOOKUP(A344,T_Custos[Produto],T_Custos[Und])</f>
        <v>kg</v>
      </c>
      <c r="D344" s="1" t="s">
        <v>252</v>
      </c>
      <c r="E344" s="1" t="s">
        <v>261</v>
      </c>
      <c r="F344" s="1" t="s">
        <v>248</v>
      </c>
      <c r="G344" s="1" t="s">
        <v>255</v>
      </c>
      <c r="H344" s="1" t="s">
        <v>258</v>
      </c>
      <c r="I344" s="1" t="s">
        <v>260</v>
      </c>
      <c r="J344" s="1" t="s">
        <v>492</v>
      </c>
      <c r="K344" s="85" t="s">
        <v>552</v>
      </c>
      <c r="L344" s="1" t="s">
        <v>259</v>
      </c>
      <c r="M344" s="1" t="s">
        <v>251</v>
      </c>
      <c r="N344" s="1" t="s">
        <v>257</v>
      </c>
      <c r="O344" s="1" t="s">
        <v>247</v>
      </c>
      <c r="P344" s="1"/>
      <c r="Q344" s="1"/>
      <c r="R344" s="1" t="s">
        <v>256</v>
      </c>
      <c r="S344" s="85" t="s">
        <v>442</v>
      </c>
      <c r="T344" s="85" t="s">
        <v>443</v>
      </c>
      <c r="U344" s="85" t="s">
        <v>444</v>
      </c>
      <c r="V344" s="85" t="s">
        <v>445</v>
      </c>
      <c r="W344" s="85" t="s">
        <v>446</v>
      </c>
      <c r="X344" s="85" t="s">
        <v>452</v>
      </c>
      <c r="Y344" s="85"/>
      <c r="Z344" s="85" t="s">
        <v>465</v>
      </c>
      <c r="AA344" s="85" t="s">
        <v>489</v>
      </c>
      <c r="AB344" s="85" t="s">
        <v>490</v>
      </c>
      <c r="AC344" s="85" t="s">
        <v>503</v>
      </c>
      <c r="AD344" s="85" t="s">
        <v>507</v>
      </c>
      <c r="AE344" s="85"/>
      <c r="AF344" s="85"/>
      <c r="AG344" s="85"/>
      <c r="AH344" s="85"/>
      <c r="AI344" s="85"/>
      <c r="AJ344" s="85"/>
      <c r="AK344" s="85"/>
      <c r="AL344" s="85"/>
      <c r="AM344" s="85"/>
      <c r="AN344" s="85"/>
      <c r="AO344" s="1" t="s">
        <v>559</v>
      </c>
      <c r="AP344" s="85"/>
      <c r="AQ344" s="85" t="s">
        <v>597</v>
      </c>
    </row>
    <row r="345" spans="1:43" x14ac:dyDescent="0.35">
      <c r="A345" s="134" t="s">
        <v>586</v>
      </c>
      <c r="B345" s="64">
        <f>_xlfn.XLOOKUP(A345,T_Custos[Produto],T_Custos[Peso])</f>
        <v>1</v>
      </c>
      <c r="C345" s="65" t="str">
        <f>_xlfn.XLOOKUP(A345,T_Custos[Produto],T_Custos[Und])</f>
        <v>kg</v>
      </c>
      <c r="D345" s="1"/>
      <c r="E345" s="1"/>
      <c r="F345" s="1"/>
      <c r="G345" s="1"/>
      <c r="H345" s="1"/>
      <c r="I345" s="1"/>
      <c r="J345" s="1"/>
      <c r="K345" s="85"/>
      <c r="L345" s="1"/>
      <c r="M345" s="1"/>
      <c r="N345" s="1"/>
      <c r="O345" s="1"/>
      <c r="P345" s="1"/>
      <c r="Q345" s="1"/>
      <c r="R345" s="1"/>
      <c r="S345" s="85"/>
      <c r="T345" s="85"/>
      <c r="U345" s="85"/>
      <c r="V345" s="85"/>
      <c r="W345" s="85"/>
      <c r="X345" s="85"/>
      <c r="Y345" s="85"/>
      <c r="Z345" s="85"/>
      <c r="AA345" s="85"/>
      <c r="AB345" s="85"/>
      <c r="AC345" s="85"/>
      <c r="AD345" s="85"/>
      <c r="AE345" s="85"/>
      <c r="AF345" s="85"/>
      <c r="AG345" s="85"/>
      <c r="AH345" s="85"/>
      <c r="AI345" s="85"/>
      <c r="AJ345" s="85"/>
      <c r="AK345" s="85"/>
      <c r="AL345" s="85"/>
      <c r="AM345" s="85"/>
      <c r="AN345" s="85"/>
      <c r="AO345" s="85"/>
      <c r="AP345" s="85" t="s">
        <v>591</v>
      </c>
      <c r="AQ345" s="85"/>
    </row>
    <row r="346" spans="1:43" x14ac:dyDescent="0.35">
      <c r="A346" s="85" t="s">
        <v>158</v>
      </c>
      <c r="B346" s="48">
        <f>_xlfn.XLOOKUP(A346,T_Custos[Produto],T_Custos[Peso])</f>
        <v>3</v>
      </c>
      <c r="C346" s="49" t="str">
        <f>_xlfn.XLOOKUP(A346,T_Custos[Produto],T_Custos[Und])</f>
        <v>kg</v>
      </c>
      <c r="D346" s="1" t="s">
        <v>252</v>
      </c>
      <c r="E346" s="1" t="s">
        <v>261</v>
      </c>
      <c r="F346" s="1" t="s">
        <v>248</v>
      </c>
      <c r="G346" s="1" t="s">
        <v>255</v>
      </c>
      <c r="H346" s="1" t="s">
        <v>258</v>
      </c>
      <c r="I346" s="1" t="s">
        <v>260</v>
      </c>
      <c r="J346" s="1" t="s">
        <v>492</v>
      </c>
      <c r="K346" s="85" t="s">
        <v>552</v>
      </c>
      <c r="L346" s="1" t="s">
        <v>259</v>
      </c>
      <c r="M346" s="1" t="s">
        <v>251</v>
      </c>
      <c r="N346" s="1" t="s">
        <v>257</v>
      </c>
      <c r="O346" s="1" t="s">
        <v>247</v>
      </c>
      <c r="P346" s="1"/>
      <c r="Q346" s="1"/>
      <c r="R346" s="1" t="s">
        <v>256</v>
      </c>
      <c r="S346" s="85" t="s">
        <v>442</v>
      </c>
      <c r="T346" s="85" t="s">
        <v>443</v>
      </c>
      <c r="U346" s="85" t="s">
        <v>444</v>
      </c>
      <c r="V346" s="85" t="s">
        <v>445</v>
      </c>
      <c r="W346" s="85" t="s">
        <v>446</v>
      </c>
      <c r="X346" s="85" t="s">
        <v>452</v>
      </c>
      <c r="Y346" s="85"/>
      <c r="Z346" s="85"/>
      <c r="AA346" s="85" t="s">
        <v>489</v>
      </c>
      <c r="AB346" s="85" t="s">
        <v>490</v>
      </c>
      <c r="AC346" s="85"/>
      <c r="AD346" s="85"/>
      <c r="AE346" s="85"/>
      <c r="AF346" s="85"/>
      <c r="AG346" s="85"/>
      <c r="AH346" s="85"/>
      <c r="AI346" s="85"/>
      <c r="AJ346" s="85"/>
      <c r="AK346" s="85"/>
      <c r="AL346" s="85"/>
      <c r="AM346" s="85"/>
      <c r="AN346" s="85"/>
      <c r="AO346" s="1" t="s">
        <v>559</v>
      </c>
      <c r="AP346" s="85" t="s">
        <v>591</v>
      </c>
      <c r="AQ346" s="85" t="s">
        <v>597</v>
      </c>
    </row>
    <row r="347" spans="1:43" x14ac:dyDescent="0.35">
      <c r="A347" s="134" t="s">
        <v>530</v>
      </c>
      <c r="B347" s="128">
        <f>_xlfn.XLOOKUP(A347,T_Custos[Produto],T_Custos[Peso])</f>
        <v>4</v>
      </c>
      <c r="C347" s="129" t="str">
        <f>_xlfn.XLOOKUP(A347,T_Custos[Produto],T_Custos[Und])</f>
        <v>kg</v>
      </c>
      <c r="D347" s="1" t="s">
        <v>252</v>
      </c>
      <c r="E347" s="1" t="s">
        <v>261</v>
      </c>
      <c r="F347" s="1" t="s">
        <v>248</v>
      </c>
      <c r="G347" s="1" t="s">
        <v>255</v>
      </c>
      <c r="H347" s="1" t="s">
        <v>258</v>
      </c>
      <c r="I347" s="1" t="s">
        <v>260</v>
      </c>
      <c r="J347" s="1" t="s">
        <v>492</v>
      </c>
      <c r="K347" s="85" t="s">
        <v>552</v>
      </c>
      <c r="L347" s="1" t="s">
        <v>259</v>
      </c>
      <c r="M347" s="1" t="s">
        <v>251</v>
      </c>
      <c r="N347" s="1" t="s">
        <v>257</v>
      </c>
      <c r="O347" s="1" t="s">
        <v>247</v>
      </c>
      <c r="P347" s="1"/>
      <c r="Q347" s="1"/>
      <c r="R347" s="1" t="s">
        <v>256</v>
      </c>
      <c r="S347" s="85" t="s">
        <v>442</v>
      </c>
      <c r="T347" s="85" t="s">
        <v>443</v>
      </c>
      <c r="U347" s="85" t="s">
        <v>444</v>
      </c>
      <c r="V347" s="85" t="s">
        <v>445</v>
      </c>
      <c r="W347" s="85" t="s">
        <v>446</v>
      </c>
      <c r="X347" s="85" t="s">
        <v>452</v>
      </c>
      <c r="Y347" s="85"/>
      <c r="Z347" s="85"/>
      <c r="AA347" s="85" t="s">
        <v>489</v>
      </c>
      <c r="AB347" s="85" t="s">
        <v>490</v>
      </c>
      <c r="AC347" s="85"/>
      <c r="AD347" s="85"/>
      <c r="AE347" s="85"/>
      <c r="AF347" s="85"/>
      <c r="AG347" s="85"/>
      <c r="AH347" s="85"/>
      <c r="AI347" s="85"/>
      <c r="AJ347" s="85"/>
      <c r="AK347" s="85"/>
      <c r="AL347" s="85"/>
      <c r="AM347" s="85"/>
      <c r="AN347" s="85"/>
      <c r="AO347" s="1" t="s">
        <v>559</v>
      </c>
      <c r="AP347" s="85" t="s">
        <v>591</v>
      </c>
      <c r="AQ347" s="85" t="s">
        <v>597</v>
      </c>
    </row>
    <row r="348" spans="1:43" x14ac:dyDescent="0.35">
      <c r="A348" s="134" t="s">
        <v>209</v>
      </c>
      <c r="B348" s="48">
        <f>_xlfn.XLOOKUP(A348,T_Custos[Produto],T_Custos[Peso])</f>
        <v>1</v>
      </c>
      <c r="C348" s="49" t="str">
        <f>_xlfn.XLOOKUP(A348,T_Custos[Produto],T_Custos[Und])</f>
        <v>un</v>
      </c>
      <c r="D348" s="1" t="s">
        <v>252</v>
      </c>
      <c r="E348" s="1" t="s">
        <v>261</v>
      </c>
      <c r="F348" s="1" t="s">
        <v>248</v>
      </c>
      <c r="G348" s="1" t="s">
        <v>255</v>
      </c>
      <c r="H348" s="1" t="s">
        <v>258</v>
      </c>
      <c r="I348" s="1" t="s">
        <v>260</v>
      </c>
      <c r="J348" s="1" t="s">
        <v>492</v>
      </c>
      <c r="K348" s="85" t="s">
        <v>552</v>
      </c>
      <c r="L348" s="1" t="s">
        <v>259</v>
      </c>
      <c r="M348" s="1" t="s">
        <v>251</v>
      </c>
      <c r="N348" s="1" t="s">
        <v>257</v>
      </c>
      <c r="O348" s="1" t="s">
        <v>247</v>
      </c>
      <c r="P348" s="1"/>
      <c r="Q348" s="1"/>
      <c r="R348" s="1" t="s">
        <v>256</v>
      </c>
      <c r="S348" s="85" t="s">
        <v>442</v>
      </c>
      <c r="T348" s="85" t="s">
        <v>443</v>
      </c>
      <c r="U348" s="85" t="s">
        <v>444</v>
      </c>
      <c r="V348" s="85" t="s">
        <v>445</v>
      </c>
      <c r="W348" s="85" t="s">
        <v>446</v>
      </c>
      <c r="X348" s="85"/>
      <c r="Y348" s="85" t="s">
        <v>463</v>
      </c>
      <c r="Z348" s="85" t="s">
        <v>465</v>
      </c>
      <c r="AA348" s="85" t="s">
        <v>489</v>
      </c>
      <c r="AB348" s="85" t="s">
        <v>490</v>
      </c>
      <c r="AC348" s="85" t="s">
        <v>503</v>
      </c>
      <c r="AD348" s="85" t="s">
        <v>507</v>
      </c>
      <c r="AE348" s="85" t="s">
        <v>509</v>
      </c>
      <c r="AF348" s="85"/>
      <c r="AG348" s="85"/>
      <c r="AH348" s="85"/>
      <c r="AI348" s="85"/>
      <c r="AJ348" s="85"/>
      <c r="AK348" s="85"/>
      <c r="AL348" s="85"/>
      <c r="AM348" s="85"/>
      <c r="AN348" s="85"/>
      <c r="AO348" s="1" t="s">
        <v>559</v>
      </c>
      <c r="AP348" s="85"/>
      <c r="AQ348" s="85" t="s">
        <v>597</v>
      </c>
    </row>
    <row r="349" spans="1:43" x14ac:dyDescent="0.35">
      <c r="A349" s="134" t="s">
        <v>432</v>
      </c>
      <c r="B349" s="48">
        <f>_xlfn.XLOOKUP(A349,T_Custos[Produto],T_Custos[Peso])</f>
        <v>1</v>
      </c>
      <c r="C349" s="49" t="str">
        <f>_xlfn.XLOOKUP(A349,T_Custos[Produto],T_Custos[Und])</f>
        <v>pc</v>
      </c>
      <c r="D349" s="1"/>
      <c r="E349" s="1"/>
      <c r="F349" s="1"/>
      <c r="G349" s="1"/>
      <c r="H349" s="1"/>
      <c r="I349" s="1"/>
      <c r="J349" s="1"/>
      <c r="K349" s="85"/>
      <c r="L349" s="1"/>
      <c r="M349" s="1"/>
      <c r="N349" s="1"/>
      <c r="O349" s="1"/>
      <c r="P349" s="47" t="s">
        <v>253</v>
      </c>
      <c r="Q349" s="47" t="s">
        <v>254</v>
      </c>
      <c r="R349" s="1"/>
      <c r="S349" s="85" t="s">
        <v>442</v>
      </c>
      <c r="T349" s="85" t="s">
        <v>443</v>
      </c>
      <c r="U349" s="85" t="s">
        <v>444</v>
      </c>
      <c r="V349" s="85" t="s">
        <v>445</v>
      </c>
      <c r="W349" s="85" t="s">
        <v>446</v>
      </c>
      <c r="X349" s="85" t="s">
        <v>452</v>
      </c>
      <c r="Y349" s="85"/>
      <c r="Z349" s="85"/>
      <c r="AA349" s="85"/>
      <c r="AB349" s="85"/>
      <c r="AC349" s="85"/>
      <c r="AD349" s="85"/>
      <c r="AE349" s="85"/>
      <c r="AF349" s="85"/>
      <c r="AG349" s="85"/>
      <c r="AH349" s="85"/>
      <c r="AI349" s="85"/>
      <c r="AJ349" s="85"/>
      <c r="AK349" s="85"/>
      <c r="AL349" s="85"/>
      <c r="AM349" s="85"/>
      <c r="AN349" s="85"/>
      <c r="AO349" s="1"/>
      <c r="AP349" s="85"/>
      <c r="AQ349" s="85"/>
    </row>
    <row r="350" spans="1:43" x14ac:dyDescent="0.35">
      <c r="A350" s="134" t="s">
        <v>222</v>
      </c>
      <c r="B350" s="48">
        <f>_xlfn.XLOOKUP(A350,T_Custos[Produto],T_Custos[Peso])</f>
        <v>1</v>
      </c>
      <c r="C350" s="49" t="str">
        <f>_xlfn.XLOOKUP(A350,T_Custos[Produto],T_Custos[Und])</f>
        <v>un</v>
      </c>
      <c r="D350" s="1" t="s">
        <v>252</v>
      </c>
      <c r="E350" s="1" t="s">
        <v>261</v>
      </c>
      <c r="F350" s="1" t="s">
        <v>248</v>
      </c>
      <c r="G350" s="1" t="s">
        <v>255</v>
      </c>
      <c r="H350" s="1" t="s">
        <v>258</v>
      </c>
      <c r="I350" s="1" t="s">
        <v>260</v>
      </c>
      <c r="J350" s="1" t="s">
        <v>492</v>
      </c>
      <c r="K350" s="85" t="s">
        <v>552</v>
      </c>
      <c r="L350" s="1" t="s">
        <v>259</v>
      </c>
      <c r="M350" s="1" t="s">
        <v>251</v>
      </c>
      <c r="N350" s="1" t="s">
        <v>257</v>
      </c>
      <c r="O350" s="1" t="s">
        <v>247</v>
      </c>
      <c r="P350" s="1"/>
      <c r="Q350" s="1"/>
      <c r="R350" s="1" t="s">
        <v>256</v>
      </c>
      <c r="S350" s="85" t="s">
        <v>442</v>
      </c>
      <c r="T350" s="85" t="s">
        <v>443</v>
      </c>
      <c r="U350" s="85" t="s">
        <v>444</v>
      </c>
      <c r="V350" s="85" t="s">
        <v>445</v>
      </c>
      <c r="W350" s="85" t="s">
        <v>446</v>
      </c>
      <c r="X350" s="85"/>
      <c r="Y350" s="85"/>
      <c r="Z350" s="85"/>
      <c r="AA350" s="85"/>
      <c r="AB350" s="85"/>
      <c r="AC350" s="85"/>
      <c r="AD350" s="85"/>
      <c r="AE350" s="85"/>
      <c r="AF350" s="85"/>
      <c r="AG350" s="85"/>
      <c r="AH350" s="85"/>
      <c r="AI350" s="85"/>
      <c r="AJ350" s="85"/>
      <c r="AK350" s="85"/>
      <c r="AL350" s="85"/>
      <c r="AM350" s="85"/>
      <c r="AN350" s="85"/>
      <c r="AO350" s="1" t="s">
        <v>559</v>
      </c>
      <c r="AP350" s="85"/>
      <c r="AQ350" s="85" t="s">
        <v>597</v>
      </c>
    </row>
    <row r="351" spans="1:43" x14ac:dyDescent="0.35">
      <c r="A351" s="134" t="s">
        <v>587</v>
      </c>
      <c r="B351" s="64">
        <f>_xlfn.XLOOKUP(A351,T_Custos[Produto],T_Custos[Peso])</f>
        <v>1</v>
      </c>
      <c r="C351" s="65" t="str">
        <f>_xlfn.XLOOKUP(A351,T_Custos[Produto],T_Custos[Und])</f>
        <v>kg</v>
      </c>
      <c r="D351" s="1"/>
      <c r="E351" s="1"/>
      <c r="F351" s="1"/>
      <c r="G351" s="1"/>
      <c r="H351" s="1"/>
      <c r="I351" s="1"/>
      <c r="J351" s="1"/>
      <c r="K351" s="85"/>
      <c r="L351" s="1"/>
      <c r="M351" s="1"/>
      <c r="N351" s="1"/>
      <c r="O351" s="1"/>
      <c r="P351" s="1"/>
      <c r="Q351" s="1"/>
      <c r="R351" s="1"/>
      <c r="S351" s="85"/>
      <c r="T351" s="85"/>
      <c r="U351" s="85"/>
      <c r="V351" s="85"/>
      <c r="W351" s="85"/>
      <c r="X351" s="85"/>
      <c r="Y351" s="85"/>
      <c r="Z351" s="85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5"/>
      <c r="AO351" s="85"/>
      <c r="AP351" s="85" t="s">
        <v>591</v>
      </c>
      <c r="AQ351" s="85"/>
    </row>
    <row r="352" spans="1:43" x14ac:dyDescent="0.35">
      <c r="A352" s="134" t="s">
        <v>211</v>
      </c>
      <c r="B352" s="48">
        <f>_xlfn.XLOOKUP(A352,T_Custos[Produto],T_Custos[Peso])</f>
        <v>1</v>
      </c>
      <c r="C352" s="49" t="str">
        <f>_xlfn.XLOOKUP(A352,T_Custos[Produto],T_Custos[Und])</f>
        <v>un</v>
      </c>
      <c r="D352" s="1" t="s">
        <v>252</v>
      </c>
      <c r="E352" s="1" t="s">
        <v>261</v>
      </c>
      <c r="F352" s="1" t="s">
        <v>248</v>
      </c>
      <c r="G352" s="1" t="s">
        <v>255</v>
      </c>
      <c r="H352" s="1" t="s">
        <v>258</v>
      </c>
      <c r="I352" s="1" t="s">
        <v>260</v>
      </c>
      <c r="J352" s="1" t="s">
        <v>492</v>
      </c>
      <c r="K352" s="85" t="s">
        <v>552</v>
      </c>
      <c r="L352" s="1" t="s">
        <v>259</v>
      </c>
      <c r="M352" s="1" t="s">
        <v>251</v>
      </c>
      <c r="N352" s="1" t="s">
        <v>257</v>
      </c>
      <c r="O352" s="1" t="s">
        <v>247</v>
      </c>
      <c r="P352" s="1"/>
      <c r="Q352" s="1"/>
      <c r="R352" s="1" t="s">
        <v>256</v>
      </c>
      <c r="S352" s="85" t="s">
        <v>442</v>
      </c>
      <c r="T352" s="85" t="s">
        <v>443</v>
      </c>
      <c r="U352" s="85" t="s">
        <v>444</v>
      </c>
      <c r="V352" s="85" t="s">
        <v>445</v>
      </c>
      <c r="W352" s="85" t="s">
        <v>446</v>
      </c>
      <c r="X352" s="85"/>
      <c r="Y352" s="85" t="s">
        <v>463</v>
      </c>
      <c r="Z352" s="85"/>
      <c r="AA352" s="85" t="s">
        <v>489</v>
      </c>
      <c r="AB352" s="85" t="s">
        <v>490</v>
      </c>
      <c r="AC352" s="85"/>
      <c r="AD352" s="85" t="s">
        <v>507</v>
      </c>
      <c r="AE352" s="85" t="s">
        <v>509</v>
      </c>
      <c r="AF352" s="85"/>
      <c r="AG352" s="85"/>
      <c r="AH352" s="85"/>
      <c r="AI352" s="85"/>
      <c r="AJ352" s="85"/>
      <c r="AK352" s="85"/>
      <c r="AL352" s="85"/>
      <c r="AM352" s="85"/>
      <c r="AN352" s="85"/>
      <c r="AO352" s="1" t="s">
        <v>559</v>
      </c>
      <c r="AP352" s="85"/>
      <c r="AQ352" s="85" t="s">
        <v>597</v>
      </c>
    </row>
    <row r="353" spans="1:43" x14ac:dyDescent="0.35">
      <c r="A353" s="134" t="s">
        <v>210</v>
      </c>
      <c r="B353" s="48">
        <f>_xlfn.XLOOKUP(A353,T_Custos[Produto],T_Custos[Peso])</f>
        <v>1</v>
      </c>
      <c r="C353" s="49" t="str">
        <f>_xlfn.XLOOKUP(A353,T_Custos[Produto],T_Custos[Und])</f>
        <v>un</v>
      </c>
      <c r="D353" s="1" t="s">
        <v>252</v>
      </c>
      <c r="E353" s="1" t="s">
        <v>261</v>
      </c>
      <c r="F353" s="1" t="s">
        <v>248</v>
      </c>
      <c r="G353" s="1" t="s">
        <v>255</v>
      </c>
      <c r="H353" s="1" t="s">
        <v>258</v>
      </c>
      <c r="I353" s="1" t="s">
        <v>260</v>
      </c>
      <c r="J353" s="1" t="s">
        <v>492</v>
      </c>
      <c r="K353" s="85" t="s">
        <v>552</v>
      </c>
      <c r="L353" s="1" t="s">
        <v>259</v>
      </c>
      <c r="M353" s="1" t="s">
        <v>251</v>
      </c>
      <c r="N353" s="1" t="s">
        <v>257</v>
      </c>
      <c r="O353" s="1" t="s">
        <v>247</v>
      </c>
      <c r="P353" s="1"/>
      <c r="Q353" s="1"/>
      <c r="R353" s="1" t="s">
        <v>256</v>
      </c>
      <c r="S353" s="85" t="s">
        <v>442</v>
      </c>
      <c r="T353" s="85" t="s">
        <v>443</v>
      </c>
      <c r="U353" s="85" t="s">
        <v>444</v>
      </c>
      <c r="V353" s="85" t="s">
        <v>445</v>
      </c>
      <c r="W353" s="85" t="s">
        <v>446</v>
      </c>
      <c r="X353" s="85"/>
      <c r="Y353" s="85" t="s">
        <v>463</v>
      </c>
      <c r="Z353" s="85"/>
      <c r="AA353" s="85" t="s">
        <v>489</v>
      </c>
      <c r="AB353" s="85" t="s">
        <v>490</v>
      </c>
      <c r="AC353" s="85"/>
      <c r="AD353" s="85" t="s">
        <v>507</v>
      </c>
      <c r="AE353" s="85" t="s">
        <v>509</v>
      </c>
      <c r="AF353" s="85"/>
      <c r="AG353" s="85"/>
      <c r="AH353" s="85"/>
      <c r="AI353" s="85"/>
      <c r="AJ353" s="85"/>
      <c r="AK353" s="85"/>
      <c r="AL353" s="85"/>
      <c r="AM353" s="85"/>
      <c r="AN353" s="85"/>
      <c r="AO353" s="1" t="s">
        <v>559</v>
      </c>
      <c r="AP353" s="85"/>
      <c r="AQ353" s="85" t="s">
        <v>597</v>
      </c>
    </row>
    <row r="354" spans="1:43" x14ac:dyDescent="0.35">
      <c r="A354" s="134" t="s">
        <v>588</v>
      </c>
      <c r="B354" s="64">
        <f>_xlfn.XLOOKUP(A354,T_Custos[Produto],T_Custos[Peso])</f>
        <v>1</v>
      </c>
      <c r="C354" s="65" t="str">
        <f>_xlfn.XLOOKUP(A354,T_Custos[Produto],T_Custos[Und])</f>
        <v>kg</v>
      </c>
      <c r="D354" s="1"/>
      <c r="E354" s="1"/>
      <c r="F354" s="1"/>
      <c r="G354" s="1"/>
      <c r="H354" s="1"/>
      <c r="I354" s="1"/>
      <c r="J354" s="1"/>
      <c r="K354" s="85"/>
      <c r="L354" s="1"/>
      <c r="M354" s="1"/>
      <c r="N354" s="1"/>
      <c r="O354" s="1"/>
      <c r="P354" s="1"/>
      <c r="Q354" s="1"/>
      <c r="R354" s="1"/>
      <c r="S354" s="85"/>
      <c r="T354" s="85"/>
      <c r="U354" s="85"/>
      <c r="V354" s="85"/>
      <c r="W354" s="85"/>
      <c r="X354" s="85"/>
      <c r="Y354" s="85"/>
      <c r="Z354" s="85"/>
      <c r="AA354" s="85"/>
      <c r="AB354" s="85"/>
      <c r="AC354" s="85"/>
      <c r="AD354" s="85"/>
      <c r="AE354" s="85"/>
      <c r="AF354" s="85"/>
      <c r="AG354" s="85"/>
      <c r="AH354" s="85"/>
      <c r="AI354" s="85"/>
      <c r="AJ354" s="85"/>
      <c r="AK354" s="85"/>
      <c r="AL354" s="85"/>
      <c r="AM354" s="85"/>
      <c r="AN354" s="85"/>
      <c r="AO354" s="85"/>
      <c r="AP354" s="85" t="s">
        <v>591</v>
      </c>
      <c r="AQ354" s="85"/>
    </row>
    <row r="355" spans="1:43" x14ac:dyDescent="0.35">
      <c r="A355" s="134" t="s">
        <v>212</v>
      </c>
      <c r="B355" s="48">
        <f>_xlfn.XLOOKUP(A355,T_Custos[Produto],T_Custos[Peso])</f>
        <v>1</v>
      </c>
      <c r="C355" s="49" t="str">
        <f>_xlfn.XLOOKUP(A355,T_Custos[Produto],T_Custos[Und])</f>
        <v>un</v>
      </c>
      <c r="D355" s="1" t="s">
        <v>252</v>
      </c>
      <c r="E355" s="1" t="s">
        <v>261</v>
      </c>
      <c r="F355" s="1" t="s">
        <v>248</v>
      </c>
      <c r="G355" s="1" t="s">
        <v>255</v>
      </c>
      <c r="H355" s="1" t="s">
        <v>258</v>
      </c>
      <c r="I355" s="1" t="s">
        <v>260</v>
      </c>
      <c r="J355" s="1" t="s">
        <v>492</v>
      </c>
      <c r="K355" s="85" t="s">
        <v>552</v>
      </c>
      <c r="L355" s="1" t="s">
        <v>259</v>
      </c>
      <c r="M355" s="1" t="s">
        <v>251</v>
      </c>
      <c r="N355" s="1" t="s">
        <v>257</v>
      </c>
      <c r="O355" s="1" t="s">
        <v>247</v>
      </c>
      <c r="P355" s="1"/>
      <c r="Q355" s="1"/>
      <c r="R355" s="1" t="s">
        <v>256</v>
      </c>
      <c r="S355" s="85" t="s">
        <v>442</v>
      </c>
      <c r="T355" s="85" t="s">
        <v>443</v>
      </c>
      <c r="U355" s="85" t="s">
        <v>444</v>
      </c>
      <c r="V355" s="85" t="s">
        <v>445</v>
      </c>
      <c r="W355" s="85" t="s">
        <v>446</v>
      </c>
      <c r="X355" s="85"/>
      <c r="Y355" s="85" t="s">
        <v>463</v>
      </c>
      <c r="Z355" s="85"/>
      <c r="AA355" s="85" t="s">
        <v>489</v>
      </c>
      <c r="AB355" s="85" t="s">
        <v>490</v>
      </c>
      <c r="AC355" s="85"/>
      <c r="AD355" s="85"/>
      <c r="AE355" s="85"/>
      <c r="AF355" s="85"/>
      <c r="AG355" s="85"/>
      <c r="AH355" s="85"/>
      <c r="AI355" s="85"/>
      <c r="AJ355" s="85"/>
      <c r="AK355" s="85"/>
      <c r="AL355" s="85"/>
      <c r="AM355" s="85"/>
      <c r="AN355" s="85"/>
      <c r="AO355" s="1" t="s">
        <v>559</v>
      </c>
      <c r="AP355" s="85"/>
      <c r="AQ355" s="85" t="s">
        <v>597</v>
      </c>
    </row>
    <row r="356" spans="1:43" x14ac:dyDescent="0.35">
      <c r="A356" s="134" t="s">
        <v>219</v>
      </c>
      <c r="B356" s="48">
        <f>_xlfn.XLOOKUP(A356,T_Custos[Produto],T_Custos[Peso])</f>
        <v>1</v>
      </c>
      <c r="C356" s="49" t="str">
        <f>_xlfn.XLOOKUP(A356,T_Custos[Produto],T_Custos[Und])</f>
        <v>un</v>
      </c>
      <c r="D356" s="1" t="s">
        <v>252</v>
      </c>
      <c r="E356" s="1" t="s">
        <v>261</v>
      </c>
      <c r="F356" s="1" t="s">
        <v>248</v>
      </c>
      <c r="G356" s="1" t="s">
        <v>255</v>
      </c>
      <c r="H356" s="1" t="s">
        <v>258</v>
      </c>
      <c r="I356" s="1" t="s">
        <v>260</v>
      </c>
      <c r="J356" s="1" t="s">
        <v>492</v>
      </c>
      <c r="K356" s="85" t="s">
        <v>552</v>
      </c>
      <c r="L356" s="1" t="s">
        <v>259</v>
      </c>
      <c r="M356" s="1" t="s">
        <v>251</v>
      </c>
      <c r="N356" s="1" t="s">
        <v>257</v>
      </c>
      <c r="O356" s="1" t="s">
        <v>247</v>
      </c>
      <c r="P356" s="1"/>
      <c r="Q356" s="1"/>
      <c r="R356" s="1" t="s">
        <v>256</v>
      </c>
      <c r="S356" s="85" t="s">
        <v>442</v>
      </c>
      <c r="T356" s="85" t="s">
        <v>443</v>
      </c>
      <c r="U356" s="85" t="s">
        <v>444</v>
      </c>
      <c r="V356" s="85" t="s">
        <v>445</v>
      </c>
      <c r="W356" s="85" t="s">
        <v>446</v>
      </c>
      <c r="X356" s="85"/>
      <c r="Y356" s="85"/>
      <c r="Z356" s="85"/>
      <c r="AA356" s="85" t="s">
        <v>489</v>
      </c>
      <c r="AB356" s="85" t="s">
        <v>490</v>
      </c>
      <c r="AC356" s="85"/>
      <c r="AD356" s="85" t="s">
        <v>507</v>
      </c>
      <c r="AE356" s="85"/>
      <c r="AF356" s="85"/>
      <c r="AG356" s="85"/>
      <c r="AH356" s="85"/>
      <c r="AI356" s="85"/>
      <c r="AJ356" s="85"/>
      <c r="AK356" s="85"/>
      <c r="AL356" s="85"/>
      <c r="AM356" s="85"/>
      <c r="AN356" s="85"/>
      <c r="AO356" s="1" t="s">
        <v>559</v>
      </c>
      <c r="AP356" s="85"/>
      <c r="AQ356" s="85" t="s">
        <v>597</v>
      </c>
    </row>
    <row r="357" spans="1:43" x14ac:dyDescent="0.35">
      <c r="A357" s="134" t="s">
        <v>589</v>
      </c>
      <c r="B357" s="64">
        <f>_xlfn.XLOOKUP(A357,T_Custos[Produto],T_Custos[Peso])</f>
        <v>1</v>
      </c>
      <c r="C357" s="65" t="str">
        <f>_xlfn.XLOOKUP(A357,T_Custos[Produto],T_Custos[Und])</f>
        <v>kg</v>
      </c>
      <c r="D357" s="1"/>
      <c r="E357" s="1"/>
      <c r="F357" s="1"/>
      <c r="G357" s="1"/>
      <c r="H357" s="1"/>
      <c r="I357" s="1"/>
      <c r="J357" s="1"/>
      <c r="K357" s="85"/>
      <c r="L357" s="1"/>
      <c r="M357" s="1"/>
      <c r="N357" s="1"/>
      <c r="O357" s="1"/>
      <c r="P357" s="1"/>
      <c r="Q357" s="1"/>
      <c r="R357" s="1"/>
      <c r="S357" s="85"/>
      <c r="T357" s="85"/>
      <c r="U357" s="85"/>
      <c r="V357" s="85"/>
      <c r="W357" s="85"/>
      <c r="X357" s="85"/>
      <c r="Y357" s="85"/>
      <c r="Z357" s="85"/>
      <c r="AA357" s="85"/>
      <c r="AB357" s="85"/>
      <c r="AC357" s="85"/>
      <c r="AD357" s="85"/>
      <c r="AE357" s="85"/>
      <c r="AF357" s="85"/>
      <c r="AG357" s="85"/>
      <c r="AH357" s="85"/>
      <c r="AI357" s="85"/>
      <c r="AJ357" s="85"/>
      <c r="AK357" s="85"/>
      <c r="AL357" s="85"/>
      <c r="AM357" s="85"/>
      <c r="AN357" s="85"/>
      <c r="AO357" s="85"/>
      <c r="AP357" s="85" t="s">
        <v>591</v>
      </c>
      <c r="AQ357" s="85"/>
    </row>
    <row r="358" spans="1:43" x14ac:dyDescent="0.35">
      <c r="A358" s="85" t="s">
        <v>159</v>
      </c>
      <c r="B358" s="48">
        <f>_xlfn.XLOOKUP(A358,T_Custos[Produto],T_Custos[Peso])</f>
        <v>1</v>
      </c>
      <c r="C358" s="49" t="str">
        <f>_xlfn.XLOOKUP(A358,T_Custos[Produto],T_Custos[Und])</f>
        <v>kg</v>
      </c>
      <c r="D358" s="1" t="s">
        <v>252</v>
      </c>
      <c r="E358" s="1" t="s">
        <v>261</v>
      </c>
      <c r="F358" s="1" t="s">
        <v>248</v>
      </c>
      <c r="G358" s="1" t="s">
        <v>255</v>
      </c>
      <c r="H358" s="1" t="s">
        <v>258</v>
      </c>
      <c r="I358" s="1" t="s">
        <v>260</v>
      </c>
      <c r="J358" s="1" t="s">
        <v>492</v>
      </c>
      <c r="K358" s="85" t="s">
        <v>552</v>
      </c>
      <c r="L358" s="1" t="s">
        <v>259</v>
      </c>
      <c r="M358" s="1" t="s">
        <v>251</v>
      </c>
      <c r="N358" s="1" t="s">
        <v>257</v>
      </c>
      <c r="O358" s="1" t="s">
        <v>247</v>
      </c>
      <c r="P358" s="1"/>
      <c r="Q358" s="1"/>
      <c r="R358" s="1" t="s">
        <v>256</v>
      </c>
      <c r="S358" s="85" t="s">
        <v>442</v>
      </c>
      <c r="T358" s="85" t="s">
        <v>443</v>
      </c>
      <c r="U358" s="85" t="s">
        <v>444</v>
      </c>
      <c r="V358" s="85" t="s">
        <v>445</v>
      </c>
      <c r="W358" s="85" t="s">
        <v>446</v>
      </c>
      <c r="X358" s="85" t="s">
        <v>452</v>
      </c>
      <c r="Y358" s="85"/>
      <c r="Z358" s="85"/>
      <c r="AA358" s="85" t="s">
        <v>489</v>
      </c>
      <c r="AB358" s="85" t="s">
        <v>490</v>
      </c>
      <c r="AC358" s="85"/>
      <c r="AD358" s="85"/>
      <c r="AE358" s="85"/>
      <c r="AF358" s="85"/>
      <c r="AG358" s="85"/>
      <c r="AH358" s="85"/>
      <c r="AI358" s="85"/>
      <c r="AJ358" s="85"/>
      <c r="AK358" s="85"/>
      <c r="AL358" s="85"/>
      <c r="AM358" s="85"/>
      <c r="AN358" s="85"/>
      <c r="AO358" s="1" t="s">
        <v>559</v>
      </c>
      <c r="AP358" s="85" t="s">
        <v>591</v>
      </c>
      <c r="AQ358" s="85" t="s">
        <v>597</v>
      </c>
    </row>
    <row r="359" spans="1:43" x14ac:dyDescent="0.35">
      <c r="A359" s="85" t="s">
        <v>160</v>
      </c>
      <c r="B359" s="48">
        <f>_xlfn.XLOOKUP(A359,T_Custos[Produto],T_Custos[Peso])</f>
        <v>9</v>
      </c>
      <c r="C359" s="49" t="str">
        <f>_xlfn.XLOOKUP(A359,T_Custos[Produto],T_Custos[Und])</f>
        <v>kg</v>
      </c>
      <c r="D359" s="1" t="s">
        <v>252</v>
      </c>
      <c r="E359" s="1" t="s">
        <v>261</v>
      </c>
      <c r="F359" s="1" t="s">
        <v>248</v>
      </c>
      <c r="G359" s="1" t="s">
        <v>255</v>
      </c>
      <c r="H359" s="1" t="s">
        <v>258</v>
      </c>
      <c r="I359" s="1" t="s">
        <v>260</v>
      </c>
      <c r="J359" s="1" t="s">
        <v>492</v>
      </c>
      <c r="K359" s="85" t="s">
        <v>552</v>
      </c>
      <c r="L359" s="1" t="s">
        <v>259</v>
      </c>
      <c r="M359" s="1" t="s">
        <v>251</v>
      </c>
      <c r="N359" s="1" t="s">
        <v>257</v>
      </c>
      <c r="O359" s="1" t="s">
        <v>247</v>
      </c>
      <c r="P359" s="1"/>
      <c r="Q359" s="1"/>
      <c r="R359" s="1" t="s">
        <v>256</v>
      </c>
      <c r="S359" s="85" t="s">
        <v>442</v>
      </c>
      <c r="T359" s="85" t="s">
        <v>443</v>
      </c>
      <c r="U359" s="85" t="s">
        <v>444</v>
      </c>
      <c r="V359" s="85" t="s">
        <v>445</v>
      </c>
      <c r="W359" s="85" t="s">
        <v>446</v>
      </c>
      <c r="X359" s="85" t="s">
        <v>452</v>
      </c>
      <c r="Y359" s="85"/>
      <c r="Z359" s="85"/>
      <c r="AA359" s="85" t="s">
        <v>489</v>
      </c>
      <c r="AB359" s="85" t="s">
        <v>490</v>
      </c>
      <c r="AC359" s="85"/>
      <c r="AD359" s="85"/>
      <c r="AE359" s="85"/>
      <c r="AF359" s="85"/>
      <c r="AG359" s="85"/>
      <c r="AH359" s="85"/>
      <c r="AI359" s="85"/>
      <c r="AJ359" s="85" t="s">
        <v>519</v>
      </c>
      <c r="AK359" s="85" t="s">
        <v>520</v>
      </c>
      <c r="AL359" s="85"/>
      <c r="AM359" s="85" t="s">
        <v>537</v>
      </c>
      <c r="AN359" s="85" t="s">
        <v>538</v>
      </c>
      <c r="AO359" s="1" t="s">
        <v>559</v>
      </c>
      <c r="AP359" s="85" t="s">
        <v>591</v>
      </c>
      <c r="AQ359" s="85" t="s">
        <v>597</v>
      </c>
    </row>
    <row r="360" spans="1:43" x14ac:dyDescent="0.35">
      <c r="A360" s="134" t="s">
        <v>477</v>
      </c>
      <c r="B360" s="64">
        <f>_xlfn.XLOOKUP(A360,T_Custos[Produto],T_Custos[Peso])</f>
        <v>9</v>
      </c>
      <c r="C360" s="65" t="str">
        <f>_xlfn.XLOOKUP(A360,T_Custos[Produto],T_Custos[Und])</f>
        <v>kg</v>
      </c>
      <c r="D360" s="1" t="s">
        <v>252</v>
      </c>
      <c r="E360" s="1" t="s">
        <v>261</v>
      </c>
      <c r="F360" s="1" t="s">
        <v>248</v>
      </c>
      <c r="G360" s="1" t="s">
        <v>255</v>
      </c>
      <c r="H360" s="1" t="s">
        <v>258</v>
      </c>
      <c r="I360" s="1" t="s">
        <v>260</v>
      </c>
      <c r="J360" s="1" t="s">
        <v>492</v>
      </c>
      <c r="K360" s="85" t="s">
        <v>552</v>
      </c>
      <c r="L360" s="1" t="s">
        <v>259</v>
      </c>
      <c r="M360" s="1" t="s">
        <v>251</v>
      </c>
      <c r="N360" s="1" t="s">
        <v>257</v>
      </c>
      <c r="O360" s="1" t="s">
        <v>247</v>
      </c>
      <c r="P360" s="1"/>
      <c r="Q360" s="1"/>
      <c r="R360" s="1" t="s">
        <v>256</v>
      </c>
      <c r="S360" s="85" t="s">
        <v>442</v>
      </c>
      <c r="T360" s="85" t="s">
        <v>443</v>
      </c>
      <c r="U360" s="85" t="s">
        <v>444</v>
      </c>
      <c r="V360" s="85" t="s">
        <v>445</v>
      </c>
      <c r="W360" s="85" t="s">
        <v>446</v>
      </c>
      <c r="X360" s="85" t="s">
        <v>452</v>
      </c>
      <c r="Y360" s="85"/>
      <c r="Z360" s="85"/>
      <c r="AA360" s="85" t="s">
        <v>489</v>
      </c>
      <c r="AB360" s="85" t="s">
        <v>490</v>
      </c>
      <c r="AC360" s="85"/>
      <c r="AD360" s="85"/>
      <c r="AE360" s="85"/>
      <c r="AF360" s="85"/>
      <c r="AG360" s="85"/>
      <c r="AH360" s="85"/>
      <c r="AI360" s="85"/>
      <c r="AJ360" s="85"/>
      <c r="AK360" s="85"/>
      <c r="AL360" s="85"/>
      <c r="AM360" s="85" t="s">
        <v>537</v>
      </c>
      <c r="AN360" s="85" t="s">
        <v>538</v>
      </c>
      <c r="AO360" s="1" t="s">
        <v>559</v>
      </c>
      <c r="AP360" s="85" t="s">
        <v>591</v>
      </c>
      <c r="AQ360" s="85" t="s">
        <v>597</v>
      </c>
    </row>
    <row r="361" spans="1:43" x14ac:dyDescent="0.35">
      <c r="A361" s="134" t="s">
        <v>161</v>
      </c>
      <c r="B361" s="64">
        <f>_xlfn.XLOOKUP(A361,T_Custos[Produto],T_Custos[Peso])</f>
        <v>20</v>
      </c>
      <c r="C361" s="65" t="str">
        <f>_xlfn.XLOOKUP(A361,T_Custos[Produto],T_Custos[Und])</f>
        <v>kg</v>
      </c>
      <c r="D361" s="1" t="s">
        <v>252</v>
      </c>
      <c r="E361" s="1" t="s">
        <v>261</v>
      </c>
      <c r="F361" s="1" t="s">
        <v>248</v>
      </c>
      <c r="G361" s="1" t="s">
        <v>255</v>
      </c>
      <c r="H361" s="1" t="s">
        <v>258</v>
      </c>
      <c r="I361" s="1" t="s">
        <v>260</v>
      </c>
      <c r="J361" s="1" t="s">
        <v>492</v>
      </c>
      <c r="K361" s="85" t="s">
        <v>552</v>
      </c>
      <c r="L361" s="1" t="s">
        <v>259</v>
      </c>
      <c r="M361" s="1" t="s">
        <v>251</v>
      </c>
      <c r="N361" s="1" t="s">
        <v>257</v>
      </c>
      <c r="O361" s="1" t="s">
        <v>247</v>
      </c>
      <c r="P361" s="1"/>
      <c r="Q361" s="1"/>
      <c r="R361" s="1" t="s">
        <v>256</v>
      </c>
      <c r="S361" s="85" t="s">
        <v>442</v>
      </c>
      <c r="T361" s="85" t="s">
        <v>443</v>
      </c>
      <c r="U361" s="85" t="s">
        <v>444</v>
      </c>
      <c r="V361" s="85" t="s">
        <v>445</v>
      </c>
      <c r="W361" s="85" t="s">
        <v>446</v>
      </c>
      <c r="X361" s="85" t="s">
        <v>452</v>
      </c>
      <c r="Y361" s="85"/>
      <c r="Z361" s="85"/>
      <c r="AA361" s="85" t="s">
        <v>489</v>
      </c>
      <c r="AB361" s="85" t="s">
        <v>490</v>
      </c>
      <c r="AC361" s="85"/>
      <c r="AD361" s="85"/>
      <c r="AE361" s="85"/>
      <c r="AF361" s="85"/>
      <c r="AG361" s="85"/>
      <c r="AH361" s="85"/>
      <c r="AI361" s="85"/>
      <c r="AJ361" s="85"/>
      <c r="AK361" s="85"/>
      <c r="AL361" s="85"/>
      <c r="AM361" s="85" t="s">
        <v>537</v>
      </c>
      <c r="AN361" s="85" t="s">
        <v>538</v>
      </c>
      <c r="AO361" s="1" t="s">
        <v>559</v>
      </c>
      <c r="AP361" s="85" t="s">
        <v>591</v>
      </c>
      <c r="AQ361" s="85" t="s">
        <v>597</v>
      </c>
    </row>
    <row r="362" spans="1:43" x14ac:dyDescent="0.35">
      <c r="A362" s="134" t="s">
        <v>162</v>
      </c>
      <c r="B362" s="64">
        <f>_xlfn.XLOOKUP(A362,T_Custos[Produto],T_Custos[Peso])</f>
        <v>20</v>
      </c>
      <c r="C362" s="65" t="str">
        <f>_xlfn.XLOOKUP(A362,T_Custos[Produto],T_Custos[Und])</f>
        <v>kg</v>
      </c>
      <c r="D362" s="1" t="s">
        <v>252</v>
      </c>
      <c r="E362" s="1" t="s">
        <v>261</v>
      </c>
      <c r="F362" s="1" t="s">
        <v>248</v>
      </c>
      <c r="G362" s="1" t="s">
        <v>255</v>
      </c>
      <c r="H362" s="1" t="s">
        <v>258</v>
      </c>
      <c r="I362" s="1" t="s">
        <v>260</v>
      </c>
      <c r="J362" s="1" t="s">
        <v>492</v>
      </c>
      <c r="K362" s="85" t="s">
        <v>552</v>
      </c>
      <c r="L362" s="1" t="s">
        <v>259</v>
      </c>
      <c r="M362" s="1" t="s">
        <v>251</v>
      </c>
      <c r="N362" s="1" t="s">
        <v>257</v>
      </c>
      <c r="O362" s="1" t="s">
        <v>247</v>
      </c>
      <c r="P362" s="1"/>
      <c r="Q362" s="1"/>
      <c r="R362" s="1" t="s">
        <v>256</v>
      </c>
      <c r="S362" s="85" t="s">
        <v>442</v>
      </c>
      <c r="T362" s="85" t="s">
        <v>443</v>
      </c>
      <c r="U362" s="85" t="s">
        <v>444</v>
      </c>
      <c r="V362" s="85" t="s">
        <v>445</v>
      </c>
      <c r="W362" s="85" t="s">
        <v>446</v>
      </c>
      <c r="X362" s="85" t="s">
        <v>452</v>
      </c>
      <c r="Y362" s="85" t="s">
        <v>463</v>
      </c>
      <c r="Z362" s="85" t="s">
        <v>465</v>
      </c>
      <c r="AA362" s="85" t="s">
        <v>489</v>
      </c>
      <c r="AB362" s="85" t="s">
        <v>490</v>
      </c>
      <c r="AC362" s="85" t="s">
        <v>503</v>
      </c>
      <c r="AD362" s="85" t="s">
        <v>507</v>
      </c>
      <c r="AE362" s="85" t="s">
        <v>509</v>
      </c>
      <c r="AF362" s="85" t="s">
        <v>515</v>
      </c>
      <c r="AG362" s="85" t="s">
        <v>516</v>
      </c>
      <c r="AH362" s="85" t="s">
        <v>517</v>
      </c>
      <c r="AI362" s="85" t="s">
        <v>518</v>
      </c>
      <c r="AJ362" s="85" t="s">
        <v>519</v>
      </c>
      <c r="AK362" s="85" t="s">
        <v>520</v>
      </c>
      <c r="AL362" s="85" t="s">
        <v>521</v>
      </c>
      <c r="AM362" s="85" t="s">
        <v>537</v>
      </c>
      <c r="AN362" s="85" t="s">
        <v>538</v>
      </c>
      <c r="AO362" s="1" t="s">
        <v>559</v>
      </c>
      <c r="AP362" s="85" t="s">
        <v>591</v>
      </c>
      <c r="AQ362" s="85" t="s">
        <v>597</v>
      </c>
    </row>
    <row r="363" spans="1:43" x14ac:dyDescent="0.35">
      <c r="A363" s="134" t="s">
        <v>163</v>
      </c>
      <c r="B363" s="64">
        <f>_xlfn.XLOOKUP(A363,T_Custos[Produto],T_Custos[Peso])</f>
        <v>20</v>
      </c>
      <c r="C363" s="65" t="str">
        <f>_xlfn.XLOOKUP(A363,T_Custos[Produto],T_Custos[Und])</f>
        <v>kg</v>
      </c>
      <c r="D363" s="1" t="s">
        <v>252</v>
      </c>
      <c r="E363" s="1" t="s">
        <v>261</v>
      </c>
      <c r="F363" s="1" t="s">
        <v>248</v>
      </c>
      <c r="G363" s="1" t="s">
        <v>255</v>
      </c>
      <c r="H363" s="1" t="s">
        <v>258</v>
      </c>
      <c r="I363" s="1" t="s">
        <v>260</v>
      </c>
      <c r="J363" s="1" t="s">
        <v>492</v>
      </c>
      <c r="K363" s="85" t="s">
        <v>552</v>
      </c>
      <c r="L363" s="1" t="s">
        <v>259</v>
      </c>
      <c r="M363" s="1" t="s">
        <v>251</v>
      </c>
      <c r="N363" s="1" t="s">
        <v>257</v>
      </c>
      <c r="O363" s="1" t="s">
        <v>247</v>
      </c>
      <c r="P363" s="1"/>
      <c r="Q363" s="1"/>
      <c r="R363" s="1" t="s">
        <v>256</v>
      </c>
      <c r="S363" s="85" t="s">
        <v>442</v>
      </c>
      <c r="T363" s="85" t="s">
        <v>443</v>
      </c>
      <c r="U363" s="85" t="s">
        <v>444</v>
      </c>
      <c r="V363" s="85" t="s">
        <v>445</v>
      </c>
      <c r="W363" s="85" t="s">
        <v>446</v>
      </c>
      <c r="X363" s="85" t="s">
        <v>452</v>
      </c>
      <c r="Y363" s="85"/>
      <c r="Z363" s="85"/>
      <c r="AA363" s="85" t="s">
        <v>489</v>
      </c>
      <c r="AB363" s="85" t="s">
        <v>490</v>
      </c>
      <c r="AC363" s="85"/>
      <c r="AD363" s="85" t="s">
        <v>507</v>
      </c>
      <c r="AE363" s="85"/>
      <c r="AF363" s="85"/>
      <c r="AG363" s="85"/>
      <c r="AH363" s="85"/>
      <c r="AI363" s="85"/>
      <c r="AJ363" s="85"/>
      <c r="AK363" s="85"/>
      <c r="AL363" s="85"/>
      <c r="AM363" s="85"/>
      <c r="AN363" s="85"/>
      <c r="AO363" s="1" t="s">
        <v>559</v>
      </c>
      <c r="AP363" s="85"/>
      <c r="AQ363" s="85" t="s">
        <v>597</v>
      </c>
    </row>
    <row r="364" spans="1:43" x14ac:dyDescent="0.35">
      <c r="A364" s="134" t="s">
        <v>433</v>
      </c>
      <c r="B364" s="64">
        <f>_xlfn.XLOOKUP(A364,T_Custos[Produto],T_Custos[Peso])</f>
        <v>1</v>
      </c>
      <c r="C364" s="65" t="str">
        <f>_xlfn.XLOOKUP(A364,T_Custos[Produto],T_Custos[Und])</f>
        <v>bd</v>
      </c>
      <c r="D364" s="1"/>
      <c r="E364" s="1"/>
      <c r="F364" s="1"/>
      <c r="G364" s="1"/>
      <c r="H364" s="1"/>
      <c r="I364" s="1"/>
      <c r="J364" s="1"/>
      <c r="K364" s="85"/>
      <c r="L364" s="1"/>
      <c r="M364" s="1"/>
      <c r="N364" s="1"/>
      <c r="O364" s="1"/>
      <c r="P364" s="47" t="s">
        <v>253</v>
      </c>
      <c r="Q364" s="47" t="s">
        <v>254</v>
      </c>
      <c r="R364" s="1"/>
      <c r="S364" s="85" t="s">
        <v>442</v>
      </c>
      <c r="T364" s="85" t="s">
        <v>443</v>
      </c>
      <c r="U364" s="85" t="s">
        <v>444</v>
      </c>
      <c r="V364" s="85" t="s">
        <v>445</v>
      </c>
      <c r="W364" s="85" t="s">
        <v>446</v>
      </c>
      <c r="X364" s="85" t="s">
        <v>452</v>
      </c>
      <c r="Y364" s="85"/>
      <c r="Z364" s="85"/>
      <c r="AA364" s="85"/>
      <c r="AB364" s="85"/>
      <c r="AC364" s="85"/>
      <c r="AD364" s="85"/>
      <c r="AE364" s="85"/>
      <c r="AF364" s="85"/>
      <c r="AG364" s="85"/>
      <c r="AH364" s="85"/>
      <c r="AI364" s="85"/>
      <c r="AJ364" s="85"/>
      <c r="AK364" s="85"/>
      <c r="AL364" s="85"/>
      <c r="AM364" s="85"/>
      <c r="AN364" s="85"/>
      <c r="AO364" s="1"/>
      <c r="AP364" s="85"/>
      <c r="AQ364" s="85"/>
    </row>
    <row r="365" spans="1:43" x14ac:dyDescent="0.35">
      <c r="A365" s="134" t="s">
        <v>164</v>
      </c>
      <c r="B365" s="64">
        <f>_xlfn.XLOOKUP(A365,T_Custos[Produto],T_Custos[Peso])</f>
        <v>1</v>
      </c>
      <c r="C365" s="65" t="str">
        <f>_xlfn.XLOOKUP(A365,T_Custos[Produto],T_Custos[Und])</f>
        <v>kg</v>
      </c>
      <c r="D365" s="1" t="s">
        <v>252</v>
      </c>
      <c r="E365" s="1" t="s">
        <v>261</v>
      </c>
      <c r="F365" s="1" t="s">
        <v>248</v>
      </c>
      <c r="G365" s="1" t="s">
        <v>255</v>
      </c>
      <c r="H365" s="1" t="s">
        <v>258</v>
      </c>
      <c r="I365" s="1" t="s">
        <v>260</v>
      </c>
      <c r="J365" s="1" t="s">
        <v>492</v>
      </c>
      <c r="K365" s="85" t="s">
        <v>552</v>
      </c>
      <c r="L365" s="1" t="s">
        <v>259</v>
      </c>
      <c r="M365" s="1" t="s">
        <v>251</v>
      </c>
      <c r="N365" s="1" t="s">
        <v>257</v>
      </c>
      <c r="O365" s="1" t="s">
        <v>247</v>
      </c>
      <c r="P365" s="1"/>
      <c r="Q365" s="1"/>
      <c r="R365" s="1" t="s">
        <v>256</v>
      </c>
      <c r="S365" s="85" t="s">
        <v>442</v>
      </c>
      <c r="T365" s="85" t="s">
        <v>443</v>
      </c>
      <c r="U365" s="85" t="s">
        <v>444</v>
      </c>
      <c r="V365" s="85" t="s">
        <v>445</v>
      </c>
      <c r="W365" s="85" t="s">
        <v>446</v>
      </c>
      <c r="X365" s="85" t="s">
        <v>452</v>
      </c>
      <c r="Y365" s="85" t="s">
        <v>463</v>
      </c>
      <c r="Z365" s="85"/>
      <c r="AA365" s="85" t="s">
        <v>489</v>
      </c>
      <c r="AB365" s="85" t="s">
        <v>490</v>
      </c>
      <c r="AC365" s="85" t="s">
        <v>503</v>
      </c>
      <c r="AD365" s="85" t="s">
        <v>507</v>
      </c>
      <c r="AE365" s="85"/>
      <c r="AF365" s="85"/>
      <c r="AG365" s="85"/>
      <c r="AH365" s="85"/>
      <c r="AI365" s="85" t="s">
        <v>518</v>
      </c>
      <c r="AJ365" s="85" t="s">
        <v>519</v>
      </c>
      <c r="AK365" s="85"/>
      <c r="AL365" s="85" t="s">
        <v>521</v>
      </c>
      <c r="AM365" s="85"/>
      <c r="AN365" s="85"/>
      <c r="AO365" s="1" t="s">
        <v>559</v>
      </c>
      <c r="AP365" s="85" t="s">
        <v>591</v>
      </c>
      <c r="AQ365" s="85" t="s">
        <v>597</v>
      </c>
    </row>
    <row r="366" spans="1:43" x14ac:dyDescent="0.35">
      <c r="A366" s="85" t="s">
        <v>165</v>
      </c>
      <c r="B366" s="64">
        <f>_xlfn.XLOOKUP(A366,T_Custos[Produto],T_Custos[Peso])</f>
        <v>1</v>
      </c>
      <c r="C366" s="65" t="str">
        <f>_xlfn.XLOOKUP(A366,T_Custos[Produto],T_Custos[Und])</f>
        <v>bd</v>
      </c>
      <c r="D366" s="1" t="s">
        <v>252</v>
      </c>
      <c r="E366" s="1" t="s">
        <v>261</v>
      </c>
      <c r="F366" s="1" t="s">
        <v>248</v>
      </c>
      <c r="G366" s="1" t="s">
        <v>255</v>
      </c>
      <c r="H366" s="1" t="s">
        <v>258</v>
      </c>
      <c r="I366" s="1" t="s">
        <v>260</v>
      </c>
      <c r="J366" s="1" t="s">
        <v>492</v>
      </c>
      <c r="K366" s="85" t="s">
        <v>552</v>
      </c>
      <c r="L366" s="1" t="s">
        <v>259</v>
      </c>
      <c r="M366" s="1" t="s">
        <v>251</v>
      </c>
      <c r="N366" s="1" t="s">
        <v>257</v>
      </c>
      <c r="O366" s="1" t="s">
        <v>247</v>
      </c>
      <c r="P366" s="1"/>
      <c r="Q366" s="1"/>
      <c r="R366" s="1" t="s">
        <v>256</v>
      </c>
      <c r="S366" s="85" t="s">
        <v>442</v>
      </c>
      <c r="T366" s="85" t="s">
        <v>443</v>
      </c>
      <c r="U366" s="85" t="s">
        <v>444</v>
      </c>
      <c r="V366" s="85" t="s">
        <v>445</v>
      </c>
      <c r="W366" s="85" t="s">
        <v>446</v>
      </c>
      <c r="X366" s="85" t="s">
        <v>452</v>
      </c>
      <c r="Y366" s="85"/>
      <c r="Z366" s="85"/>
      <c r="AA366" s="85" t="s">
        <v>489</v>
      </c>
      <c r="AB366" s="85" t="s">
        <v>490</v>
      </c>
      <c r="AC366" s="85" t="s">
        <v>503</v>
      </c>
      <c r="AD366" s="85"/>
      <c r="AE366" s="85" t="s">
        <v>509</v>
      </c>
      <c r="AF366" s="85"/>
      <c r="AG366" s="85"/>
      <c r="AH366" s="85"/>
      <c r="AI366" s="85" t="s">
        <v>518</v>
      </c>
      <c r="AJ366" s="85" t="s">
        <v>519</v>
      </c>
      <c r="AK366" s="85"/>
      <c r="AL366" s="85" t="s">
        <v>521</v>
      </c>
      <c r="AM366" s="85"/>
      <c r="AN366" s="85"/>
      <c r="AO366" s="1" t="s">
        <v>559</v>
      </c>
      <c r="AP366" s="85" t="s">
        <v>591</v>
      </c>
      <c r="AQ366" s="85" t="s">
        <v>597</v>
      </c>
    </row>
    <row r="367" spans="1:43" x14ac:dyDescent="0.35">
      <c r="A367" s="85" t="s">
        <v>166</v>
      </c>
      <c r="B367" s="64">
        <f>_xlfn.XLOOKUP(A367,T_Custos[Produto],T_Custos[Peso])</f>
        <v>1</v>
      </c>
      <c r="C367" s="65" t="str">
        <f>_xlfn.XLOOKUP(A367,T_Custos[Produto],T_Custos[Und])</f>
        <v>bd</v>
      </c>
      <c r="D367" s="1" t="s">
        <v>252</v>
      </c>
      <c r="E367" s="1" t="s">
        <v>261</v>
      </c>
      <c r="F367" s="1" t="s">
        <v>248</v>
      </c>
      <c r="G367" s="1" t="s">
        <v>255</v>
      </c>
      <c r="H367" s="1" t="s">
        <v>258</v>
      </c>
      <c r="I367" s="1" t="s">
        <v>260</v>
      </c>
      <c r="J367" s="1" t="s">
        <v>492</v>
      </c>
      <c r="K367" s="85" t="s">
        <v>552</v>
      </c>
      <c r="L367" s="1" t="s">
        <v>259</v>
      </c>
      <c r="M367" s="1" t="s">
        <v>251</v>
      </c>
      <c r="N367" s="1" t="s">
        <v>257</v>
      </c>
      <c r="O367" s="1" t="s">
        <v>247</v>
      </c>
      <c r="P367" s="1"/>
      <c r="Q367" s="1"/>
      <c r="R367" s="1" t="s">
        <v>256</v>
      </c>
      <c r="S367" s="85" t="s">
        <v>442</v>
      </c>
      <c r="T367" s="85" t="s">
        <v>443</v>
      </c>
      <c r="U367" s="85" t="s">
        <v>444</v>
      </c>
      <c r="V367" s="85" t="s">
        <v>445</v>
      </c>
      <c r="W367" s="85" t="s">
        <v>446</v>
      </c>
      <c r="X367" s="85" t="s">
        <v>452</v>
      </c>
      <c r="Y367" s="85"/>
      <c r="Z367" s="85"/>
      <c r="AA367" s="85" t="s">
        <v>489</v>
      </c>
      <c r="AB367" s="85" t="s">
        <v>490</v>
      </c>
      <c r="AC367" s="85" t="s">
        <v>503</v>
      </c>
      <c r="AD367" s="85"/>
      <c r="AE367" s="85"/>
      <c r="AF367" s="85"/>
      <c r="AG367" s="85"/>
      <c r="AH367" s="85"/>
      <c r="AI367" s="85" t="s">
        <v>518</v>
      </c>
      <c r="AJ367" s="85" t="s">
        <v>519</v>
      </c>
      <c r="AK367" s="85"/>
      <c r="AL367" s="85" t="s">
        <v>521</v>
      </c>
      <c r="AM367" s="85"/>
      <c r="AN367" s="85"/>
      <c r="AO367" s="1" t="s">
        <v>559</v>
      </c>
      <c r="AP367" s="85" t="s">
        <v>591</v>
      </c>
      <c r="AQ367" s="85" t="s">
        <v>597</v>
      </c>
    </row>
    <row r="368" spans="1:43" x14ac:dyDescent="0.35">
      <c r="A368" s="134" t="s">
        <v>167</v>
      </c>
      <c r="B368" s="64">
        <f>_xlfn.XLOOKUP(A368,T_Custos[Produto],T_Custos[Peso])</f>
        <v>1</v>
      </c>
      <c r="C368" s="65" t="str">
        <f>_xlfn.XLOOKUP(A368,T_Custos[Produto],T_Custos[Und])</f>
        <v>bd</v>
      </c>
      <c r="D368" s="1" t="s">
        <v>252</v>
      </c>
      <c r="E368" s="1" t="s">
        <v>261</v>
      </c>
      <c r="F368" s="1" t="s">
        <v>248</v>
      </c>
      <c r="G368" s="1" t="s">
        <v>255</v>
      </c>
      <c r="H368" s="1" t="s">
        <v>258</v>
      </c>
      <c r="I368" s="1" t="s">
        <v>260</v>
      </c>
      <c r="J368" s="1" t="s">
        <v>492</v>
      </c>
      <c r="K368" s="85" t="s">
        <v>552</v>
      </c>
      <c r="L368" s="1" t="s">
        <v>259</v>
      </c>
      <c r="M368" s="1" t="s">
        <v>251</v>
      </c>
      <c r="N368" s="1" t="s">
        <v>257</v>
      </c>
      <c r="O368" s="1" t="s">
        <v>247</v>
      </c>
      <c r="P368" s="1"/>
      <c r="Q368" s="1"/>
      <c r="R368" s="1" t="s">
        <v>256</v>
      </c>
      <c r="S368" s="85" t="s">
        <v>442</v>
      </c>
      <c r="T368" s="85" t="s">
        <v>443</v>
      </c>
      <c r="U368" s="85" t="s">
        <v>444</v>
      </c>
      <c r="V368" s="85" t="s">
        <v>445</v>
      </c>
      <c r="W368" s="85" t="s">
        <v>446</v>
      </c>
      <c r="X368" s="85" t="s">
        <v>452</v>
      </c>
      <c r="Y368" s="85"/>
      <c r="Z368" s="85"/>
      <c r="AA368" s="85" t="s">
        <v>489</v>
      </c>
      <c r="AB368" s="85" t="s">
        <v>490</v>
      </c>
      <c r="AC368" s="85"/>
      <c r="AD368" s="85"/>
      <c r="AE368" s="85"/>
      <c r="AF368" s="85"/>
      <c r="AG368" s="85"/>
      <c r="AH368" s="85"/>
      <c r="AI368" s="85"/>
      <c r="AJ368" s="85"/>
      <c r="AK368" s="85"/>
      <c r="AL368" s="85"/>
      <c r="AM368" s="85"/>
      <c r="AN368" s="85"/>
      <c r="AO368" s="1" t="s">
        <v>559</v>
      </c>
      <c r="AP368" s="85" t="s">
        <v>591</v>
      </c>
      <c r="AQ368" s="85" t="s">
        <v>597</v>
      </c>
    </row>
    <row r="369" spans="1:43" x14ac:dyDescent="0.35">
      <c r="A369" s="134" t="s">
        <v>168</v>
      </c>
      <c r="B369" s="64">
        <f>_xlfn.XLOOKUP(A369,T_Custos[Produto],T_Custos[Peso])</f>
        <v>1</v>
      </c>
      <c r="C369" s="65" t="str">
        <f>_xlfn.XLOOKUP(A369,T_Custos[Produto],T_Custos[Und])</f>
        <v>bd</v>
      </c>
      <c r="D369" s="1" t="s">
        <v>252</v>
      </c>
      <c r="E369" s="1" t="s">
        <v>261</v>
      </c>
      <c r="F369" s="1" t="s">
        <v>248</v>
      </c>
      <c r="G369" s="1" t="s">
        <v>255</v>
      </c>
      <c r="H369" s="1" t="s">
        <v>258</v>
      </c>
      <c r="I369" s="1" t="s">
        <v>260</v>
      </c>
      <c r="J369" s="1" t="s">
        <v>492</v>
      </c>
      <c r="K369" s="85" t="s">
        <v>552</v>
      </c>
      <c r="L369" s="1" t="s">
        <v>259</v>
      </c>
      <c r="M369" s="1" t="s">
        <v>251</v>
      </c>
      <c r="N369" s="1" t="s">
        <v>257</v>
      </c>
      <c r="O369" s="1" t="s">
        <v>247</v>
      </c>
      <c r="P369" s="1"/>
      <c r="Q369" s="1"/>
      <c r="R369" s="1" t="s">
        <v>256</v>
      </c>
      <c r="S369" s="85" t="s">
        <v>442</v>
      </c>
      <c r="T369" s="85" t="s">
        <v>443</v>
      </c>
      <c r="U369" s="85" t="s">
        <v>444</v>
      </c>
      <c r="V369" s="85" t="s">
        <v>445</v>
      </c>
      <c r="W369" s="85" t="s">
        <v>446</v>
      </c>
      <c r="X369" s="85" t="s">
        <v>452</v>
      </c>
      <c r="Y369" s="85"/>
      <c r="Z369" s="85"/>
      <c r="AA369" s="85" t="s">
        <v>489</v>
      </c>
      <c r="AB369" s="85" t="s">
        <v>490</v>
      </c>
      <c r="AC369" s="85"/>
      <c r="AD369" s="85"/>
      <c r="AE369" s="85"/>
      <c r="AF369" s="85"/>
      <c r="AG369" s="85"/>
      <c r="AH369" s="85"/>
      <c r="AI369" s="85"/>
      <c r="AJ369" s="85"/>
      <c r="AK369" s="85"/>
      <c r="AL369" s="85"/>
      <c r="AM369" s="85"/>
      <c r="AN369" s="85"/>
      <c r="AO369" s="1" t="s">
        <v>559</v>
      </c>
      <c r="AP369" s="85" t="s">
        <v>591</v>
      </c>
      <c r="AQ369" s="85" t="s">
        <v>597</v>
      </c>
    </row>
    <row r="370" spans="1:43" x14ac:dyDescent="0.35">
      <c r="A370" s="134" t="s">
        <v>434</v>
      </c>
      <c r="B370" s="64">
        <f>_xlfn.XLOOKUP(A370,T_Custos[Produto],T_Custos[Peso])</f>
        <v>1</v>
      </c>
      <c r="C370" s="65" t="str">
        <f>_xlfn.XLOOKUP(A370,T_Custos[Produto],T_Custos[Und])</f>
        <v>bd</v>
      </c>
      <c r="D370" s="1"/>
      <c r="E370" s="1"/>
      <c r="F370" s="1"/>
      <c r="G370" s="1"/>
      <c r="H370" s="1"/>
      <c r="I370" s="1"/>
      <c r="J370" s="1"/>
      <c r="K370" s="85"/>
      <c r="L370" s="1"/>
      <c r="M370" s="1"/>
      <c r="N370" s="1"/>
      <c r="O370" s="1"/>
      <c r="P370" s="1"/>
      <c r="Q370" s="1"/>
      <c r="R370" s="1"/>
      <c r="S370" s="85" t="s">
        <v>442</v>
      </c>
      <c r="T370" s="85" t="s">
        <v>443</v>
      </c>
      <c r="U370" s="85" t="s">
        <v>444</v>
      </c>
      <c r="V370" s="85" t="s">
        <v>445</v>
      </c>
      <c r="W370" s="85" t="s">
        <v>446</v>
      </c>
      <c r="X370" s="85" t="s">
        <v>452</v>
      </c>
      <c r="Y370" s="85"/>
      <c r="Z370" s="85"/>
      <c r="AA370" s="85"/>
      <c r="AB370" s="85"/>
      <c r="AC370" s="85"/>
      <c r="AD370" s="85"/>
      <c r="AE370" s="85"/>
      <c r="AF370" s="85"/>
      <c r="AG370" s="85"/>
      <c r="AH370" s="85"/>
      <c r="AI370" s="85"/>
      <c r="AJ370" s="85"/>
      <c r="AK370" s="85"/>
      <c r="AL370" s="85"/>
      <c r="AM370" s="85"/>
      <c r="AN370" s="85"/>
      <c r="AO370" s="1"/>
      <c r="AP370" s="85"/>
      <c r="AQ370" s="85"/>
    </row>
    <row r="371" spans="1:43" x14ac:dyDescent="0.35">
      <c r="A371" s="134" t="s">
        <v>435</v>
      </c>
      <c r="B371" s="64">
        <f>_xlfn.XLOOKUP(A371,T_Custos[Produto],T_Custos[Peso])</f>
        <v>1</v>
      </c>
      <c r="C371" s="65" t="str">
        <f>_xlfn.XLOOKUP(A371,T_Custos[Produto],T_Custos[Und])</f>
        <v>bd</v>
      </c>
      <c r="D371" s="1"/>
      <c r="E371" s="1"/>
      <c r="F371" s="1"/>
      <c r="G371" s="1"/>
      <c r="H371" s="1"/>
      <c r="I371" s="1"/>
      <c r="J371" s="1"/>
      <c r="K371" s="85"/>
      <c r="L371" s="1"/>
      <c r="M371" s="1"/>
      <c r="N371" s="1"/>
      <c r="O371" s="1"/>
      <c r="P371" s="47" t="s">
        <v>253</v>
      </c>
      <c r="Q371" s="47" t="s">
        <v>254</v>
      </c>
      <c r="R371" s="1"/>
      <c r="S371" s="85" t="s">
        <v>442</v>
      </c>
      <c r="T371" s="85" t="s">
        <v>443</v>
      </c>
      <c r="U371" s="85" t="s">
        <v>444</v>
      </c>
      <c r="V371" s="85" t="s">
        <v>445</v>
      </c>
      <c r="W371" s="85" t="s">
        <v>446</v>
      </c>
      <c r="X371" s="85" t="s">
        <v>452</v>
      </c>
      <c r="Y371" s="85"/>
      <c r="Z371" s="85"/>
      <c r="AA371" s="85"/>
      <c r="AB371" s="85"/>
      <c r="AC371" s="85"/>
      <c r="AD371" s="85"/>
      <c r="AE371" s="85"/>
      <c r="AF371" s="85"/>
      <c r="AG371" s="85"/>
      <c r="AH371" s="85"/>
      <c r="AI371" s="85"/>
      <c r="AJ371" s="85"/>
      <c r="AK371" s="85"/>
      <c r="AL371" s="85"/>
      <c r="AM371" s="85"/>
      <c r="AN371" s="85"/>
      <c r="AO371" s="1"/>
      <c r="AP371" s="85"/>
      <c r="AQ371" s="85"/>
    </row>
    <row r="372" spans="1:43" x14ac:dyDescent="0.35">
      <c r="A372" s="134" t="s">
        <v>169</v>
      </c>
      <c r="B372" s="64">
        <f>_xlfn.XLOOKUP(A372,T_Custos[Produto],T_Custos[Peso])</f>
        <v>20</v>
      </c>
      <c r="C372" s="65" t="str">
        <f>_xlfn.XLOOKUP(A372,T_Custos[Produto],T_Custos[Und])</f>
        <v>kg</v>
      </c>
      <c r="D372" s="1" t="s">
        <v>252</v>
      </c>
      <c r="E372" s="1" t="s">
        <v>261</v>
      </c>
      <c r="F372" s="1" t="s">
        <v>248</v>
      </c>
      <c r="G372" s="1" t="s">
        <v>255</v>
      </c>
      <c r="H372" s="1" t="s">
        <v>258</v>
      </c>
      <c r="I372" s="1" t="s">
        <v>260</v>
      </c>
      <c r="J372" s="1" t="s">
        <v>492</v>
      </c>
      <c r="K372" s="85" t="s">
        <v>552</v>
      </c>
      <c r="L372" s="1" t="s">
        <v>259</v>
      </c>
      <c r="M372" s="1" t="s">
        <v>251</v>
      </c>
      <c r="N372" s="1" t="s">
        <v>257</v>
      </c>
      <c r="O372" s="1" t="s">
        <v>247</v>
      </c>
      <c r="P372" s="1"/>
      <c r="Q372" s="1"/>
      <c r="R372" s="1" t="s">
        <v>256</v>
      </c>
      <c r="S372" s="85" t="s">
        <v>442</v>
      </c>
      <c r="T372" s="85" t="s">
        <v>443</v>
      </c>
      <c r="U372" s="85" t="s">
        <v>444</v>
      </c>
      <c r="V372" s="85" t="s">
        <v>445</v>
      </c>
      <c r="W372" s="85" t="s">
        <v>446</v>
      </c>
      <c r="X372" s="85" t="s">
        <v>452</v>
      </c>
      <c r="Y372" s="85"/>
      <c r="Z372" s="85"/>
      <c r="AA372" s="85" t="s">
        <v>489</v>
      </c>
      <c r="AB372" s="85" t="s">
        <v>490</v>
      </c>
      <c r="AC372" s="85"/>
      <c r="AD372" s="85"/>
      <c r="AE372" s="85" t="s">
        <v>509</v>
      </c>
      <c r="AF372" s="85" t="s">
        <v>515</v>
      </c>
      <c r="AG372" s="85" t="s">
        <v>516</v>
      </c>
      <c r="AH372" s="85" t="s">
        <v>517</v>
      </c>
      <c r="AI372" s="85"/>
      <c r="AJ372" s="85"/>
      <c r="AK372" s="85"/>
      <c r="AL372" s="85"/>
      <c r="AM372" s="85" t="s">
        <v>537</v>
      </c>
      <c r="AN372" s="85" t="s">
        <v>538</v>
      </c>
      <c r="AO372" s="1" t="s">
        <v>559</v>
      </c>
      <c r="AP372" s="85" t="s">
        <v>591</v>
      </c>
      <c r="AQ372" s="85" t="s">
        <v>597</v>
      </c>
    </row>
    <row r="373" spans="1:43" x14ac:dyDescent="0.35">
      <c r="A373" s="134" t="s">
        <v>436</v>
      </c>
      <c r="B373" s="64">
        <f>_xlfn.XLOOKUP(A373,T_Custos[Produto],T_Custos[Peso])</f>
        <v>1</v>
      </c>
      <c r="C373" s="65" t="str">
        <f>_xlfn.XLOOKUP(A373,T_Custos[Produto],T_Custos[Und])</f>
        <v>bd</v>
      </c>
      <c r="D373" s="1"/>
      <c r="E373" s="1"/>
      <c r="F373" s="1"/>
      <c r="G373" s="1"/>
      <c r="H373" s="1"/>
      <c r="I373" s="1"/>
      <c r="J373" s="1"/>
      <c r="K373" s="85"/>
      <c r="L373" s="1"/>
      <c r="M373" s="1"/>
      <c r="N373" s="1"/>
      <c r="O373" s="1"/>
      <c r="P373" s="47" t="s">
        <v>253</v>
      </c>
      <c r="Q373" s="47" t="s">
        <v>254</v>
      </c>
      <c r="R373" s="1"/>
      <c r="S373" s="85" t="s">
        <v>442</v>
      </c>
      <c r="T373" s="85" t="s">
        <v>443</v>
      </c>
      <c r="U373" s="85" t="s">
        <v>444</v>
      </c>
      <c r="V373" s="85" t="s">
        <v>445</v>
      </c>
      <c r="W373" s="85" t="s">
        <v>446</v>
      </c>
      <c r="X373" s="85" t="s">
        <v>452</v>
      </c>
      <c r="Y373" s="85"/>
      <c r="Z373" s="85"/>
      <c r="AA373" s="85"/>
      <c r="AB373" s="85"/>
      <c r="AC373" s="85"/>
      <c r="AD373" s="85"/>
      <c r="AE373" s="85"/>
      <c r="AF373" s="85"/>
      <c r="AG373" s="85"/>
      <c r="AH373" s="85"/>
      <c r="AI373" s="85"/>
      <c r="AJ373" s="85"/>
      <c r="AK373" s="85"/>
      <c r="AL373" s="85"/>
      <c r="AM373" s="85"/>
      <c r="AN373" s="85"/>
      <c r="AO373" s="1"/>
      <c r="AP373" s="85"/>
      <c r="AQ373" s="85"/>
    </row>
    <row r="374" spans="1:43" x14ac:dyDescent="0.35">
      <c r="A374" s="134" t="s">
        <v>394</v>
      </c>
      <c r="B374" s="64">
        <f>_xlfn.XLOOKUP(A374,T_Custos[Produto],T_Custos[Peso])</f>
        <v>1</v>
      </c>
      <c r="C374" s="65" t="str">
        <f>_xlfn.XLOOKUP(A374,T_Custos[Produto],T_Custos[Und])</f>
        <v>und</v>
      </c>
      <c r="D374" s="1"/>
      <c r="E374" s="1"/>
      <c r="F374" s="1"/>
      <c r="G374" s="1"/>
      <c r="H374" s="1"/>
      <c r="I374" s="1"/>
      <c r="J374" s="1"/>
      <c r="K374" s="85"/>
      <c r="L374" s="1"/>
      <c r="M374" s="1"/>
      <c r="N374" s="1"/>
      <c r="O374" s="1"/>
      <c r="P374" s="47" t="s">
        <v>253</v>
      </c>
      <c r="Q374" s="47" t="s">
        <v>254</v>
      </c>
      <c r="R374" s="1"/>
      <c r="S374" s="85" t="s">
        <v>442</v>
      </c>
      <c r="T374" s="85" t="s">
        <v>443</v>
      </c>
      <c r="U374" s="85" t="s">
        <v>444</v>
      </c>
      <c r="V374" s="85" t="s">
        <v>445</v>
      </c>
      <c r="W374" s="85" t="s">
        <v>446</v>
      </c>
      <c r="X374" s="85"/>
      <c r="Y374" s="85"/>
      <c r="Z374" s="85"/>
      <c r="AA374" s="85"/>
      <c r="AB374" s="85"/>
      <c r="AC374" s="85"/>
      <c r="AD374" s="85"/>
      <c r="AE374" s="85"/>
      <c r="AF374" s="85"/>
      <c r="AG374" s="85"/>
      <c r="AH374" s="85"/>
      <c r="AI374" s="85"/>
      <c r="AJ374" s="85"/>
      <c r="AK374" s="85"/>
      <c r="AL374" s="85"/>
      <c r="AM374" s="85"/>
      <c r="AN374" s="85"/>
      <c r="AO374" s="1"/>
      <c r="AP374" s="85"/>
      <c r="AQ374" s="85"/>
    </row>
    <row r="375" spans="1:43" x14ac:dyDescent="0.35">
      <c r="A375" s="134" t="s">
        <v>393</v>
      </c>
      <c r="B375" s="64">
        <f>_xlfn.XLOOKUP(A375,T_Custos[Produto],T_Custos[Peso])</f>
        <v>1</v>
      </c>
      <c r="C375" s="65" t="str">
        <f>_xlfn.XLOOKUP(A375,T_Custos[Produto],T_Custos[Und])</f>
        <v>und</v>
      </c>
      <c r="D375" s="1"/>
      <c r="E375" s="1"/>
      <c r="F375" s="1"/>
      <c r="G375" s="1"/>
      <c r="H375" s="1"/>
      <c r="I375" s="1"/>
      <c r="J375" s="1"/>
      <c r="K375" s="85"/>
      <c r="L375" s="1"/>
      <c r="M375" s="1"/>
      <c r="N375" s="1"/>
      <c r="O375" s="1"/>
      <c r="P375" s="47" t="s">
        <v>253</v>
      </c>
      <c r="Q375" s="47" t="s">
        <v>254</v>
      </c>
      <c r="R375" s="1"/>
      <c r="S375" s="85" t="s">
        <v>442</v>
      </c>
      <c r="T375" s="85" t="s">
        <v>443</v>
      </c>
      <c r="U375" s="85" t="s">
        <v>444</v>
      </c>
      <c r="V375" s="85" t="s">
        <v>445</v>
      </c>
      <c r="W375" s="85" t="s">
        <v>446</v>
      </c>
      <c r="X375" s="85"/>
      <c r="Y375" s="85"/>
      <c r="Z375" s="85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5"/>
      <c r="AO375" s="1"/>
      <c r="AP375" s="85"/>
      <c r="AQ375" s="85"/>
    </row>
    <row r="376" spans="1:43" x14ac:dyDescent="0.35">
      <c r="A376" s="134" t="s">
        <v>220</v>
      </c>
      <c r="B376" s="64">
        <f>_xlfn.XLOOKUP(A376,T_Custos[Produto],T_Custos[Peso])</f>
        <v>1</v>
      </c>
      <c r="C376" s="65" t="str">
        <f>_xlfn.XLOOKUP(A376,T_Custos[Produto],T_Custos[Und])</f>
        <v>un</v>
      </c>
      <c r="D376" s="1" t="s">
        <v>252</v>
      </c>
      <c r="E376" s="1" t="s">
        <v>261</v>
      </c>
      <c r="F376" s="1" t="s">
        <v>248</v>
      </c>
      <c r="G376" s="1" t="s">
        <v>255</v>
      </c>
      <c r="H376" s="1" t="s">
        <v>258</v>
      </c>
      <c r="I376" s="1" t="s">
        <v>260</v>
      </c>
      <c r="J376" s="1" t="s">
        <v>492</v>
      </c>
      <c r="K376" s="85" t="s">
        <v>552</v>
      </c>
      <c r="L376" s="1" t="s">
        <v>259</v>
      </c>
      <c r="M376" s="1" t="s">
        <v>251</v>
      </c>
      <c r="N376" s="1" t="s">
        <v>257</v>
      </c>
      <c r="O376" s="1" t="s">
        <v>247</v>
      </c>
      <c r="P376" s="1"/>
      <c r="Q376" s="1"/>
      <c r="R376" s="1" t="s">
        <v>256</v>
      </c>
      <c r="S376" s="85" t="s">
        <v>442</v>
      </c>
      <c r="T376" s="85" t="s">
        <v>443</v>
      </c>
      <c r="U376" s="85" t="s">
        <v>444</v>
      </c>
      <c r="V376" s="85" t="s">
        <v>445</v>
      </c>
      <c r="W376" s="85" t="s">
        <v>446</v>
      </c>
      <c r="X376" s="85"/>
      <c r="Y376" s="85" t="s">
        <v>463</v>
      </c>
      <c r="Z376" s="85"/>
      <c r="AA376" s="85" t="s">
        <v>489</v>
      </c>
      <c r="AB376" s="85" t="s">
        <v>490</v>
      </c>
      <c r="AC376" s="85"/>
      <c r="AD376" s="85"/>
      <c r="AE376" s="85"/>
      <c r="AF376" s="85"/>
      <c r="AG376" s="85"/>
      <c r="AH376" s="85"/>
      <c r="AI376" s="85"/>
      <c r="AJ376" s="85"/>
      <c r="AK376" s="85"/>
      <c r="AL376" s="85"/>
      <c r="AM376" s="85"/>
      <c r="AN376" s="85"/>
      <c r="AO376" s="1" t="s">
        <v>559</v>
      </c>
      <c r="AP376" s="85"/>
      <c r="AQ376" s="85" t="s">
        <v>597</v>
      </c>
    </row>
    <row r="377" spans="1:43" x14ac:dyDescent="0.35">
      <c r="A377" s="134" t="s">
        <v>590</v>
      </c>
      <c r="B377" s="64">
        <f>_xlfn.XLOOKUP(A377,T_Custos[Produto],T_Custos[Peso])</f>
        <v>1</v>
      </c>
      <c r="C377" s="65" t="str">
        <f>_xlfn.XLOOKUP(A377,T_Custos[Produto],T_Custos[Und])</f>
        <v>kg</v>
      </c>
      <c r="D377" s="1"/>
      <c r="E377" s="1"/>
      <c r="F377" s="1"/>
      <c r="G377" s="1"/>
      <c r="H377" s="1"/>
      <c r="I377" s="1"/>
      <c r="J377" s="1"/>
      <c r="K377" s="85"/>
      <c r="L377" s="1"/>
      <c r="M377" s="1"/>
      <c r="N377" s="1"/>
      <c r="O377" s="1"/>
      <c r="P377" s="1"/>
      <c r="Q377" s="1"/>
      <c r="R377" s="1"/>
      <c r="S377" s="85"/>
      <c r="T377" s="85"/>
      <c r="U377" s="85"/>
      <c r="V377" s="85"/>
      <c r="W377" s="85"/>
      <c r="X377" s="85"/>
      <c r="Y377" s="85"/>
      <c r="Z377" s="85"/>
      <c r="AA377" s="85"/>
      <c r="AB377" s="85"/>
      <c r="AC377" s="85"/>
      <c r="AD377" s="85"/>
      <c r="AE377" s="85"/>
      <c r="AF377" s="85"/>
      <c r="AG377" s="85"/>
      <c r="AH377" s="85"/>
      <c r="AI377" s="85"/>
      <c r="AJ377" s="85"/>
      <c r="AK377" s="85"/>
      <c r="AL377" s="85"/>
      <c r="AM377" s="85"/>
      <c r="AN377" s="85"/>
      <c r="AO377" s="85"/>
      <c r="AP377" s="85" t="s">
        <v>591</v>
      </c>
      <c r="AQ377" s="85"/>
    </row>
    <row r="378" spans="1:43" x14ac:dyDescent="0.35">
      <c r="A378" s="134" t="s">
        <v>549</v>
      </c>
      <c r="B378" s="149">
        <f>_xlfn.XLOOKUP(A378,T_Custos[Produto],T_Custos[Peso])</f>
        <v>10</v>
      </c>
      <c r="C378" s="150" t="str">
        <f>_xlfn.XLOOKUP(A378,T_Custos[Produto],T_Custos[Und])</f>
        <v>bd</v>
      </c>
      <c r="D378" s="1" t="s">
        <v>252</v>
      </c>
      <c r="E378" s="1" t="s">
        <v>261</v>
      </c>
      <c r="F378" s="1" t="s">
        <v>248</v>
      </c>
      <c r="G378" s="1" t="s">
        <v>255</v>
      </c>
      <c r="H378" s="1" t="s">
        <v>258</v>
      </c>
      <c r="I378" s="1" t="s">
        <v>260</v>
      </c>
      <c r="J378" s="1" t="s">
        <v>492</v>
      </c>
      <c r="K378" s="85" t="s">
        <v>552</v>
      </c>
      <c r="L378" s="1" t="s">
        <v>259</v>
      </c>
      <c r="M378" s="1" t="s">
        <v>251</v>
      </c>
      <c r="N378" s="1" t="s">
        <v>257</v>
      </c>
      <c r="O378" s="1" t="s">
        <v>247</v>
      </c>
      <c r="P378" s="1"/>
      <c r="Q378" s="1"/>
      <c r="R378" s="1" t="s">
        <v>256</v>
      </c>
      <c r="S378" s="85" t="s">
        <v>442</v>
      </c>
      <c r="T378" s="85" t="s">
        <v>443</v>
      </c>
      <c r="U378" s="85" t="s">
        <v>444</v>
      </c>
      <c r="V378" s="85" t="s">
        <v>445</v>
      </c>
      <c r="W378" s="85" t="s">
        <v>446</v>
      </c>
      <c r="X378" s="85" t="s">
        <v>452</v>
      </c>
      <c r="Y378" s="85"/>
      <c r="Z378" s="85"/>
      <c r="AA378" s="85" t="s">
        <v>489</v>
      </c>
      <c r="AB378" s="85" t="s">
        <v>490</v>
      </c>
      <c r="AC378" s="85"/>
      <c r="AD378" s="85"/>
      <c r="AE378" s="85"/>
      <c r="AF378" s="85"/>
      <c r="AG378" s="85"/>
      <c r="AH378" s="85"/>
      <c r="AI378" s="85"/>
      <c r="AJ378" s="85"/>
      <c r="AK378" s="85"/>
      <c r="AL378" s="85"/>
      <c r="AM378" s="85" t="s">
        <v>537</v>
      </c>
      <c r="AN378" s="85" t="s">
        <v>538</v>
      </c>
      <c r="AO378" s="1" t="s">
        <v>559</v>
      </c>
      <c r="AP378" s="85" t="s">
        <v>591</v>
      </c>
      <c r="AQ378" s="85" t="s">
        <v>597</v>
      </c>
    </row>
    <row r="379" spans="1:43" x14ac:dyDescent="0.35">
      <c r="A379" s="134" t="s">
        <v>170</v>
      </c>
      <c r="B379" s="64">
        <f>_xlfn.XLOOKUP(A379,T_Custos[Produto],T_Custos[Peso])</f>
        <v>10</v>
      </c>
      <c r="C379" s="65" t="str">
        <f>_xlfn.XLOOKUP(A379,T_Custos[Produto],T_Custos[Und])</f>
        <v>bd</v>
      </c>
      <c r="D379" s="1" t="s">
        <v>252</v>
      </c>
      <c r="E379" s="1" t="s">
        <v>261</v>
      </c>
      <c r="F379" s="1" t="s">
        <v>248</v>
      </c>
      <c r="G379" s="1" t="s">
        <v>255</v>
      </c>
      <c r="H379" s="1" t="s">
        <v>258</v>
      </c>
      <c r="I379" s="1" t="s">
        <v>260</v>
      </c>
      <c r="J379" s="1" t="s">
        <v>492</v>
      </c>
      <c r="K379" s="85" t="s">
        <v>552</v>
      </c>
      <c r="L379" s="1" t="s">
        <v>259</v>
      </c>
      <c r="M379" s="1" t="s">
        <v>251</v>
      </c>
      <c r="N379" s="1" t="s">
        <v>257</v>
      </c>
      <c r="O379" s="1" t="s">
        <v>247</v>
      </c>
      <c r="P379" s="1"/>
      <c r="Q379" s="1"/>
      <c r="R379" s="1" t="s">
        <v>256</v>
      </c>
      <c r="S379" s="85" t="s">
        <v>442</v>
      </c>
      <c r="T379" s="85" t="s">
        <v>443</v>
      </c>
      <c r="U379" s="85" t="s">
        <v>444</v>
      </c>
      <c r="V379" s="85" t="s">
        <v>445</v>
      </c>
      <c r="W379" s="85" t="s">
        <v>446</v>
      </c>
      <c r="X379" s="85" t="s">
        <v>452</v>
      </c>
      <c r="Y379" s="85"/>
      <c r="Z379" s="85"/>
      <c r="AA379" s="85" t="s">
        <v>489</v>
      </c>
      <c r="AB379" s="85" t="s">
        <v>490</v>
      </c>
      <c r="AC379" s="85"/>
      <c r="AD379" s="85"/>
      <c r="AE379" s="85"/>
      <c r="AF379" s="85"/>
      <c r="AG379" s="85"/>
      <c r="AH379" s="85"/>
      <c r="AI379" s="85"/>
      <c r="AJ379" s="85"/>
      <c r="AK379" s="85"/>
      <c r="AL379" s="85"/>
      <c r="AM379" s="85" t="s">
        <v>537</v>
      </c>
      <c r="AN379" s="85" t="s">
        <v>538</v>
      </c>
      <c r="AO379" s="1" t="s">
        <v>559</v>
      </c>
      <c r="AP379" s="85" t="s">
        <v>591</v>
      </c>
      <c r="AQ379" s="85" t="s">
        <v>597</v>
      </c>
    </row>
    <row r="380" spans="1:43" x14ac:dyDescent="0.35">
      <c r="A380" s="85" t="s">
        <v>171</v>
      </c>
      <c r="B380" s="64">
        <f>_xlfn.XLOOKUP(A380,T_Custos[Produto],T_Custos[Peso])</f>
        <v>10</v>
      </c>
      <c r="C380" s="65" t="str">
        <f>_xlfn.XLOOKUP(A380,T_Custos[Produto],T_Custos[Und])</f>
        <v>bd</v>
      </c>
      <c r="D380" s="1" t="s">
        <v>252</v>
      </c>
      <c r="E380" s="1" t="s">
        <v>261</v>
      </c>
      <c r="F380" s="1" t="s">
        <v>248</v>
      </c>
      <c r="G380" s="1" t="s">
        <v>255</v>
      </c>
      <c r="H380" s="1" t="s">
        <v>258</v>
      </c>
      <c r="I380" s="1" t="s">
        <v>260</v>
      </c>
      <c r="J380" s="1" t="s">
        <v>492</v>
      </c>
      <c r="K380" s="85" t="s">
        <v>552</v>
      </c>
      <c r="L380" s="1" t="s">
        <v>259</v>
      </c>
      <c r="M380" s="1" t="s">
        <v>251</v>
      </c>
      <c r="N380" s="1" t="s">
        <v>257</v>
      </c>
      <c r="O380" s="1" t="s">
        <v>247</v>
      </c>
      <c r="P380" s="1"/>
      <c r="Q380" s="1"/>
      <c r="R380" s="1" t="s">
        <v>256</v>
      </c>
      <c r="S380" s="85" t="s">
        <v>442</v>
      </c>
      <c r="T380" s="85" t="s">
        <v>443</v>
      </c>
      <c r="U380" s="85" t="s">
        <v>444</v>
      </c>
      <c r="V380" s="85" t="s">
        <v>445</v>
      </c>
      <c r="W380" s="85" t="s">
        <v>446</v>
      </c>
      <c r="X380" s="85" t="s">
        <v>452</v>
      </c>
      <c r="Y380" s="85"/>
      <c r="Z380" s="85"/>
      <c r="AA380" s="85" t="s">
        <v>489</v>
      </c>
      <c r="AB380" s="85" t="s">
        <v>490</v>
      </c>
      <c r="AC380" s="85"/>
      <c r="AD380" s="85"/>
      <c r="AE380" s="85"/>
      <c r="AF380" s="85"/>
      <c r="AG380" s="85"/>
      <c r="AH380" s="85"/>
      <c r="AI380" s="85"/>
      <c r="AJ380" s="85"/>
      <c r="AK380" s="85"/>
      <c r="AL380" s="85"/>
      <c r="AM380" s="85" t="s">
        <v>537</v>
      </c>
      <c r="AN380" s="85" t="s">
        <v>538</v>
      </c>
      <c r="AO380" s="1" t="s">
        <v>559</v>
      </c>
      <c r="AP380" s="85" t="s">
        <v>591</v>
      </c>
      <c r="AQ380" s="85" t="s">
        <v>597</v>
      </c>
    </row>
    <row r="381" spans="1:43" x14ac:dyDescent="0.35">
      <c r="A381" s="134" t="s">
        <v>172</v>
      </c>
      <c r="B381" s="64">
        <f>_xlfn.XLOOKUP(A381,T_Custos[Produto],T_Custos[Peso])</f>
        <v>10</v>
      </c>
      <c r="C381" s="65" t="str">
        <f>_xlfn.XLOOKUP(A381,T_Custos[Produto],T_Custos[Und])</f>
        <v>bd</v>
      </c>
      <c r="D381" s="1" t="s">
        <v>252</v>
      </c>
      <c r="E381" s="1" t="s">
        <v>261</v>
      </c>
      <c r="F381" s="1" t="s">
        <v>248</v>
      </c>
      <c r="G381" s="1" t="s">
        <v>255</v>
      </c>
      <c r="H381" s="1" t="s">
        <v>258</v>
      </c>
      <c r="I381" s="1" t="s">
        <v>260</v>
      </c>
      <c r="J381" s="1" t="s">
        <v>492</v>
      </c>
      <c r="K381" s="85" t="s">
        <v>552</v>
      </c>
      <c r="L381" s="1" t="s">
        <v>259</v>
      </c>
      <c r="M381" s="1" t="s">
        <v>251</v>
      </c>
      <c r="N381" s="1" t="s">
        <v>257</v>
      </c>
      <c r="O381" s="1" t="s">
        <v>247</v>
      </c>
      <c r="P381" s="1"/>
      <c r="Q381" s="1"/>
      <c r="R381" s="1" t="s">
        <v>256</v>
      </c>
      <c r="S381" s="85" t="s">
        <v>442</v>
      </c>
      <c r="T381" s="85" t="s">
        <v>443</v>
      </c>
      <c r="U381" s="85" t="s">
        <v>444</v>
      </c>
      <c r="V381" s="85" t="s">
        <v>445</v>
      </c>
      <c r="W381" s="85" t="s">
        <v>446</v>
      </c>
      <c r="X381" s="85" t="s">
        <v>452</v>
      </c>
      <c r="Y381" s="85"/>
      <c r="Z381" s="85"/>
      <c r="AA381" s="85" t="s">
        <v>489</v>
      </c>
      <c r="AB381" s="85" t="s">
        <v>490</v>
      </c>
      <c r="AC381" s="85"/>
      <c r="AD381" s="85"/>
      <c r="AE381" s="85"/>
      <c r="AF381" s="85"/>
      <c r="AG381" s="85"/>
      <c r="AH381" s="85"/>
      <c r="AI381" s="85"/>
      <c r="AJ381" s="85"/>
      <c r="AK381" s="85"/>
      <c r="AL381" s="85"/>
      <c r="AM381" s="85" t="s">
        <v>537</v>
      </c>
      <c r="AN381" s="85" t="s">
        <v>538</v>
      </c>
      <c r="AO381" s="1" t="s">
        <v>559</v>
      </c>
      <c r="AP381" s="85" t="s">
        <v>591</v>
      </c>
      <c r="AQ381" s="85" t="s">
        <v>597</v>
      </c>
    </row>
    <row r="382" spans="1:43" x14ac:dyDescent="0.35">
      <c r="A382" s="134" t="s">
        <v>173</v>
      </c>
      <c r="B382" s="64">
        <f>_xlfn.XLOOKUP(A382,T_Custos[Produto],T_Custos[Peso])</f>
        <v>10</v>
      </c>
      <c r="C382" s="65" t="str">
        <f>_xlfn.XLOOKUP(A382,T_Custos[Produto],T_Custos[Und])</f>
        <v>bd</v>
      </c>
      <c r="D382" s="1" t="s">
        <v>252</v>
      </c>
      <c r="E382" s="1" t="s">
        <v>261</v>
      </c>
      <c r="F382" s="1" t="s">
        <v>248</v>
      </c>
      <c r="G382" s="1" t="s">
        <v>255</v>
      </c>
      <c r="H382" s="1" t="s">
        <v>258</v>
      </c>
      <c r="I382" s="1" t="s">
        <v>260</v>
      </c>
      <c r="J382" s="1" t="s">
        <v>492</v>
      </c>
      <c r="K382" s="85" t="s">
        <v>552</v>
      </c>
      <c r="L382" s="1" t="s">
        <v>259</v>
      </c>
      <c r="M382" s="1" t="s">
        <v>251</v>
      </c>
      <c r="N382" s="1" t="s">
        <v>257</v>
      </c>
      <c r="O382" s="1" t="s">
        <v>247</v>
      </c>
      <c r="P382" s="1"/>
      <c r="Q382" s="1"/>
      <c r="R382" s="1" t="s">
        <v>256</v>
      </c>
      <c r="S382" s="85" t="s">
        <v>442</v>
      </c>
      <c r="T382" s="85" t="s">
        <v>443</v>
      </c>
      <c r="U382" s="85" t="s">
        <v>444</v>
      </c>
      <c r="V382" s="85" t="s">
        <v>445</v>
      </c>
      <c r="W382" s="85" t="s">
        <v>446</v>
      </c>
      <c r="X382" s="85" t="s">
        <v>452</v>
      </c>
      <c r="Y382" s="85"/>
      <c r="Z382" s="85"/>
      <c r="AA382" s="85" t="s">
        <v>489</v>
      </c>
      <c r="AB382" s="85" t="s">
        <v>490</v>
      </c>
      <c r="AC382" s="85"/>
      <c r="AD382" s="85"/>
      <c r="AE382" s="85"/>
      <c r="AF382" s="85"/>
      <c r="AG382" s="85"/>
      <c r="AH382" s="85"/>
      <c r="AI382" s="85"/>
      <c r="AJ382" s="85"/>
      <c r="AK382" s="85"/>
      <c r="AL382" s="85"/>
      <c r="AM382" s="85" t="s">
        <v>537</v>
      </c>
      <c r="AN382" s="85" t="s">
        <v>538</v>
      </c>
      <c r="AO382" s="1" t="s">
        <v>559</v>
      </c>
      <c r="AP382" s="85" t="s">
        <v>591</v>
      </c>
      <c r="AQ382" s="85" t="s">
        <v>597</v>
      </c>
    </row>
    <row r="383" spans="1:43" x14ac:dyDescent="0.35">
      <c r="A383" s="85" t="s">
        <v>174</v>
      </c>
      <c r="B383" s="64">
        <f>_xlfn.XLOOKUP(A383,T_Custos[Produto],T_Custos[Peso])</f>
        <v>10</v>
      </c>
      <c r="C383" s="65" t="str">
        <f>_xlfn.XLOOKUP(A383,T_Custos[Produto],T_Custos[Und])</f>
        <v>bd</v>
      </c>
      <c r="D383" s="1" t="s">
        <v>252</v>
      </c>
      <c r="E383" s="1" t="s">
        <v>261</v>
      </c>
      <c r="F383" s="1" t="s">
        <v>248</v>
      </c>
      <c r="G383" s="1" t="s">
        <v>255</v>
      </c>
      <c r="H383" s="1" t="s">
        <v>258</v>
      </c>
      <c r="I383" s="1" t="s">
        <v>260</v>
      </c>
      <c r="J383" s="1" t="s">
        <v>492</v>
      </c>
      <c r="K383" s="85" t="s">
        <v>552</v>
      </c>
      <c r="L383" s="1" t="s">
        <v>259</v>
      </c>
      <c r="M383" s="1" t="s">
        <v>251</v>
      </c>
      <c r="N383" s="1" t="s">
        <v>257</v>
      </c>
      <c r="O383" s="1" t="s">
        <v>247</v>
      </c>
      <c r="P383" s="1"/>
      <c r="Q383" s="1"/>
      <c r="R383" s="1" t="s">
        <v>256</v>
      </c>
      <c r="S383" s="85" t="s">
        <v>442</v>
      </c>
      <c r="T383" s="85" t="s">
        <v>443</v>
      </c>
      <c r="U383" s="85" t="s">
        <v>444</v>
      </c>
      <c r="V383" s="85" t="s">
        <v>445</v>
      </c>
      <c r="W383" s="85" t="s">
        <v>446</v>
      </c>
      <c r="X383" s="85" t="s">
        <v>452</v>
      </c>
      <c r="Y383" s="85"/>
      <c r="Z383" s="85"/>
      <c r="AA383" s="85" t="s">
        <v>489</v>
      </c>
      <c r="AB383" s="85" t="s">
        <v>490</v>
      </c>
      <c r="AC383" s="85"/>
      <c r="AD383" s="85"/>
      <c r="AE383" s="85"/>
      <c r="AF383" s="85"/>
      <c r="AG383" s="85"/>
      <c r="AH383" s="85"/>
      <c r="AI383" s="85"/>
      <c r="AJ383" s="85"/>
      <c r="AK383" s="85"/>
      <c r="AL383" s="85"/>
      <c r="AM383" s="85" t="s">
        <v>537</v>
      </c>
      <c r="AN383" s="85" t="s">
        <v>538</v>
      </c>
      <c r="AO383" s="1" t="s">
        <v>559</v>
      </c>
      <c r="AP383" s="85" t="s">
        <v>591</v>
      </c>
      <c r="AQ383" s="85" t="s">
        <v>597</v>
      </c>
    </row>
    <row r="384" spans="1:43" x14ac:dyDescent="0.35">
      <c r="A384" s="134" t="s">
        <v>175</v>
      </c>
      <c r="B384" s="64">
        <f>_xlfn.XLOOKUP(A384,T_Custos[Produto],T_Custos[Peso])</f>
        <v>10</v>
      </c>
      <c r="C384" s="65" t="str">
        <f>_xlfn.XLOOKUP(A384,T_Custos[Produto],T_Custos[Und])</f>
        <v>bd</v>
      </c>
      <c r="D384" s="1" t="s">
        <v>252</v>
      </c>
      <c r="E384" s="1" t="s">
        <v>261</v>
      </c>
      <c r="F384" s="1" t="s">
        <v>248</v>
      </c>
      <c r="G384" s="1" t="s">
        <v>255</v>
      </c>
      <c r="H384" s="1" t="s">
        <v>258</v>
      </c>
      <c r="I384" s="1" t="s">
        <v>260</v>
      </c>
      <c r="J384" s="1" t="s">
        <v>492</v>
      </c>
      <c r="K384" s="85" t="s">
        <v>552</v>
      </c>
      <c r="L384" s="1" t="s">
        <v>259</v>
      </c>
      <c r="M384" s="1" t="s">
        <v>251</v>
      </c>
      <c r="N384" s="1" t="s">
        <v>257</v>
      </c>
      <c r="O384" s="1" t="s">
        <v>247</v>
      </c>
      <c r="P384" s="1"/>
      <c r="Q384" s="1"/>
      <c r="R384" s="1" t="s">
        <v>256</v>
      </c>
      <c r="S384" s="85" t="s">
        <v>442</v>
      </c>
      <c r="T384" s="85" t="s">
        <v>443</v>
      </c>
      <c r="U384" s="85" t="s">
        <v>444</v>
      </c>
      <c r="V384" s="85" t="s">
        <v>445</v>
      </c>
      <c r="W384" s="85" t="s">
        <v>446</v>
      </c>
      <c r="X384" s="85" t="s">
        <v>452</v>
      </c>
      <c r="Y384" s="85"/>
      <c r="Z384" s="85"/>
      <c r="AA384" s="85" t="s">
        <v>489</v>
      </c>
      <c r="AB384" s="85" t="s">
        <v>490</v>
      </c>
      <c r="AC384" s="85"/>
      <c r="AD384" s="85"/>
      <c r="AE384" s="85"/>
      <c r="AF384" s="85"/>
      <c r="AG384" s="85"/>
      <c r="AH384" s="85"/>
      <c r="AI384" s="85"/>
      <c r="AJ384" s="85"/>
      <c r="AK384" s="85"/>
      <c r="AL384" s="85"/>
      <c r="AM384" s="85" t="s">
        <v>537</v>
      </c>
      <c r="AN384" s="85" t="s">
        <v>538</v>
      </c>
      <c r="AO384" s="1" t="s">
        <v>559</v>
      </c>
      <c r="AP384" s="85" t="s">
        <v>591</v>
      </c>
      <c r="AQ384" s="85" t="s">
        <v>597</v>
      </c>
    </row>
    <row r="385" spans="1:43" x14ac:dyDescent="0.35">
      <c r="A385" s="134" t="s">
        <v>176</v>
      </c>
      <c r="B385" s="64">
        <f>_xlfn.XLOOKUP(A385,T_Custos[Produto],T_Custos[Peso])</f>
        <v>10</v>
      </c>
      <c r="C385" s="65" t="str">
        <f>_xlfn.XLOOKUP(A385,T_Custos[Produto],T_Custos[Und])</f>
        <v>bd</v>
      </c>
      <c r="D385" s="1" t="s">
        <v>252</v>
      </c>
      <c r="E385" s="1" t="s">
        <v>261</v>
      </c>
      <c r="F385" s="1" t="s">
        <v>248</v>
      </c>
      <c r="G385" s="1" t="s">
        <v>255</v>
      </c>
      <c r="H385" s="1" t="s">
        <v>258</v>
      </c>
      <c r="I385" s="1" t="s">
        <v>260</v>
      </c>
      <c r="J385" s="1" t="s">
        <v>492</v>
      </c>
      <c r="K385" s="85" t="s">
        <v>552</v>
      </c>
      <c r="L385" s="1" t="s">
        <v>259</v>
      </c>
      <c r="M385" s="1" t="s">
        <v>251</v>
      </c>
      <c r="N385" s="1" t="s">
        <v>257</v>
      </c>
      <c r="O385" s="1" t="s">
        <v>247</v>
      </c>
      <c r="P385" s="1"/>
      <c r="Q385" s="1"/>
      <c r="R385" s="1" t="s">
        <v>256</v>
      </c>
      <c r="S385" s="85" t="s">
        <v>442</v>
      </c>
      <c r="T385" s="85" t="s">
        <v>443</v>
      </c>
      <c r="U385" s="85" t="s">
        <v>444</v>
      </c>
      <c r="V385" s="85" t="s">
        <v>445</v>
      </c>
      <c r="W385" s="85" t="s">
        <v>446</v>
      </c>
      <c r="X385" s="85" t="s">
        <v>452</v>
      </c>
      <c r="Y385" s="85"/>
      <c r="Z385" s="85"/>
      <c r="AA385" s="85" t="s">
        <v>489</v>
      </c>
      <c r="AB385" s="85" t="s">
        <v>490</v>
      </c>
      <c r="AC385" s="85"/>
      <c r="AD385" s="85"/>
      <c r="AE385" s="85"/>
      <c r="AF385" s="85"/>
      <c r="AG385" s="85"/>
      <c r="AH385" s="85"/>
      <c r="AI385" s="85"/>
      <c r="AJ385" s="85"/>
      <c r="AK385" s="85"/>
      <c r="AL385" s="85"/>
      <c r="AM385" s="85" t="s">
        <v>537</v>
      </c>
      <c r="AN385" s="85" t="s">
        <v>538</v>
      </c>
      <c r="AO385" s="1" t="s">
        <v>559</v>
      </c>
      <c r="AP385" s="85" t="s">
        <v>591</v>
      </c>
      <c r="AQ385" s="85" t="s">
        <v>597</v>
      </c>
    </row>
    <row r="386" spans="1:43" x14ac:dyDescent="0.35">
      <c r="A386" s="134" t="s">
        <v>506</v>
      </c>
      <c r="B386" s="64">
        <f>_xlfn.XLOOKUP(A386,T_Custos[Produto],T_Custos[Peso])</f>
        <v>10</v>
      </c>
      <c r="C386" s="65" t="str">
        <f>_xlfn.XLOOKUP(A386,T_Custos[Produto],T_Custos[Und])</f>
        <v>bd</v>
      </c>
      <c r="D386" s="1" t="s">
        <v>252</v>
      </c>
      <c r="E386" s="1" t="s">
        <v>261</v>
      </c>
      <c r="F386" s="1" t="s">
        <v>248</v>
      </c>
      <c r="G386" s="1" t="s">
        <v>255</v>
      </c>
      <c r="H386" s="1" t="s">
        <v>258</v>
      </c>
      <c r="I386" s="1" t="s">
        <v>260</v>
      </c>
      <c r="J386" s="1" t="s">
        <v>492</v>
      </c>
      <c r="K386" s="85" t="s">
        <v>552</v>
      </c>
      <c r="L386" s="1" t="s">
        <v>259</v>
      </c>
      <c r="M386" s="1" t="s">
        <v>251</v>
      </c>
      <c r="N386" s="1" t="s">
        <v>257</v>
      </c>
      <c r="O386" s="1" t="s">
        <v>247</v>
      </c>
      <c r="P386" s="1"/>
      <c r="Q386" s="1"/>
      <c r="R386" s="1" t="s">
        <v>256</v>
      </c>
      <c r="S386" s="85" t="s">
        <v>442</v>
      </c>
      <c r="T386" s="85" t="s">
        <v>443</v>
      </c>
      <c r="U386" s="85" t="s">
        <v>444</v>
      </c>
      <c r="V386" s="85" t="s">
        <v>445</v>
      </c>
      <c r="W386" s="85" t="s">
        <v>446</v>
      </c>
      <c r="X386" s="85" t="s">
        <v>452</v>
      </c>
      <c r="Y386" s="85"/>
      <c r="Z386" s="85"/>
      <c r="AA386" s="85" t="s">
        <v>489</v>
      </c>
      <c r="AB386" s="85" t="s">
        <v>490</v>
      </c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 t="s">
        <v>537</v>
      </c>
      <c r="AN386" s="85" t="s">
        <v>538</v>
      </c>
      <c r="AO386" s="1" t="s">
        <v>559</v>
      </c>
      <c r="AP386" s="85" t="s">
        <v>591</v>
      </c>
      <c r="AQ386" s="85" t="s">
        <v>597</v>
      </c>
    </row>
    <row r="387" spans="1:43" x14ac:dyDescent="0.35">
      <c r="A387" s="134" t="s">
        <v>177</v>
      </c>
      <c r="B387" s="64">
        <f>_xlfn.XLOOKUP(A387,T_Custos[Produto],T_Custos[Peso])</f>
        <v>10</v>
      </c>
      <c r="C387" s="65" t="str">
        <f>_xlfn.XLOOKUP(A387,T_Custos[Produto],T_Custos[Und])</f>
        <v>bd</v>
      </c>
      <c r="D387" s="1" t="s">
        <v>252</v>
      </c>
      <c r="E387" s="1" t="s">
        <v>261</v>
      </c>
      <c r="F387" s="1" t="s">
        <v>248</v>
      </c>
      <c r="G387" s="1" t="s">
        <v>255</v>
      </c>
      <c r="H387" s="1" t="s">
        <v>258</v>
      </c>
      <c r="I387" s="1" t="s">
        <v>260</v>
      </c>
      <c r="J387" s="1" t="s">
        <v>492</v>
      </c>
      <c r="K387" s="85" t="s">
        <v>552</v>
      </c>
      <c r="L387" s="1" t="s">
        <v>259</v>
      </c>
      <c r="M387" s="1" t="s">
        <v>251</v>
      </c>
      <c r="N387" s="1" t="s">
        <v>257</v>
      </c>
      <c r="O387" s="1" t="s">
        <v>247</v>
      </c>
      <c r="P387" s="1"/>
      <c r="Q387" s="1"/>
      <c r="R387" s="1" t="s">
        <v>256</v>
      </c>
      <c r="S387" s="85" t="s">
        <v>442</v>
      </c>
      <c r="T387" s="85" t="s">
        <v>443</v>
      </c>
      <c r="U387" s="85" t="s">
        <v>444</v>
      </c>
      <c r="V387" s="85" t="s">
        <v>445</v>
      </c>
      <c r="W387" s="85" t="s">
        <v>446</v>
      </c>
      <c r="X387" s="85" t="s">
        <v>452</v>
      </c>
      <c r="Y387" s="85"/>
      <c r="Z387" s="85"/>
      <c r="AA387" s="85" t="s">
        <v>489</v>
      </c>
      <c r="AB387" s="85" t="s">
        <v>490</v>
      </c>
      <c r="AC387" s="85"/>
      <c r="AD387" s="85"/>
      <c r="AE387" s="85"/>
      <c r="AF387" s="85"/>
      <c r="AG387" s="85"/>
      <c r="AH387" s="85"/>
      <c r="AI387" s="85"/>
      <c r="AJ387" s="85"/>
      <c r="AK387" s="85"/>
      <c r="AL387" s="85"/>
      <c r="AM387" s="85" t="s">
        <v>537</v>
      </c>
      <c r="AN387" s="85" t="s">
        <v>538</v>
      </c>
      <c r="AO387" s="1" t="s">
        <v>559</v>
      </c>
      <c r="AP387" s="85" t="s">
        <v>591</v>
      </c>
      <c r="AQ387" s="85" t="s">
        <v>597</v>
      </c>
    </row>
    <row r="388" spans="1:43" x14ac:dyDescent="0.35">
      <c r="A388" s="134" t="s">
        <v>179</v>
      </c>
      <c r="B388" s="64">
        <f>_xlfn.XLOOKUP(A388,T_Custos[Produto],T_Custos[Peso])</f>
        <v>10</v>
      </c>
      <c r="C388" s="65" t="str">
        <f>_xlfn.XLOOKUP(A388,T_Custos[Produto],T_Custos[Und])</f>
        <v>bd</v>
      </c>
      <c r="D388" s="1" t="s">
        <v>252</v>
      </c>
      <c r="E388" s="1" t="s">
        <v>261</v>
      </c>
      <c r="F388" s="1" t="s">
        <v>248</v>
      </c>
      <c r="G388" s="1" t="s">
        <v>255</v>
      </c>
      <c r="H388" s="1" t="s">
        <v>258</v>
      </c>
      <c r="I388" s="1" t="s">
        <v>260</v>
      </c>
      <c r="J388" s="1" t="s">
        <v>492</v>
      </c>
      <c r="K388" s="85" t="s">
        <v>552</v>
      </c>
      <c r="L388" s="1" t="s">
        <v>259</v>
      </c>
      <c r="M388" s="1" t="s">
        <v>251</v>
      </c>
      <c r="N388" s="1" t="s">
        <v>257</v>
      </c>
      <c r="O388" s="1" t="s">
        <v>247</v>
      </c>
      <c r="P388" s="47" t="s">
        <v>253</v>
      </c>
      <c r="Q388" s="47" t="s">
        <v>254</v>
      </c>
      <c r="R388" s="1" t="s">
        <v>256</v>
      </c>
      <c r="S388" s="85" t="s">
        <v>442</v>
      </c>
      <c r="T388" s="85" t="s">
        <v>443</v>
      </c>
      <c r="U388" s="85" t="s">
        <v>444</v>
      </c>
      <c r="V388" s="85" t="s">
        <v>445</v>
      </c>
      <c r="W388" s="85" t="s">
        <v>446</v>
      </c>
      <c r="X388" s="85" t="s">
        <v>452</v>
      </c>
      <c r="Y388" s="85"/>
      <c r="Z388" s="85"/>
      <c r="AA388" s="85" t="s">
        <v>489</v>
      </c>
      <c r="AB388" s="85" t="s">
        <v>490</v>
      </c>
      <c r="AC388" s="85"/>
      <c r="AD388" s="85"/>
      <c r="AE388" s="85"/>
      <c r="AF388" s="85"/>
      <c r="AG388" s="85"/>
      <c r="AH388" s="85"/>
      <c r="AI388" s="85"/>
      <c r="AJ388" s="85"/>
      <c r="AK388" s="85"/>
      <c r="AL388" s="85"/>
      <c r="AM388" s="85"/>
      <c r="AN388" s="85"/>
      <c r="AO388" s="1" t="s">
        <v>559</v>
      </c>
      <c r="AP388" s="85" t="s">
        <v>591</v>
      </c>
      <c r="AQ388" s="85" t="s">
        <v>597</v>
      </c>
    </row>
    <row r="389" spans="1:43" x14ac:dyDescent="0.35">
      <c r="A389" s="134" t="s">
        <v>180</v>
      </c>
      <c r="B389" s="64">
        <f>_xlfn.XLOOKUP(A389,T_Custos[Produto],T_Custos[Peso])</f>
        <v>10</v>
      </c>
      <c r="C389" s="65" t="str">
        <f>_xlfn.XLOOKUP(A389,T_Custos[Produto],T_Custos[Und])</f>
        <v>bd</v>
      </c>
      <c r="D389" s="1" t="s">
        <v>252</v>
      </c>
      <c r="E389" s="1" t="s">
        <v>261</v>
      </c>
      <c r="F389" s="1" t="s">
        <v>248</v>
      </c>
      <c r="G389" s="1" t="s">
        <v>255</v>
      </c>
      <c r="H389" s="1" t="s">
        <v>258</v>
      </c>
      <c r="I389" s="1" t="s">
        <v>260</v>
      </c>
      <c r="J389" s="1" t="s">
        <v>492</v>
      </c>
      <c r="K389" s="85" t="s">
        <v>552</v>
      </c>
      <c r="L389" s="1" t="s">
        <v>259</v>
      </c>
      <c r="M389" s="1" t="s">
        <v>251</v>
      </c>
      <c r="N389" s="1" t="s">
        <v>257</v>
      </c>
      <c r="O389" s="1" t="s">
        <v>247</v>
      </c>
      <c r="P389" s="47" t="s">
        <v>253</v>
      </c>
      <c r="Q389" s="47" t="s">
        <v>254</v>
      </c>
      <c r="R389" s="1" t="s">
        <v>256</v>
      </c>
      <c r="S389" s="85" t="s">
        <v>442</v>
      </c>
      <c r="T389" s="85" t="s">
        <v>443</v>
      </c>
      <c r="U389" s="85" t="s">
        <v>444</v>
      </c>
      <c r="V389" s="85" t="s">
        <v>445</v>
      </c>
      <c r="W389" s="85" t="s">
        <v>446</v>
      </c>
      <c r="X389" s="85" t="s">
        <v>452</v>
      </c>
      <c r="Y389" s="85" t="s">
        <v>463</v>
      </c>
      <c r="Z389" s="85"/>
      <c r="AA389" s="85" t="s">
        <v>489</v>
      </c>
      <c r="AB389" s="85" t="s">
        <v>490</v>
      </c>
      <c r="AC389" s="85"/>
      <c r="AD389" s="85"/>
      <c r="AE389" s="85"/>
      <c r="AF389" s="85"/>
      <c r="AG389" s="85"/>
      <c r="AH389" s="85"/>
      <c r="AI389" s="85"/>
      <c r="AJ389" s="85"/>
      <c r="AK389" s="85"/>
      <c r="AL389" s="85"/>
      <c r="AM389" s="85"/>
      <c r="AN389" s="85"/>
      <c r="AO389" s="1" t="s">
        <v>559</v>
      </c>
      <c r="AP389" s="85" t="s">
        <v>591</v>
      </c>
      <c r="AQ389" s="85" t="s">
        <v>597</v>
      </c>
    </row>
    <row r="390" spans="1:43" x14ac:dyDescent="0.35">
      <c r="A390" s="134" t="s">
        <v>181</v>
      </c>
      <c r="B390" s="64">
        <f>_xlfn.XLOOKUP(A390,T_Custos[Produto],T_Custos[Peso])</f>
        <v>10</v>
      </c>
      <c r="C390" s="65" t="str">
        <f>_xlfn.XLOOKUP(A390,T_Custos[Produto],T_Custos[Und])</f>
        <v>bd</v>
      </c>
      <c r="D390" s="1" t="s">
        <v>252</v>
      </c>
      <c r="E390" s="1" t="s">
        <v>261</v>
      </c>
      <c r="F390" s="1" t="s">
        <v>248</v>
      </c>
      <c r="G390" s="1" t="s">
        <v>255</v>
      </c>
      <c r="H390" s="1" t="s">
        <v>258</v>
      </c>
      <c r="I390" s="1" t="s">
        <v>260</v>
      </c>
      <c r="J390" s="1" t="s">
        <v>492</v>
      </c>
      <c r="K390" s="85" t="s">
        <v>552</v>
      </c>
      <c r="L390" s="1" t="s">
        <v>259</v>
      </c>
      <c r="M390" s="1" t="s">
        <v>251</v>
      </c>
      <c r="N390" s="1" t="s">
        <v>257</v>
      </c>
      <c r="O390" s="1" t="s">
        <v>247</v>
      </c>
      <c r="P390" s="47" t="s">
        <v>253</v>
      </c>
      <c r="Q390" s="47" t="s">
        <v>254</v>
      </c>
      <c r="R390" s="1" t="s">
        <v>256</v>
      </c>
      <c r="S390" s="85" t="s">
        <v>442</v>
      </c>
      <c r="T390" s="85" t="s">
        <v>443</v>
      </c>
      <c r="U390" s="85" t="s">
        <v>444</v>
      </c>
      <c r="V390" s="85" t="s">
        <v>445</v>
      </c>
      <c r="W390" s="85" t="s">
        <v>446</v>
      </c>
      <c r="X390" s="85" t="s">
        <v>452</v>
      </c>
      <c r="Y390" s="85"/>
      <c r="Z390" s="85"/>
      <c r="AA390" s="85" t="s">
        <v>489</v>
      </c>
      <c r="AB390" s="85" t="s">
        <v>490</v>
      </c>
      <c r="AC390" s="85"/>
      <c r="AD390" s="85"/>
      <c r="AE390" s="85"/>
      <c r="AF390" s="85"/>
      <c r="AG390" s="85"/>
      <c r="AH390" s="85"/>
      <c r="AI390" s="85"/>
      <c r="AJ390" s="85"/>
      <c r="AK390" s="85"/>
      <c r="AL390" s="85"/>
      <c r="AM390" s="85"/>
      <c r="AN390" s="85"/>
      <c r="AO390" s="1" t="s">
        <v>559</v>
      </c>
      <c r="AP390" s="85" t="s">
        <v>591</v>
      </c>
      <c r="AQ390" s="85" t="s">
        <v>597</v>
      </c>
    </row>
    <row r="391" spans="1:43" x14ac:dyDescent="0.35">
      <c r="A391" s="134" t="s">
        <v>182</v>
      </c>
      <c r="B391" s="64">
        <f>_xlfn.XLOOKUP(A391,T_Custos[Produto],T_Custos[Peso])</f>
        <v>10</v>
      </c>
      <c r="C391" s="65" t="str">
        <f>_xlfn.XLOOKUP(A391,T_Custos[Produto],T_Custos[Und])</f>
        <v>bd</v>
      </c>
      <c r="D391" s="1" t="s">
        <v>252</v>
      </c>
      <c r="E391" s="1" t="s">
        <v>261</v>
      </c>
      <c r="F391" s="1" t="s">
        <v>248</v>
      </c>
      <c r="G391" s="1" t="s">
        <v>255</v>
      </c>
      <c r="H391" s="1" t="s">
        <v>258</v>
      </c>
      <c r="I391" s="1" t="s">
        <v>260</v>
      </c>
      <c r="J391" s="1" t="s">
        <v>492</v>
      </c>
      <c r="K391" s="85" t="s">
        <v>552</v>
      </c>
      <c r="L391" s="1" t="s">
        <v>259</v>
      </c>
      <c r="M391" s="1" t="s">
        <v>251</v>
      </c>
      <c r="N391" s="1" t="s">
        <v>257</v>
      </c>
      <c r="O391" s="1" t="s">
        <v>247</v>
      </c>
      <c r="P391" s="47" t="s">
        <v>253</v>
      </c>
      <c r="Q391" s="47" t="s">
        <v>254</v>
      </c>
      <c r="R391" s="1" t="s">
        <v>256</v>
      </c>
      <c r="S391" s="85" t="s">
        <v>442</v>
      </c>
      <c r="T391" s="85" t="s">
        <v>443</v>
      </c>
      <c r="U391" s="85" t="s">
        <v>444</v>
      </c>
      <c r="V391" s="85" t="s">
        <v>445</v>
      </c>
      <c r="W391" s="85" t="s">
        <v>446</v>
      </c>
      <c r="X391" s="85" t="s">
        <v>452</v>
      </c>
      <c r="Y391" s="85"/>
      <c r="Z391" s="85"/>
      <c r="AA391" s="85" t="s">
        <v>489</v>
      </c>
      <c r="AB391" s="85" t="s">
        <v>490</v>
      </c>
      <c r="AC391" s="85"/>
      <c r="AD391" s="85"/>
      <c r="AE391" s="85"/>
      <c r="AF391" s="85"/>
      <c r="AG391" s="85"/>
      <c r="AH391" s="85"/>
      <c r="AI391" s="85"/>
      <c r="AJ391" s="85"/>
      <c r="AK391" s="85"/>
      <c r="AL391" s="85"/>
      <c r="AM391" s="85"/>
      <c r="AN391" s="85"/>
      <c r="AO391" s="1" t="s">
        <v>559</v>
      </c>
      <c r="AP391" s="85" t="s">
        <v>591</v>
      </c>
      <c r="AQ391" s="85" t="s">
        <v>597</v>
      </c>
    </row>
    <row r="392" spans="1:43" x14ac:dyDescent="0.35">
      <c r="A392" s="134" t="s">
        <v>178</v>
      </c>
      <c r="B392" s="64">
        <f>_xlfn.XLOOKUP(A392,T_Custos[Produto],T_Custos[Peso])</f>
        <v>10</v>
      </c>
      <c r="C392" s="65" t="str">
        <f>_xlfn.XLOOKUP(A392,T_Custos[Produto],T_Custos[Und])</f>
        <v>bd</v>
      </c>
      <c r="D392" s="1" t="s">
        <v>252</v>
      </c>
      <c r="E392" s="1" t="s">
        <v>261</v>
      </c>
      <c r="F392" s="1" t="s">
        <v>248</v>
      </c>
      <c r="G392" s="1" t="s">
        <v>255</v>
      </c>
      <c r="H392" s="1" t="s">
        <v>258</v>
      </c>
      <c r="I392" s="1" t="s">
        <v>260</v>
      </c>
      <c r="J392" s="1" t="s">
        <v>492</v>
      </c>
      <c r="K392" s="85" t="s">
        <v>552</v>
      </c>
      <c r="L392" s="1" t="s">
        <v>259</v>
      </c>
      <c r="M392" s="1" t="s">
        <v>251</v>
      </c>
      <c r="N392" s="1" t="s">
        <v>257</v>
      </c>
      <c r="O392" s="1" t="s">
        <v>247</v>
      </c>
      <c r="P392" s="1"/>
      <c r="Q392" s="1"/>
      <c r="R392" s="1" t="s">
        <v>256</v>
      </c>
      <c r="S392" s="85" t="s">
        <v>442</v>
      </c>
      <c r="T392" s="85" t="s">
        <v>443</v>
      </c>
      <c r="U392" s="85" t="s">
        <v>444</v>
      </c>
      <c r="V392" s="85" t="s">
        <v>445</v>
      </c>
      <c r="W392" s="85" t="s">
        <v>446</v>
      </c>
      <c r="X392" s="85" t="s">
        <v>452</v>
      </c>
      <c r="Y392" s="85"/>
      <c r="Z392" s="85"/>
      <c r="AA392" s="85"/>
      <c r="AB392" s="85"/>
      <c r="AC392" s="85"/>
      <c r="AD392" s="85"/>
      <c r="AE392" s="85"/>
      <c r="AF392" s="85"/>
      <c r="AG392" s="85"/>
      <c r="AH392" s="85"/>
      <c r="AI392" s="85"/>
      <c r="AJ392" s="85"/>
      <c r="AK392" s="85"/>
      <c r="AL392" s="85"/>
      <c r="AM392" s="85" t="s">
        <v>537</v>
      </c>
      <c r="AN392" s="85" t="s">
        <v>538</v>
      </c>
      <c r="AO392" s="1" t="s">
        <v>559</v>
      </c>
      <c r="AP392" s="85" t="s">
        <v>591</v>
      </c>
      <c r="AQ392" s="85" t="s">
        <v>597</v>
      </c>
    </row>
    <row r="393" spans="1:43" x14ac:dyDescent="0.35">
      <c r="A393" s="134" t="s">
        <v>437</v>
      </c>
      <c r="B393" s="64">
        <f>_xlfn.XLOOKUP(A393,T_Custos[Produto],T_Custos[Peso])</f>
        <v>1</v>
      </c>
      <c r="C393" s="65" t="str">
        <f>_xlfn.XLOOKUP(A393,T_Custos[Produto],T_Custos[Und])</f>
        <v>bd</v>
      </c>
      <c r="D393" s="1"/>
      <c r="E393" s="1"/>
      <c r="F393" s="1"/>
      <c r="G393" s="1"/>
      <c r="H393" s="1"/>
      <c r="I393" s="1"/>
      <c r="J393" s="1"/>
      <c r="K393" s="85"/>
      <c r="L393" s="1"/>
      <c r="M393" s="1"/>
      <c r="N393" s="1"/>
      <c r="O393" s="1"/>
      <c r="P393" s="1"/>
      <c r="Q393" s="1"/>
      <c r="R393" s="1"/>
      <c r="S393" s="85" t="s">
        <v>442</v>
      </c>
      <c r="T393" s="85" t="s">
        <v>443</v>
      </c>
      <c r="U393" s="85" t="s">
        <v>444</v>
      </c>
      <c r="V393" s="85" t="s">
        <v>445</v>
      </c>
      <c r="W393" s="85" t="s">
        <v>446</v>
      </c>
      <c r="X393" s="85" t="s">
        <v>452</v>
      </c>
      <c r="Y393" s="85"/>
      <c r="Z393" s="85"/>
      <c r="AA393" s="85"/>
      <c r="AB393" s="85"/>
      <c r="AC393" s="85"/>
      <c r="AD393" s="85"/>
      <c r="AE393" s="85"/>
      <c r="AF393" s="85"/>
      <c r="AG393" s="85"/>
      <c r="AH393" s="85"/>
      <c r="AI393" s="85"/>
      <c r="AJ393" s="85"/>
      <c r="AK393" s="85"/>
      <c r="AL393" s="85"/>
      <c r="AM393" s="85"/>
      <c r="AN393" s="85"/>
      <c r="AO393" s="1"/>
      <c r="AP393" s="85"/>
      <c r="AQ393" s="85"/>
    </row>
    <row r="394" spans="1:43" x14ac:dyDescent="0.35">
      <c r="A394" s="134" t="s">
        <v>183</v>
      </c>
      <c r="B394" s="64">
        <f>_xlfn.XLOOKUP(A394,T_Custos[Produto],T_Custos[Peso])</f>
        <v>1</v>
      </c>
      <c r="C394" s="65" t="str">
        <f>_xlfn.XLOOKUP(A394,T_Custos[Produto],T_Custos[Und])</f>
        <v>bd</v>
      </c>
      <c r="D394" s="1" t="s">
        <v>252</v>
      </c>
      <c r="E394" s="1" t="s">
        <v>261</v>
      </c>
      <c r="F394" s="1" t="s">
        <v>248</v>
      </c>
      <c r="G394" s="1" t="s">
        <v>255</v>
      </c>
      <c r="H394" s="1" t="s">
        <v>258</v>
      </c>
      <c r="I394" s="1" t="s">
        <v>260</v>
      </c>
      <c r="J394" s="1" t="s">
        <v>492</v>
      </c>
      <c r="K394" s="85" t="s">
        <v>552</v>
      </c>
      <c r="L394" s="1" t="s">
        <v>259</v>
      </c>
      <c r="M394" s="1" t="s">
        <v>251</v>
      </c>
      <c r="N394" s="1" t="s">
        <v>257</v>
      </c>
      <c r="O394" s="1" t="s">
        <v>247</v>
      </c>
      <c r="P394" s="1" t="s">
        <v>253</v>
      </c>
      <c r="Q394" s="1" t="s">
        <v>254</v>
      </c>
      <c r="R394" s="1" t="s">
        <v>256</v>
      </c>
      <c r="S394" s="85" t="s">
        <v>442</v>
      </c>
      <c r="T394" s="85" t="s">
        <v>443</v>
      </c>
      <c r="U394" s="85" t="s">
        <v>444</v>
      </c>
      <c r="V394" s="85" t="s">
        <v>445</v>
      </c>
      <c r="W394" s="85" t="s">
        <v>446</v>
      </c>
      <c r="X394" s="85" t="s">
        <v>452</v>
      </c>
      <c r="Y394" s="85" t="s">
        <v>463</v>
      </c>
      <c r="Z394" s="85"/>
      <c r="AA394" s="85" t="s">
        <v>489</v>
      </c>
      <c r="AB394" s="85" t="s">
        <v>490</v>
      </c>
      <c r="AC394" s="85"/>
      <c r="AD394" s="85"/>
      <c r="AE394" s="85"/>
      <c r="AF394" s="85"/>
      <c r="AG394" s="85"/>
      <c r="AH394" s="85"/>
      <c r="AI394" s="85"/>
      <c r="AJ394" s="85"/>
      <c r="AK394" s="85"/>
      <c r="AL394" s="85"/>
      <c r="AM394" s="85"/>
      <c r="AN394" s="85"/>
      <c r="AO394" s="1" t="s">
        <v>559</v>
      </c>
      <c r="AP394" s="85" t="s">
        <v>591</v>
      </c>
      <c r="AQ394" s="85" t="s">
        <v>597</v>
      </c>
    </row>
    <row r="395" spans="1:43" x14ac:dyDescent="0.35">
      <c r="A395" s="134" t="s">
        <v>184</v>
      </c>
      <c r="B395" s="64">
        <f>_xlfn.XLOOKUP(A395,T_Custos[Produto],T_Custos[Peso])</f>
        <v>12</v>
      </c>
      <c r="C395" s="65" t="str">
        <f>_xlfn.XLOOKUP(A395,T_Custos[Produto],T_Custos[Und])</f>
        <v>kg</v>
      </c>
      <c r="D395" s="1" t="s">
        <v>252</v>
      </c>
      <c r="E395" s="1" t="s">
        <v>261</v>
      </c>
      <c r="F395" s="1" t="s">
        <v>248</v>
      </c>
      <c r="G395" s="1" t="s">
        <v>255</v>
      </c>
      <c r="H395" s="1" t="s">
        <v>258</v>
      </c>
      <c r="I395" s="1" t="s">
        <v>260</v>
      </c>
      <c r="J395" s="1" t="s">
        <v>492</v>
      </c>
      <c r="K395" s="85" t="s">
        <v>552</v>
      </c>
      <c r="L395" s="1" t="s">
        <v>259</v>
      </c>
      <c r="M395" s="1" t="s">
        <v>251</v>
      </c>
      <c r="N395" s="1" t="s">
        <v>257</v>
      </c>
      <c r="O395" s="1" t="s">
        <v>247</v>
      </c>
      <c r="P395" s="1"/>
      <c r="Q395" s="1"/>
      <c r="R395" s="1" t="s">
        <v>256</v>
      </c>
      <c r="S395" s="85" t="s">
        <v>442</v>
      </c>
      <c r="T395" s="85" t="s">
        <v>443</v>
      </c>
      <c r="U395" s="85" t="s">
        <v>444</v>
      </c>
      <c r="V395" s="85" t="s">
        <v>445</v>
      </c>
      <c r="W395" s="85" t="s">
        <v>446</v>
      </c>
      <c r="X395" s="85" t="s">
        <v>452</v>
      </c>
      <c r="Y395" s="85" t="s">
        <v>463</v>
      </c>
      <c r="Z395" s="85"/>
      <c r="AA395" s="85" t="s">
        <v>489</v>
      </c>
      <c r="AB395" s="85" t="s">
        <v>490</v>
      </c>
      <c r="AC395" s="85"/>
      <c r="AD395" s="85"/>
      <c r="AE395" s="85"/>
      <c r="AF395" s="85"/>
      <c r="AG395" s="85"/>
      <c r="AH395" s="85"/>
      <c r="AI395" s="85"/>
      <c r="AJ395" s="85"/>
      <c r="AK395" s="85"/>
      <c r="AL395" s="85"/>
      <c r="AM395" s="85" t="s">
        <v>537</v>
      </c>
      <c r="AN395" s="85" t="s">
        <v>538</v>
      </c>
      <c r="AO395" s="1" t="s">
        <v>559</v>
      </c>
      <c r="AP395" s="85" t="s">
        <v>591</v>
      </c>
      <c r="AQ395" s="85" t="s">
        <v>597</v>
      </c>
    </row>
    <row r="396" spans="1:43" x14ac:dyDescent="0.35">
      <c r="A396" s="134" t="s">
        <v>185</v>
      </c>
      <c r="B396" s="64">
        <f>_xlfn.XLOOKUP(A396,T_Custos[Produto],T_Custos[Peso])</f>
        <v>12</v>
      </c>
      <c r="C396" s="65" t="str">
        <f>_xlfn.XLOOKUP(A396,T_Custos[Produto],T_Custos[Und])</f>
        <v>kg</v>
      </c>
      <c r="D396" s="1" t="s">
        <v>252</v>
      </c>
      <c r="E396" s="1" t="s">
        <v>261</v>
      </c>
      <c r="F396" s="1" t="s">
        <v>248</v>
      </c>
      <c r="G396" s="1" t="s">
        <v>255</v>
      </c>
      <c r="H396" s="1" t="s">
        <v>258</v>
      </c>
      <c r="I396" s="1" t="s">
        <v>260</v>
      </c>
      <c r="J396" s="1" t="s">
        <v>492</v>
      </c>
      <c r="K396" s="85" t="s">
        <v>552</v>
      </c>
      <c r="L396" s="1" t="s">
        <v>259</v>
      </c>
      <c r="M396" s="1" t="s">
        <v>251</v>
      </c>
      <c r="N396" s="1" t="s">
        <v>257</v>
      </c>
      <c r="O396" s="1" t="s">
        <v>247</v>
      </c>
      <c r="P396" s="1"/>
      <c r="Q396" s="1"/>
      <c r="R396" s="1" t="s">
        <v>256</v>
      </c>
      <c r="S396" s="85" t="s">
        <v>442</v>
      </c>
      <c r="T396" s="85" t="s">
        <v>443</v>
      </c>
      <c r="U396" s="85" t="s">
        <v>444</v>
      </c>
      <c r="V396" s="85" t="s">
        <v>445</v>
      </c>
      <c r="W396" s="85" t="s">
        <v>446</v>
      </c>
      <c r="X396" s="85" t="s">
        <v>452</v>
      </c>
      <c r="Y396" s="85" t="s">
        <v>463</v>
      </c>
      <c r="Z396" s="85" t="s">
        <v>465</v>
      </c>
      <c r="AA396" s="85" t="s">
        <v>489</v>
      </c>
      <c r="AB396" s="85" t="s">
        <v>490</v>
      </c>
      <c r="AC396" s="85" t="s">
        <v>503</v>
      </c>
      <c r="AD396" s="85"/>
      <c r="AE396" s="85"/>
      <c r="AF396" s="85"/>
      <c r="AG396" s="85"/>
      <c r="AH396" s="85"/>
      <c r="AI396" s="85"/>
      <c r="AJ396" s="85"/>
      <c r="AK396" s="85"/>
      <c r="AL396" s="85"/>
      <c r="AM396" s="85" t="s">
        <v>537</v>
      </c>
      <c r="AN396" s="85" t="s">
        <v>538</v>
      </c>
      <c r="AO396" s="1" t="s">
        <v>559</v>
      </c>
      <c r="AP396" s="85" t="s">
        <v>591</v>
      </c>
      <c r="AQ396" s="85" t="s">
        <v>597</v>
      </c>
    </row>
    <row r="397" spans="1:43" x14ac:dyDescent="0.35">
      <c r="A397" s="134" t="s">
        <v>438</v>
      </c>
      <c r="B397" s="64">
        <f>_xlfn.XLOOKUP(A397,T_Custos[Produto],T_Custos[Peso])</f>
        <v>1</v>
      </c>
      <c r="C397" s="65" t="str">
        <f>_xlfn.XLOOKUP(A397,T_Custos[Produto],T_Custos[Und])</f>
        <v>bd</v>
      </c>
      <c r="D397" s="1"/>
      <c r="E397" s="1"/>
      <c r="F397" s="1"/>
      <c r="G397" s="1"/>
      <c r="H397" s="1"/>
      <c r="I397" s="1"/>
      <c r="J397" s="1"/>
      <c r="K397" s="85"/>
      <c r="L397" s="1"/>
      <c r="M397" s="1"/>
      <c r="N397" s="1"/>
      <c r="O397" s="1"/>
      <c r="P397" s="47" t="s">
        <v>253</v>
      </c>
      <c r="Q397" s="47" t="s">
        <v>254</v>
      </c>
      <c r="R397" s="1"/>
      <c r="S397" s="85" t="s">
        <v>442</v>
      </c>
      <c r="T397" s="85" t="s">
        <v>443</v>
      </c>
      <c r="U397" s="85" t="s">
        <v>444</v>
      </c>
      <c r="V397" s="85" t="s">
        <v>445</v>
      </c>
      <c r="W397" s="85" t="s">
        <v>446</v>
      </c>
      <c r="X397" s="85" t="s">
        <v>452</v>
      </c>
      <c r="Y397" s="85"/>
      <c r="Z397" s="85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5"/>
      <c r="AO397" s="1"/>
      <c r="AP397" s="85"/>
      <c r="AQ397" s="85"/>
    </row>
  </sheetData>
  <phoneticPr fontId="5" type="noConversion"/>
  <conditionalFormatting sqref="A2:A397">
    <cfRule type="duplicateValues" dxfId="8" priority="20"/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2">
    <tabColor theme="4"/>
  </sheetPr>
  <dimension ref="A1:C43"/>
  <sheetViews>
    <sheetView showGridLines="0" workbookViewId="0">
      <selection activeCell="B34" sqref="B34"/>
    </sheetView>
  </sheetViews>
  <sheetFormatPr defaultColWidth="9.1796875" defaultRowHeight="14.5" x14ac:dyDescent="0.35"/>
  <cols>
    <col min="1" max="1" width="20.54296875" style="47" bestFit="1" customWidth="1"/>
    <col min="2" max="2" width="13" style="56" bestFit="1" customWidth="1"/>
    <col min="3" max="3" width="10.1796875" style="58" bestFit="1" customWidth="1"/>
    <col min="4" max="16384" width="9.1796875" style="57"/>
  </cols>
  <sheetData>
    <row r="1" spans="1:3" x14ac:dyDescent="0.35">
      <c r="A1" s="58" t="s">
        <v>249</v>
      </c>
      <c r="B1" s="56" t="s">
        <v>250</v>
      </c>
      <c r="C1" s="58" t="s">
        <v>270</v>
      </c>
    </row>
    <row r="2" spans="1:3" x14ac:dyDescent="0.35">
      <c r="A2" s="47" t="s">
        <v>252</v>
      </c>
      <c r="B2" s="56">
        <v>0.2</v>
      </c>
      <c r="C2" s="58" t="s">
        <v>274</v>
      </c>
    </row>
    <row r="3" spans="1:3" x14ac:dyDescent="0.35">
      <c r="A3" s="47" t="s">
        <v>261</v>
      </c>
      <c r="B3" s="56">
        <v>0.2</v>
      </c>
      <c r="C3" s="58" t="s">
        <v>273</v>
      </c>
    </row>
    <row r="4" spans="1:3" x14ac:dyDescent="0.35">
      <c r="A4" s="47" t="s">
        <v>452</v>
      </c>
      <c r="B4" s="56">
        <v>0.25</v>
      </c>
      <c r="C4" s="58" t="s">
        <v>273</v>
      </c>
    </row>
    <row r="5" spans="1:3" x14ac:dyDescent="0.35">
      <c r="A5" s="47" t="s">
        <v>591</v>
      </c>
      <c r="B5" s="56">
        <v>0.15</v>
      </c>
      <c r="C5" s="58" t="s">
        <v>273</v>
      </c>
    </row>
    <row r="6" spans="1:3" x14ac:dyDescent="0.35">
      <c r="A6" s="47" t="s">
        <v>246</v>
      </c>
      <c r="B6" s="56">
        <v>0.2</v>
      </c>
      <c r="C6" s="58" t="s">
        <v>273</v>
      </c>
    </row>
    <row r="7" spans="1:3" x14ac:dyDescent="0.35">
      <c r="A7" s="47" t="s">
        <v>245</v>
      </c>
      <c r="B7" s="56">
        <v>0.25</v>
      </c>
      <c r="C7" s="58" t="s">
        <v>273</v>
      </c>
    </row>
    <row r="8" spans="1:3" x14ac:dyDescent="0.35">
      <c r="A8" s="47" t="s">
        <v>248</v>
      </c>
      <c r="B8" s="56">
        <v>0.2</v>
      </c>
      <c r="C8" s="58" t="s">
        <v>273</v>
      </c>
    </row>
    <row r="9" spans="1:3" x14ac:dyDescent="0.35">
      <c r="A9" s="47" t="s">
        <v>255</v>
      </c>
      <c r="B9" s="56">
        <v>0.28000000000000003</v>
      </c>
      <c r="C9" s="58" t="s">
        <v>274</v>
      </c>
    </row>
    <row r="10" spans="1:3" x14ac:dyDescent="0.35">
      <c r="A10" s="85" t="s">
        <v>518</v>
      </c>
      <c r="B10" s="56">
        <v>0.18</v>
      </c>
      <c r="C10" s="58" t="s">
        <v>274</v>
      </c>
    </row>
    <row r="11" spans="1:3" x14ac:dyDescent="0.35">
      <c r="A11" s="85" t="s">
        <v>520</v>
      </c>
      <c r="B11" s="56">
        <v>0.18</v>
      </c>
      <c r="C11" s="58" t="s">
        <v>274</v>
      </c>
    </row>
    <row r="12" spans="1:3" x14ac:dyDescent="0.35">
      <c r="A12" s="85" t="s">
        <v>521</v>
      </c>
      <c r="B12" s="56">
        <v>0.18</v>
      </c>
      <c r="C12" s="58" t="s">
        <v>274</v>
      </c>
    </row>
    <row r="13" spans="1:3" x14ac:dyDescent="0.35">
      <c r="A13" s="85" t="s">
        <v>519</v>
      </c>
      <c r="B13" s="56">
        <v>0.18</v>
      </c>
      <c r="C13" s="58" t="s">
        <v>274</v>
      </c>
    </row>
    <row r="14" spans="1:3" x14ac:dyDescent="0.35">
      <c r="A14" s="47" t="s">
        <v>258</v>
      </c>
      <c r="B14" s="56">
        <v>0.2</v>
      </c>
      <c r="C14" s="58" t="s">
        <v>274</v>
      </c>
    </row>
    <row r="15" spans="1:3" x14ac:dyDescent="0.35">
      <c r="A15" s="85" t="s">
        <v>517</v>
      </c>
      <c r="B15" s="56">
        <v>0.18</v>
      </c>
      <c r="C15" s="58" t="s">
        <v>274</v>
      </c>
    </row>
    <row r="16" spans="1:3" x14ac:dyDescent="0.35">
      <c r="A16" s="47" t="s">
        <v>260</v>
      </c>
      <c r="B16" s="56">
        <v>0.15</v>
      </c>
      <c r="C16" s="58" t="s">
        <v>274</v>
      </c>
    </row>
    <row r="17" spans="1:3" x14ac:dyDescent="0.35">
      <c r="A17" s="47" t="s">
        <v>259</v>
      </c>
      <c r="B17" s="56">
        <v>0.35</v>
      </c>
      <c r="C17" s="58" t="s">
        <v>274</v>
      </c>
    </row>
    <row r="18" spans="1:3" x14ac:dyDescent="0.35">
      <c r="A18" s="47" t="s">
        <v>503</v>
      </c>
      <c r="B18" s="56">
        <v>0.15</v>
      </c>
      <c r="C18" s="58" t="s">
        <v>274</v>
      </c>
    </row>
    <row r="19" spans="1:3" x14ac:dyDescent="0.35">
      <c r="A19" s="47" t="s">
        <v>251</v>
      </c>
      <c r="B19" s="56">
        <v>0.4</v>
      </c>
      <c r="C19" s="58" t="s">
        <v>274</v>
      </c>
    </row>
    <row r="20" spans="1:3" x14ac:dyDescent="0.35">
      <c r="A20" s="85" t="s">
        <v>516</v>
      </c>
      <c r="B20" s="56">
        <v>0.18</v>
      </c>
      <c r="C20" s="58" t="s">
        <v>274</v>
      </c>
    </row>
    <row r="21" spans="1:3" x14ac:dyDescent="0.35">
      <c r="A21" s="47" t="s">
        <v>445</v>
      </c>
      <c r="B21" s="56">
        <v>0.25</v>
      </c>
      <c r="C21" s="58" t="s">
        <v>274</v>
      </c>
    </row>
    <row r="22" spans="1:3" x14ac:dyDescent="0.35">
      <c r="A22" s="47" t="s">
        <v>537</v>
      </c>
      <c r="B22" s="56">
        <v>0.2</v>
      </c>
      <c r="C22" s="58" t="s">
        <v>273</v>
      </c>
    </row>
    <row r="23" spans="1:3" x14ac:dyDescent="0.35">
      <c r="A23" s="47" t="s">
        <v>538</v>
      </c>
      <c r="B23" s="56">
        <v>0.2</v>
      </c>
      <c r="C23" s="58" t="s">
        <v>273</v>
      </c>
    </row>
    <row r="24" spans="1:3" x14ac:dyDescent="0.35">
      <c r="A24" s="47" t="s">
        <v>444</v>
      </c>
      <c r="B24" s="56">
        <v>0.25</v>
      </c>
      <c r="C24" s="58" t="s">
        <v>274</v>
      </c>
    </row>
    <row r="25" spans="1:3" x14ac:dyDescent="0.35">
      <c r="A25" s="47" t="s">
        <v>559</v>
      </c>
      <c r="B25" s="56">
        <v>0.16</v>
      </c>
      <c r="C25" s="58" t="s">
        <v>273</v>
      </c>
    </row>
    <row r="26" spans="1:3" x14ac:dyDescent="0.35">
      <c r="A26" s="47" t="s">
        <v>465</v>
      </c>
      <c r="B26" s="56">
        <v>0.15</v>
      </c>
      <c r="C26" s="58" t="s">
        <v>274</v>
      </c>
    </row>
    <row r="27" spans="1:3" x14ac:dyDescent="0.35">
      <c r="A27" s="47" t="s">
        <v>443</v>
      </c>
      <c r="B27" s="56">
        <v>0.25</v>
      </c>
      <c r="C27" s="58" t="s">
        <v>274</v>
      </c>
    </row>
    <row r="28" spans="1:3" x14ac:dyDescent="0.35">
      <c r="A28" s="47" t="s">
        <v>257</v>
      </c>
      <c r="B28" s="56">
        <v>0.35</v>
      </c>
      <c r="C28" s="58" t="s">
        <v>273</v>
      </c>
    </row>
    <row r="29" spans="1:3" x14ac:dyDescent="0.35">
      <c r="A29" s="47" t="s">
        <v>488</v>
      </c>
      <c r="B29" s="56">
        <v>0.2</v>
      </c>
      <c r="C29" s="58" t="s">
        <v>274</v>
      </c>
    </row>
    <row r="30" spans="1:3" x14ac:dyDescent="0.35">
      <c r="A30" s="47" t="s">
        <v>487</v>
      </c>
      <c r="B30" s="56">
        <v>0.3</v>
      </c>
      <c r="C30" s="58" t="s">
        <v>274</v>
      </c>
    </row>
    <row r="31" spans="1:3" x14ac:dyDescent="0.35">
      <c r="A31" s="47" t="s">
        <v>442</v>
      </c>
      <c r="B31" s="56">
        <v>0.25</v>
      </c>
      <c r="C31" s="58" t="s">
        <v>274</v>
      </c>
    </row>
    <row r="32" spans="1:3" x14ac:dyDescent="0.35">
      <c r="A32" s="47" t="s">
        <v>463</v>
      </c>
      <c r="B32" s="56">
        <v>0.15</v>
      </c>
      <c r="C32" s="58" t="s">
        <v>274</v>
      </c>
    </row>
    <row r="33" spans="1:3" x14ac:dyDescent="0.35">
      <c r="A33" s="47" t="s">
        <v>247</v>
      </c>
      <c r="B33" s="56">
        <v>0.2</v>
      </c>
      <c r="C33" s="58" t="s">
        <v>274</v>
      </c>
    </row>
    <row r="34" spans="1:3" x14ac:dyDescent="0.35">
      <c r="A34" s="47" t="s">
        <v>253</v>
      </c>
      <c r="B34" s="56">
        <v>0.28000000000000003</v>
      </c>
      <c r="C34" s="58" t="s">
        <v>273</v>
      </c>
    </row>
    <row r="35" spans="1:3" x14ac:dyDescent="0.35">
      <c r="A35" s="47" t="s">
        <v>254</v>
      </c>
      <c r="B35" s="56">
        <v>0.3</v>
      </c>
      <c r="C35" s="58" t="s">
        <v>273</v>
      </c>
    </row>
    <row r="36" spans="1:3" x14ac:dyDescent="0.35">
      <c r="A36" s="47" t="s">
        <v>509</v>
      </c>
      <c r="B36" s="56">
        <v>0.15</v>
      </c>
      <c r="C36" s="58" t="s">
        <v>274</v>
      </c>
    </row>
    <row r="37" spans="1:3" x14ac:dyDescent="0.35">
      <c r="A37" s="85" t="s">
        <v>515</v>
      </c>
      <c r="B37" s="56">
        <v>0.18</v>
      </c>
      <c r="C37" s="58" t="s">
        <v>274</v>
      </c>
    </row>
    <row r="38" spans="1:3" x14ac:dyDescent="0.35">
      <c r="A38" s="47" t="s">
        <v>446</v>
      </c>
      <c r="B38" s="56">
        <v>0.25</v>
      </c>
      <c r="C38" s="58" t="s">
        <v>274</v>
      </c>
    </row>
    <row r="39" spans="1:3" x14ac:dyDescent="0.35">
      <c r="A39" s="47" t="s">
        <v>507</v>
      </c>
      <c r="B39" s="56">
        <v>0.15</v>
      </c>
      <c r="C39" s="58" t="s">
        <v>274</v>
      </c>
    </row>
    <row r="40" spans="1:3" x14ac:dyDescent="0.35">
      <c r="A40" s="47" t="s">
        <v>491</v>
      </c>
      <c r="B40" s="56">
        <v>0.15</v>
      </c>
      <c r="C40" s="58" t="s">
        <v>273</v>
      </c>
    </row>
    <row r="41" spans="1:3" x14ac:dyDescent="0.35">
      <c r="A41" s="47" t="s">
        <v>550</v>
      </c>
      <c r="B41" s="56">
        <v>0.2</v>
      </c>
      <c r="C41" s="58" t="s">
        <v>273</v>
      </c>
    </row>
    <row r="42" spans="1:3" x14ac:dyDescent="0.35">
      <c r="A42" s="47" t="s">
        <v>597</v>
      </c>
      <c r="B42" s="56">
        <v>0.25</v>
      </c>
      <c r="C42" s="58" t="s">
        <v>273</v>
      </c>
    </row>
    <row r="43" spans="1:3" x14ac:dyDescent="0.35">
      <c r="A43" s="47" t="s">
        <v>256</v>
      </c>
      <c r="B43" s="56">
        <v>0.25</v>
      </c>
      <c r="C43" s="58" t="s">
        <v>273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G358"/>
  <sheetViews>
    <sheetView workbookViewId="0">
      <selection activeCell="E9" sqref="E9"/>
    </sheetView>
  </sheetViews>
  <sheetFormatPr defaultRowHeight="14.5" x14ac:dyDescent="0.35"/>
  <cols>
    <col min="1" max="1" width="48.81640625" style="112" bestFit="1" customWidth="1"/>
    <col min="2" max="2" width="7.54296875" style="112" bestFit="1" customWidth="1"/>
    <col min="3" max="3" width="7" style="112" bestFit="1" customWidth="1"/>
    <col min="4" max="4" width="12.81640625" style="63" bestFit="1" customWidth="1"/>
    <col min="5" max="5" width="15.81640625" style="138" bestFit="1" customWidth="1"/>
    <col min="6" max="6" width="29" style="138" bestFit="1" customWidth="1"/>
    <col min="7" max="7" width="18.1796875" bestFit="1" customWidth="1"/>
  </cols>
  <sheetData>
    <row r="1" spans="1:7" x14ac:dyDescent="0.35">
      <c r="A1" s="136" t="s">
        <v>234</v>
      </c>
      <c r="B1" s="136" t="s">
        <v>237</v>
      </c>
      <c r="C1" s="136" t="s">
        <v>262</v>
      </c>
      <c r="D1" s="136" t="s">
        <v>454</v>
      </c>
      <c r="E1" s="137" t="s">
        <v>541</v>
      </c>
      <c r="F1" s="137" t="s">
        <v>542</v>
      </c>
      <c r="G1" s="154" t="s">
        <v>558</v>
      </c>
    </row>
    <row r="2" spans="1:7" x14ac:dyDescent="0.35">
      <c r="A2" s="134" t="s">
        <v>0</v>
      </c>
      <c r="B2" s="67">
        <f>_xlfn.XLOOKUP(A2,T_Custos[Produto],T_Custos[Peso])</f>
        <v>15</v>
      </c>
      <c r="C2" s="78" t="str">
        <f>_xlfn.XLOOKUP(A2,T_Custos[Produto],T_Custos[Und])</f>
        <v>kg</v>
      </c>
      <c r="D2" s="72">
        <v>5.5</v>
      </c>
      <c r="E2" s="138">
        <v>0</v>
      </c>
      <c r="F2" s="138">
        <v>0</v>
      </c>
      <c r="G2" s="138">
        <v>3.8</v>
      </c>
    </row>
    <row r="3" spans="1:7" x14ac:dyDescent="0.35">
      <c r="A3" s="134" t="s">
        <v>1</v>
      </c>
      <c r="B3" s="67">
        <f>_xlfn.XLOOKUP(A3,T_Custos[Produto],T_Custos[Peso])</f>
        <v>10</v>
      </c>
      <c r="C3" s="78" t="str">
        <f>_xlfn.XLOOKUP(A3,T_Custos[Produto],T_Custos[Und])</f>
        <v>un</v>
      </c>
      <c r="D3" s="72">
        <v>5.5</v>
      </c>
      <c r="E3" s="138">
        <v>5</v>
      </c>
      <c r="F3" s="138">
        <v>7</v>
      </c>
      <c r="G3" s="138">
        <v>4.8</v>
      </c>
    </row>
    <row r="4" spans="1:7" x14ac:dyDescent="0.35">
      <c r="A4" s="134" t="s">
        <v>2</v>
      </c>
      <c r="B4" s="67">
        <f>_xlfn.XLOOKUP(A4,T_Custos[Produto],T_Custos[Peso])</f>
        <v>1</v>
      </c>
      <c r="C4" s="78" t="str">
        <f>_xlfn.XLOOKUP(A4,T_Custos[Produto],T_Custos[Und])</f>
        <v>kg</v>
      </c>
      <c r="D4" s="72">
        <v>0.28000000000000003</v>
      </c>
      <c r="E4" s="138">
        <v>0.14000000000000001</v>
      </c>
      <c r="F4" s="138">
        <v>0.25</v>
      </c>
      <c r="G4" s="138">
        <v>0.2</v>
      </c>
    </row>
    <row r="5" spans="1:7" x14ac:dyDescent="0.35">
      <c r="A5" s="134" t="s">
        <v>3</v>
      </c>
      <c r="B5" s="67">
        <f>_xlfn.XLOOKUP(A5,T_Custos[Produto],T_Custos[Peso])</f>
        <v>15</v>
      </c>
      <c r="C5" s="78" t="str">
        <f>_xlfn.XLOOKUP(A5,T_Custos[Produto],T_Custos[Und])</f>
        <v>kg</v>
      </c>
      <c r="D5" s="72">
        <v>5.5</v>
      </c>
      <c r="E5" s="138">
        <v>0</v>
      </c>
      <c r="F5" s="138">
        <v>0</v>
      </c>
      <c r="G5" s="138">
        <v>3.8</v>
      </c>
    </row>
    <row r="6" spans="1:7" x14ac:dyDescent="0.35">
      <c r="A6" s="134" t="s">
        <v>4</v>
      </c>
      <c r="B6" s="67">
        <f>_xlfn.XLOOKUP(A6,T_Custos[Produto],T_Custos[Peso])</f>
        <v>1</v>
      </c>
      <c r="C6" s="78" t="str">
        <f>_xlfn.XLOOKUP(A6,T_Custos[Produto],T_Custos[Und])</f>
        <v>kg</v>
      </c>
      <c r="D6" s="72">
        <v>0.28000000000000003</v>
      </c>
      <c r="E6" s="138">
        <v>0.14000000000000001</v>
      </c>
      <c r="F6" s="138">
        <v>0.25</v>
      </c>
      <c r="G6" s="138">
        <v>0.2</v>
      </c>
    </row>
    <row r="7" spans="1:7" x14ac:dyDescent="0.35">
      <c r="A7" s="134" t="s">
        <v>5</v>
      </c>
      <c r="B7" s="67">
        <f>_xlfn.XLOOKUP(A7,T_Custos[Produto],T_Custos[Peso])</f>
        <v>1</v>
      </c>
      <c r="C7" s="78" t="str">
        <f>_xlfn.XLOOKUP(A7,T_Custos[Produto],T_Custos[Und])</f>
        <v>kg</v>
      </c>
      <c r="D7" s="72">
        <v>0.28000000000000003</v>
      </c>
      <c r="E7" s="138">
        <v>0.14000000000000001</v>
      </c>
      <c r="F7" s="138">
        <v>0.25</v>
      </c>
      <c r="G7" s="138">
        <v>0.2</v>
      </c>
    </row>
    <row r="8" spans="1:7" x14ac:dyDescent="0.35">
      <c r="A8" s="134" t="s">
        <v>6</v>
      </c>
      <c r="B8" s="67">
        <f>_xlfn.XLOOKUP(A8,T_Custos[Produto],T_Custos[Peso])</f>
        <v>1</v>
      </c>
      <c r="C8" s="78" t="str">
        <f>_xlfn.XLOOKUP(A8,T_Custos[Produto],T_Custos[Und])</f>
        <v>kg</v>
      </c>
      <c r="D8" s="72">
        <v>0.28000000000000003</v>
      </c>
      <c r="E8" s="138">
        <v>0.14000000000000001</v>
      </c>
      <c r="F8" s="138">
        <v>0.25</v>
      </c>
      <c r="G8" s="138">
        <v>0.2</v>
      </c>
    </row>
    <row r="9" spans="1:7" x14ac:dyDescent="0.35">
      <c r="A9" s="134" t="s">
        <v>7</v>
      </c>
      <c r="B9" s="67">
        <f>_xlfn.XLOOKUP(A9,T_Custos[Produto],T_Custos[Peso])</f>
        <v>1</v>
      </c>
      <c r="C9" s="78" t="str">
        <f>_xlfn.XLOOKUP(A9,T_Custos[Produto],T_Custos[Und])</f>
        <v>kg</v>
      </c>
      <c r="D9" s="72">
        <v>0.28000000000000003</v>
      </c>
      <c r="E9" s="138">
        <v>0.14000000000000001</v>
      </c>
      <c r="F9" s="138">
        <v>0.25</v>
      </c>
      <c r="G9" s="138">
        <v>0.2</v>
      </c>
    </row>
    <row r="10" spans="1:7" x14ac:dyDescent="0.35">
      <c r="A10" s="134" t="s">
        <v>8</v>
      </c>
      <c r="B10" s="67">
        <f>_xlfn.XLOOKUP(A10,T_Custos[Produto],T_Custos[Peso])</f>
        <v>1</v>
      </c>
      <c r="C10" s="78" t="str">
        <f>_xlfn.XLOOKUP(A10,T_Custos[Produto],T_Custos[Und])</f>
        <v>kg</v>
      </c>
      <c r="D10" s="72">
        <v>0.28000000000000003</v>
      </c>
      <c r="E10" s="138">
        <v>0.14000000000000001</v>
      </c>
      <c r="F10" s="138">
        <v>0.25</v>
      </c>
      <c r="G10" s="138">
        <v>0.2</v>
      </c>
    </row>
    <row r="11" spans="1:7" x14ac:dyDescent="0.35">
      <c r="A11" s="134" t="s">
        <v>9</v>
      </c>
      <c r="B11" s="67">
        <f>_xlfn.XLOOKUP(A11,T_Custos[Produto],T_Custos[Peso])</f>
        <v>1</v>
      </c>
      <c r="C11" s="78" t="str">
        <f>_xlfn.XLOOKUP(A11,T_Custos[Produto],T_Custos[Und])</f>
        <v>kg</v>
      </c>
      <c r="D11" s="72">
        <v>0.28000000000000003</v>
      </c>
      <c r="E11" s="138">
        <v>0.14000000000000001</v>
      </c>
      <c r="F11" s="138">
        <v>0.25</v>
      </c>
      <c r="G11" s="138">
        <v>0.2</v>
      </c>
    </row>
    <row r="12" spans="1:7" x14ac:dyDescent="0.35">
      <c r="A12" s="134" t="s">
        <v>10</v>
      </c>
      <c r="B12" s="67">
        <f>_xlfn.XLOOKUP(A12,T_Custos[Produto],T_Custos[Peso])</f>
        <v>1</v>
      </c>
      <c r="C12" s="78" t="str">
        <f>_xlfn.XLOOKUP(A12,T_Custos[Produto],T_Custos[Und])</f>
        <v>kg</v>
      </c>
      <c r="D12" s="72">
        <v>0.28000000000000003</v>
      </c>
      <c r="E12" s="138">
        <v>0.14000000000000001</v>
      </c>
      <c r="F12" s="138">
        <v>0.25</v>
      </c>
      <c r="G12" s="138">
        <v>0.2</v>
      </c>
    </row>
    <row r="13" spans="1:7" x14ac:dyDescent="0.35">
      <c r="A13" s="134" t="s">
        <v>11</v>
      </c>
      <c r="B13" s="67">
        <f>_xlfn.XLOOKUP(A13,T_Custos[Produto],T_Custos[Peso])</f>
        <v>17</v>
      </c>
      <c r="C13" s="78" t="str">
        <f>_xlfn.XLOOKUP(A13,T_Custos[Produto],T_Custos[Und])</f>
        <v>kg</v>
      </c>
      <c r="D13" s="72">
        <v>5.5</v>
      </c>
      <c r="E13" s="138">
        <v>3.8</v>
      </c>
      <c r="F13" s="138">
        <v>5.5</v>
      </c>
      <c r="G13" s="138">
        <v>3.95</v>
      </c>
    </row>
    <row r="14" spans="1:7" x14ac:dyDescent="0.35">
      <c r="A14" s="134" t="s">
        <v>364</v>
      </c>
      <c r="B14" s="67">
        <f>_xlfn.XLOOKUP(A14,T_Custos[Produto],T_Custos[Peso])</f>
        <v>1</v>
      </c>
      <c r="C14" s="78" t="str">
        <f>_xlfn.XLOOKUP(A14,T_Custos[Produto],T_Custos[Und])</f>
        <v>und</v>
      </c>
      <c r="D14" s="81">
        <v>0</v>
      </c>
      <c r="E14" s="138">
        <v>0</v>
      </c>
      <c r="F14" s="138">
        <v>0</v>
      </c>
      <c r="G14" s="138">
        <v>0.2</v>
      </c>
    </row>
    <row r="15" spans="1:7" x14ac:dyDescent="0.35">
      <c r="A15" s="134" t="s">
        <v>12</v>
      </c>
      <c r="B15" s="67">
        <f>_xlfn.XLOOKUP(A15,T_Custos[Produto],T_Custos[Peso])</f>
        <v>18</v>
      </c>
      <c r="C15" s="78" t="str">
        <f>_xlfn.XLOOKUP(A15,T_Custos[Produto],T_Custos[Und])</f>
        <v>kg</v>
      </c>
      <c r="D15" s="72">
        <v>5.5</v>
      </c>
      <c r="E15" s="138">
        <v>0</v>
      </c>
      <c r="F15" s="138">
        <v>0</v>
      </c>
      <c r="G15" s="138">
        <v>3.95</v>
      </c>
    </row>
    <row r="16" spans="1:7" x14ac:dyDescent="0.35">
      <c r="A16" s="134" t="s">
        <v>186</v>
      </c>
      <c r="B16" s="67">
        <f>_xlfn.XLOOKUP(A16,T_Custos[Produto],T_Custos[Peso])</f>
        <v>1</v>
      </c>
      <c r="C16" s="78" t="str">
        <f>_xlfn.XLOOKUP(A16,T_Custos[Produto],T_Custos[Und])</f>
        <v>un</v>
      </c>
      <c r="D16" s="81">
        <v>0</v>
      </c>
      <c r="E16" s="138">
        <v>0</v>
      </c>
      <c r="F16" s="138">
        <v>0</v>
      </c>
      <c r="G16" s="138">
        <v>0.2</v>
      </c>
    </row>
    <row r="17" spans="1:7" x14ac:dyDescent="0.35">
      <c r="A17" s="134" t="s">
        <v>188</v>
      </c>
      <c r="B17" s="67">
        <f>_xlfn.XLOOKUP(A17,T_Custos[Produto],T_Custos[Peso])</f>
        <v>1</v>
      </c>
      <c r="C17" s="78" t="str">
        <f>_xlfn.XLOOKUP(A17,T_Custos[Produto],T_Custos[Und])</f>
        <v>un</v>
      </c>
      <c r="D17" s="81">
        <v>0</v>
      </c>
      <c r="E17" s="138">
        <v>0</v>
      </c>
      <c r="F17" s="138">
        <v>0</v>
      </c>
      <c r="G17" s="138">
        <v>0.2</v>
      </c>
    </row>
    <row r="18" spans="1:7" x14ac:dyDescent="0.35">
      <c r="A18" s="134" t="s">
        <v>397</v>
      </c>
      <c r="B18" s="67">
        <f>_xlfn.XLOOKUP(A18,T_Custos[Produto],T_Custos[Peso])</f>
        <v>1</v>
      </c>
      <c r="C18" s="78" t="str">
        <f>_xlfn.XLOOKUP(A18,T_Custos[Produto],T_Custos[Und])</f>
        <v>pc</v>
      </c>
      <c r="D18" s="72">
        <v>0.14000000000000001</v>
      </c>
      <c r="E18" s="138">
        <v>0</v>
      </c>
      <c r="F18" s="138">
        <v>0</v>
      </c>
      <c r="G18" s="138">
        <v>0.5</v>
      </c>
    </row>
    <row r="19" spans="1:7" x14ac:dyDescent="0.35">
      <c r="A19" s="134" t="s">
        <v>223</v>
      </c>
      <c r="B19" s="67">
        <f>_xlfn.XLOOKUP(A19,T_Custos[Produto],T_Custos[Peso])</f>
        <v>1</v>
      </c>
      <c r="C19" s="78" t="str">
        <f>_xlfn.XLOOKUP(A19,T_Custos[Produto],T_Custos[Und])</f>
        <v>un</v>
      </c>
      <c r="D19" s="81">
        <v>0</v>
      </c>
      <c r="E19" s="138">
        <v>0</v>
      </c>
      <c r="F19" s="138">
        <v>0</v>
      </c>
      <c r="G19" s="138">
        <v>0.2</v>
      </c>
    </row>
    <row r="20" spans="1:7" x14ac:dyDescent="0.35">
      <c r="A20" s="134" t="s">
        <v>13</v>
      </c>
      <c r="B20" s="67">
        <f>_xlfn.XLOOKUP(A20,T_Custos[Produto],T_Custos[Peso])</f>
        <v>20</v>
      </c>
      <c r="C20" s="78" t="str">
        <f>_xlfn.XLOOKUP(A20,T_Custos[Produto],T_Custos[Und])</f>
        <v>kg</v>
      </c>
      <c r="D20" s="72">
        <v>5.5</v>
      </c>
      <c r="E20" s="138">
        <v>3.8</v>
      </c>
      <c r="F20" s="138">
        <v>5.5</v>
      </c>
      <c r="G20" s="138">
        <v>3.95</v>
      </c>
    </row>
    <row r="21" spans="1:7" x14ac:dyDescent="0.35">
      <c r="A21" s="134" t="s">
        <v>15</v>
      </c>
      <c r="B21" s="67">
        <f>_xlfn.XLOOKUP(A21,T_Custos[Produto],T_Custos[Peso])</f>
        <v>20</v>
      </c>
      <c r="C21" s="78" t="str">
        <f>_xlfn.XLOOKUP(A21,T_Custos[Produto],T_Custos[Und])</f>
        <v>kg</v>
      </c>
      <c r="D21" s="72">
        <v>5.5</v>
      </c>
      <c r="E21" s="138">
        <v>3.8</v>
      </c>
      <c r="F21" s="138">
        <v>5.5</v>
      </c>
      <c r="G21" s="138">
        <v>3.95</v>
      </c>
    </row>
    <row r="22" spans="1:7" x14ac:dyDescent="0.35">
      <c r="A22" s="134" t="s">
        <v>14</v>
      </c>
      <c r="B22" s="67">
        <f>_xlfn.XLOOKUP(A22,T_Custos[Produto],T_Custos[Peso])</f>
        <v>20</v>
      </c>
      <c r="C22" s="78" t="str">
        <f>_xlfn.XLOOKUP(A22,T_Custos[Produto],T_Custos[Und])</f>
        <v>kg</v>
      </c>
      <c r="D22" s="72">
        <v>5.5</v>
      </c>
      <c r="E22" s="138">
        <v>3.8</v>
      </c>
      <c r="F22" s="138">
        <v>5.5</v>
      </c>
      <c r="G22" s="138">
        <v>3.95</v>
      </c>
    </row>
    <row r="23" spans="1:7" x14ac:dyDescent="0.35">
      <c r="A23" s="134" t="s">
        <v>189</v>
      </c>
      <c r="B23" s="67">
        <f>_xlfn.XLOOKUP(A23,T_Custos[Produto],T_Custos[Peso])</f>
        <v>1</v>
      </c>
      <c r="C23" s="78" t="str">
        <f>_xlfn.XLOOKUP(A23,T_Custos[Produto],T_Custos[Und])</f>
        <v>un</v>
      </c>
      <c r="D23" s="81">
        <v>0</v>
      </c>
      <c r="E23" s="138">
        <v>0</v>
      </c>
      <c r="F23" s="138">
        <v>0</v>
      </c>
      <c r="G23" s="138">
        <v>0.2</v>
      </c>
    </row>
    <row r="24" spans="1:7" x14ac:dyDescent="0.35">
      <c r="A24" s="134" t="s">
        <v>187</v>
      </c>
      <c r="B24" s="67">
        <f>_xlfn.XLOOKUP(A24,T_Custos[Produto],T_Custos[Peso])</f>
        <v>1</v>
      </c>
      <c r="C24" s="78" t="str">
        <f>_xlfn.XLOOKUP(A24,T_Custos[Produto],T_Custos[Und])</f>
        <v>un</v>
      </c>
      <c r="D24" s="81">
        <v>0</v>
      </c>
      <c r="E24" s="138">
        <v>0</v>
      </c>
      <c r="F24" s="138">
        <v>0</v>
      </c>
      <c r="G24" s="138">
        <v>0.2</v>
      </c>
    </row>
    <row r="25" spans="1:7" x14ac:dyDescent="0.35">
      <c r="A25" s="134" t="s">
        <v>229</v>
      </c>
      <c r="B25" s="67">
        <f>_xlfn.XLOOKUP(A25,T_Custos[Produto],T_Custos[Peso])</f>
        <v>1</v>
      </c>
      <c r="C25" s="78" t="str">
        <f>_xlfn.XLOOKUP(A25,T_Custos[Produto],T_Custos[Und])</f>
        <v>un</v>
      </c>
      <c r="D25" s="81">
        <v>0</v>
      </c>
      <c r="E25" s="138">
        <v>0</v>
      </c>
      <c r="F25" s="138">
        <v>0</v>
      </c>
      <c r="G25" s="138">
        <v>0.2</v>
      </c>
    </row>
    <row r="26" spans="1:7" x14ac:dyDescent="0.35">
      <c r="A26" s="134" t="s">
        <v>228</v>
      </c>
      <c r="B26" s="67">
        <f>_xlfn.XLOOKUP(A26,T_Custos[Produto],T_Custos[Peso])</f>
        <v>1</v>
      </c>
      <c r="C26" s="78" t="str">
        <f>_xlfn.XLOOKUP(A26,T_Custos[Produto],T_Custos[Und])</f>
        <v>un</v>
      </c>
      <c r="D26" s="81">
        <v>0</v>
      </c>
      <c r="E26" s="138">
        <v>0</v>
      </c>
      <c r="F26" s="138">
        <v>0</v>
      </c>
      <c r="G26" s="138">
        <v>0.2</v>
      </c>
    </row>
    <row r="27" spans="1:7" x14ac:dyDescent="0.35">
      <c r="A27" s="134" t="s">
        <v>398</v>
      </c>
      <c r="B27" s="67">
        <f>_xlfn.XLOOKUP(A27,T_Custos[Produto],T_Custos[Peso])</f>
        <v>1</v>
      </c>
      <c r="C27" s="78" t="str">
        <f>_xlfn.XLOOKUP(A27,T_Custos[Produto],T_Custos[Und])</f>
        <v>pc</v>
      </c>
      <c r="D27" s="72">
        <v>0.14000000000000001</v>
      </c>
      <c r="E27" s="138">
        <v>0</v>
      </c>
      <c r="F27" s="138">
        <v>0</v>
      </c>
      <c r="G27" s="138">
        <v>0.5</v>
      </c>
    </row>
    <row r="28" spans="1:7" x14ac:dyDescent="0.35">
      <c r="A28" s="134" t="s">
        <v>512</v>
      </c>
      <c r="B28" s="67">
        <f>_xlfn.XLOOKUP(A28,T_Custos[Produto],T_Custos[Peso])</f>
        <v>1</v>
      </c>
      <c r="C28" s="78" t="str">
        <f>_xlfn.XLOOKUP(A28,T_Custos[Produto],T_Custos[Und])</f>
        <v>un</v>
      </c>
      <c r="D28" s="81">
        <v>0</v>
      </c>
      <c r="E28" s="138">
        <v>0</v>
      </c>
      <c r="F28" s="138">
        <v>0</v>
      </c>
      <c r="G28" s="138">
        <v>0.2</v>
      </c>
    </row>
    <row r="29" spans="1:7" x14ac:dyDescent="0.35">
      <c r="A29" s="134" t="s">
        <v>513</v>
      </c>
      <c r="B29" s="67">
        <f>_xlfn.XLOOKUP(A29,T_Custos[Produto],T_Custos[Peso])</f>
        <v>1</v>
      </c>
      <c r="C29" s="78" t="str">
        <f>_xlfn.XLOOKUP(A29,T_Custos[Produto],T_Custos[Und])</f>
        <v>un</v>
      </c>
      <c r="D29" s="81">
        <v>0</v>
      </c>
      <c r="E29" s="138">
        <v>0</v>
      </c>
      <c r="F29" s="138">
        <v>0</v>
      </c>
      <c r="G29" s="138">
        <v>0.2</v>
      </c>
    </row>
    <row r="30" spans="1:7" x14ac:dyDescent="0.35">
      <c r="A30" s="134" t="s">
        <v>227</v>
      </c>
      <c r="B30" s="67">
        <f>_xlfn.XLOOKUP(A30,T_Custos[Produto],T_Custos[Peso])</f>
        <v>1</v>
      </c>
      <c r="C30" s="78" t="str">
        <f>_xlfn.XLOOKUP(A30,T_Custos[Produto],T_Custos[Und])</f>
        <v>un</v>
      </c>
      <c r="D30" s="81">
        <v>0</v>
      </c>
      <c r="E30" s="138">
        <v>0</v>
      </c>
      <c r="F30" s="138">
        <v>0</v>
      </c>
      <c r="G30" s="138">
        <v>0.2</v>
      </c>
    </row>
    <row r="31" spans="1:7" x14ac:dyDescent="0.35">
      <c r="A31" s="134" t="s">
        <v>224</v>
      </c>
      <c r="B31" s="67">
        <f>_xlfn.XLOOKUP(A31,T_Custos[Produto],T_Custos[Peso])</f>
        <v>1</v>
      </c>
      <c r="C31" s="78" t="str">
        <f>_xlfn.XLOOKUP(A31,T_Custos[Produto],T_Custos[Und])</f>
        <v>un</v>
      </c>
      <c r="D31" s="81">
        <v>0</v>
      </c>
      <c r="E31" s="138">
        <v>0</v>
      </c>
      <c r="F31" s="138">
        <v>0</v>
      </c>
      <c r="G31" s="138">
        <v>0.2</v>
      </c>
    </row>
    <row r="32" spans="1:7" x14ac:dyDescent="0.35">
      <c r="A32" s="134" t="s">
        <v>190</v>
      </c>
      <c r="B32" s="67">
        <f>_xlfn.XLOOKUP(A32,T_Custos[Produto],T_Custos[Peso])</f>
        <v>1</v>
      </c>
      <c r="C32" s="78" t="str">
        <f>_xlfn.XLOOKUP(A32,T_Custos[Produto],T_Custos[Und])</f>
        <v>un</v>
      </c>
      <c r="D32" s="81">
        <v>0</v>
      </c>
      <c r="E32" s="138">
        <v>0</v>
      </c>
      <c r="F32" s="138">
        <v>0</v>
      </c>
      <c r="G32" s="138">
        <v>0.2</v>
      </c>
    </row>
    <row r="33" spans="1:7" x14ac:dyDescent="0.35">
      <c r="A33" s="134" t="s">
        <v>494</v>
      </c>
      <c r="B33" s="67">
        <f>_xlfn.XLOOKUP(A33,T_Custos[Produto],T_Custos[Peso])</f>
        <v>10</v>
      </c>
      <c r="C33" s="78" t="str">
        <f>_xlfn.XLOOKUP(A33,T_Custos[Produto],T_Custos[Und])</f>
        <v>kg</v>
      </c>
      <c r="D33" s="72">
        <v>3.5</v>
      </c>
      <c r="E33" s="138">
        <v>2.5</v>
      </c>
      <c r="F33" s="138">
        <v>3</v>
      </c>
      <c r="G33" s="138">
        <v>3.5</v>
      </c>
    </row>
    <row r="34" spans="1:7" x14ac:dyDescent="0.35">
      <c r="A34" s="134" t="s">
        <v>495</v>
      </c>
      <c r="B34" s="67">
        <f>_xlfn.XLOOKUP(A34,T_Custos[Produto],T_Custos[Peso])</f>
        <v>1</v>
      </c>
      <c r="C34" s="78" t="str">
        <f>_xlfn.XLOOKUP(A34,T_Custos[Produto],T_Custos[Und])</f>
        <v>und</v>
      </c>
      <c r="D34" s="81">
        <v>0</v>
      </c>
      <c r="E34" s="138">
        <v>0</v>
      </c>
      <c r="F34" s="138">
        <v>0</v>
      </c>
      <c r="G34" s="138">
        <v>0.2</v>
      </c>
    </row>
    <row r="35" spans="1:7" x14ac:dyDescent="0.35">
      <c r="A35" s="134" t="s">
        <v>16</v>
      </c>
      <c r="B35" s="67">
        <f>_xlfn.XLOOKUP(A35,T_Custos[Produto],T_Custos[Peso])</f>
        <v>1</v>
      </c>
      <c r="C35" s="78" t="str">
        <f>_xlfn.XLOOKUP(A35,T_Custos[Produto],T_Custos[Und])</f>
        <v>kg</v>
      </c>
      <c r="D35" s="72">
        <v>1.5</v>
      </c>
      <c r="E35" s="138">
        <v>0</v>
      </c>
      <c r="F35" s="138">
        <v>0</v>
      </c>
      <c r="G35" s="138">
        <v>0.2</v>
      </c>
    </row>
    <row r="36" spans="1:7" x14ac:dyDescent="0.35">
      <c r="A36" s="134" t="s">
        <v>399</v>
      </c>
      <c r="B36" s="67">
        <f>_xlfn.XLOOKUP(A36,T_Custos[Produto],T_Custos[Peso])</f>
        <v>1</v>
      </c>
      <c r="C36" s="78" t="str">
        <f>_xlfn.XLOOKUP(A36,T_Custos[Produto],T_Custos[Und])</f>
        <v>bd</v>
      </c>
      <c r="D36" s="72">
        <v>0.14000000000000001</v>
      </c>
      <c r="E36" s="138">
        <v>0</v>
      </c>
      <c r="F36" s="138">
        <v>0</v>
      </c>
      <c r="G36" s="138">
        <v>0.2</v>
      </c>
    </row>
    <row r="37" spans="1:7" x14ac:dyDescent="0.35">
      <c r="A37" s="134" t="s">
        <v>504</v>
      </c>
      <c r="B37" s="67">
        <f>_xlfn.XLOOKUP(A37,T_Custos[Produto],T_Custos[Peso])</f>
        <v>10</v>
      </c>
      <c r="C37" s="78" t="str">
        <f>_xlfn.XLOOKUP(A37,T_Custos[Produto],T_Custos[Und])</f>
        <v>kg</v>
      </c>
      <c r="D37" s="72">
        <v>3.5</v>
      </c>
      <c r="E37" s="138">
        <v>0</v>
      </c>
      <c r="F37" s="138">
        <v>0</v>
      </c>
      <c r="G37" s="138">
        <v>3.5</v>
      </c>
    </row>
    <row r="38" spans="1:7" x14ac:dyDescent="0.35">
      <c r="A38" s="134" t="s">
        <v>191</v>
      </c>
      <c r="B38" s="67">
        <f>_xlfn.XLOOKUP(A38,T_Custos[Produto],T_Custos[Peso])</f>
        <v>1</v>
      </c>
      <c r="C38" s="78" t="str">
        <f>_xlfn.XLOOKUP(A38,T_Custos[Produto],T_Custos[Und])</f>
        <v>un</v>
      </c>
      <c r="D38" s="81">
        <v>0</v>
      </c>
      <c r="E38" s="138">
        <v>0</v>
      </c>
      <c r="F38" s="138">
        <v>0</v>
      </c>
      <c r="G38" s="138">
        <v>0.2</v>
      </c>
    </row>
    <row r="39" spans="1:7" x14ac:dyDescent="0.35">
      <c r="A39" s="134" t="s">
        <v>493</v>
      </c>
      <c r="B39" s="67">
        <f>_xlfn.XLOOKUP(A39,T_Custos[Produto],T_Custos[Peso])</f>
        <v>10</v>
      </c>
      <c r="C39" s="78" t="str">
        <f>_xlfn.XLOOKUP(A39,T_Custos[Produto],T_Custos[Und])</f>
        <v>kg</v>
      </c>
      <c r="D39" s="72">
        <v>3.5</v>
      </c>
      <c r="E39" s="138">
        <v>2.5</v>
      </c>
      <c r="F39" s="138">
        <v>3</v>
      </c>
      <c r="G39" s="138">
        <v>3.5</v>
      </c>
    </row>
    <row r="40" spans="1:7" x14ac:dyDescent="0.35">
      <c r="A40" s="134" t="s">
        <v>400</v>
      </c>
      <c r="B40" s="67">
        <f>_xlfn.XLOOKUP(A40,T_Custos[Produto],T_Custos[Peso])</f>
        <v>1</v>
      </c>
      <c r="C40" s="78" t="str">
        <f>_xlfn.XLOOKUP(A40,T_Custos[Produto],T_Custos[Und])</f>
        <v>rd</v>
      </c>
      <c r="D40" s="72">
        <v>0.09</v>
      </c>
      <c r="E40" s="138">
        <v>0</v>
      </c>
      <c r="F40" s="138">
        <v>0</v>
      </c>
      <c r="G40" s="138">
        <v>0.5</v>
      </c>
    </row>
    <row r="41" spans="1:7" x14ac:dyDescent="0.35">
      <c r="A41" s="134" t="s">
        <v>496</v>
      </c>
      <c r="B41" s="67">
        <f>_xlfn.XLOOKUP(A41,T_Custos[Produto],T_Custos[Peso])</f>
        <v>1</v>
      </c>
      <c r="C41" s="78" t="str">
        <f>_xlfn.XLOOKUP(A41,T_Custos[Produto],T_Custos[Und])</f>
        <v>und</v>
      </c>
      <c r="D41" s="81">
        <v>0</v>
      </c>
      <c r="E41" s="138">
        <v>0</v>
      </c>
      <c r="F41" s="138">
        <v>0</v>
      </c>
      <c r="G41" s="138">
        <v>0.2</v>
      </c>
    </row>
    <row r="42" spans="1:7" x14ac:dyDescent="0.35">
      <c r="A42" s="134" t="s">
        <v>192</v>
      </c>
      <c r="B42" s="67">
        <f>_xlfn.XLOOKUP(A42,T_Custos[Produto],T_Custos[Peso])</f>
        <v>1</v>
      </c>
      <c r="C42" s="78" t="str">
        <f>_xlfn.XLOOKUP(A42,T_Custos[Produto],T_Custos[Und])</f>
        <v>un</v>
      </c>
      <c r="D42" s="81">
        <v>0</v>
      </c>
      <c r="E42" s="138">
        <v>0</v>
      </c>
      <c r="F42" s="138">
        <v>0</v>
      </c>
      <c r="G42" s="138">
        <v>0.2</v>
      </c>
    </row>
    <row r="43" spans="1:7" x14ac:dyDescent="0.35">
      <c r="A43" s="134" t="s">
        <v>533</v>
      </c>
      <c r="B43" s="67">
        <f>_xlfn.XLOOKUP(A43,T_Custos[Produto],T_Custos[Peso])</f>
        <v>6</v>
      </c>
      <c r="C43" s="78" t="str">
        <f>_xlfn.XLOOKUP(A43,T_Custos[Produto],T_Custos[Und])</f>
        <v>kg</v>
      </c>
      <c r="D43" s="72">
        <v>3.5</v>
      </c>
      <c r="E43" s="138">
        <v>2.5</v>
      </c>
      <c r="F43" s="138">
        <v>3.5</v>
      </c>
      <c r="G43" s="138">
        <v>2.2000000000000002</v>
      </c>
    </row>
    <row r="44" spans="1:7" x14ac:dyDescent="0.35">
      <c r="A44" s="134" t="s">
        <v>17</v>
      </c>
      <c r="B44" s="67">
        <f>_xlfn.XLOOKUP(A44,T_Custos[Produto],T_Custos[Peso])</f>
        <v>9</v>
      </c>
      <c r="C44" s="78" t="str">
        <f>_xlfn.XLOOKUP(A44,T_Custos[Produto],T_Custos[Und])</f>
        <v>kg</v>
      </c>
      <c r="D44" s="72">
        <v>3.5</v>
      </c>
      <c r="E44" s="138">
        <v>2.5</v>
      </c>
      <c r="F44" s="138">
        <v>3.5</v>
      </c>
      <c r="G44" s="138">
        <v>2.8</v>
      </c>
    </row>
    <row r="45" spans="1:7" x14ac:dyDescent="0.35">
      <c r="A45" s="134" t="s">
        <v>500</v>
      </c>
      <c r="B45" s="67">
        <f>_xlfn.XLOOKUP(A45,T_Custos[Produto],T_Custos[Peso])</f>
        <v>1</v>
      </c>
      <c r="C45" s="78" t="str">
        <f>_xlfn.XLOOKUP(A45,T_Custos[Produto],T_Custos[Und])</f>
        <v>bd</v>
      </c>
      <c r="D45" s="89">
        <v>0</v>
      </c>
      <c r="E45" s="138">
        <v>0</v>
      </c>
      <c r="F45" s="138">
        <v>0</v>
      </c>
      <c r="G45" s="138">
        <v>0.2</v>
      </c>
    </row>
    <row r="46" spans="1:7" x14ac:dyDescent="0.35">
      <c r="A46" s="134" t="s">
        <v>18</v>
      </c>
      <c r="B46" s="67">
        <f>_xlfn.XLOOKUP(A46,T_Custos[Produto],T_Custos[Peso])</f>
        <v>6</v>
      </c>
      <c r="C46" s="78" t="str">
        <f>_xlfn.XLOOKUP(A46,T_Custos[Produto],T_Custos[Und])</f>
        <v>kg</v>
      </c>
      <c r="D46" s="72">
        <v>3.5</v>
      </c>
      <c r="E46" s="138">
        <v>2.5</v>
      </c>
      <c r="F46" s="138">
        <v>3.5</v>
      </c>
      <c r="G46" s="138">
        <v>2.2000000000000002</v>
      </c>
    </row>
    <row r="47" spans="1:7" x14ac:dyDescent="0.35">
      <c r="A47" s="134" t="s">
        <v>193</v>
      </c>
      <c r="B47" s="67">
        <f>_xlfn.XLOOKUP(A47,T_Custos[Produto],T_Custos[Peso])</f>
        <v>1</v>
      </c>
      <c r="C47" s="78" t="str">
        <f>_xlfn.XLOOKUP(A47,T_Custos[Produto],T_Custos[Und])</f>
        <v>un</v>
      </c>
      <c r="D47" s="81">
        <v>0</v>
      </c>
      <c r="E47" s="138">
        <v>0</v>
      </c>
      <c r="F47" s="138">
        <v>0</v>
      </c>
      <c r="G47" s="138">
        <v>0.2</v>
      </c>
    </row>
    <row r="48" spans="1:7" x14ac:dyDescent="0.35">
      <c r="A48" s="134" t="s">
        <v>214</v>
      </c>
      <c r="B48" s="67">
        <f>_xlfn.XLOOKUP(A48,T_Custos[Produto],T_Custos[Peso])</f>
        <v>1</v>
      </c>
      <c r="C48" s="78" t="str">
        <f>_xlfn.XLOOKUP(A48,T_Custos[Produto],T_Custos[Und])</f>
        <v>un</v>
      </c>
      <c r="D48" s="81">
        <v>0</v>
      </c>
      <c r="E48" s="138">
        <v>0</v>
      </c>
      <c r="F48" s="138">
        <v>0</v>
      </c>
      <c r="G48" s="138">
        <v>0.2</v>
      </c>
    </row>
    <row r="49" spans="1:7" x14ac:dyDescent="0.35">
      <c r="A49" s="134" t="s">
        <v>20</v>
      </c>
      <c r="B49" s="67">
        <f>_xlfn.XLOOKUP(A49,T_Custos[Produto],T_Custos[Peso])</f>
        <v>5</v>
      </c>
      <c r="C49" s="78" t="str">
        <f>_xlfn.XLOOKUP(A49,T_Custos[Produto],T_Custos[Und])</f>
        <v>kg</v>
      </c>
      <c r="D49" s="72">
        <v>1.5</v>
      </c>
      <c r="E49" s="138">
        <v>0</v>
      </c>
      <c r="F49" s="138">
        <v>0</v>
      </c>
      <c r="G49" s="138">
        <v>2</v>
      </c>
    </row>
    <row r="50" spans="1:7" x14ac:dyDescent="0.35">
      <c r="A50" s="134" t="s">
        <v>401</v>
      </c>
      <c r="B50" s="67">
        <f>_xlfn.XLOOKUP(A50,T_Custos[Produto],T_Custos[Peso])</f>
        <v>1</v>
      </c>
      <c r="C50" s="78" t="str">
        <f>_xlfn.XLOOKUP(A50,T_Custos[Produto],T_Custos[Und])</f>
        <v>mc</v>
      </c>
      <c r="D50" s="72">
        <v>0.14000000000000001</v>
      </c>
      <c r="E50" s="138">
        <v>0</v>
      </c>
      <c r="F50" s="138">
        <v>0</v>
      </c>
      <c r="G50" s="138">
        <v>0.2</v>
      </c>
    </row>
    <row r="51" spans="1:7" x14ac:dyDescent="0.35">
      <c r="A51" s="134" t="s">
        <v>21</v>
      </c>
      <c r="B51" s="67">
        <f>_xlfn.XLOOKUP(A51,T_Custos[Produto],T_Custos[Peso])</f>
        <v>5</v>
      </c>
      <c r="C51" s="78" t="str">
        <f>_xlfn.XLOOKUP(A51,T_Custos[Produto],T_Custos[Und])</f>
        <v>kg</v>
      </c>
      <c r="D51" s="72">
        <v>1.5</v>
      </c>
      <c r="E51" s="138">
        <v>0</v>
      </c>
      <c r="F51" s="138">
        <v>0</v>
      </c>
      <c r="G51" s="138">
        <v>2</v>
      </c>
    </row>
    <row r="52" spans="1:7" x14ac:dyDescent="0.35">
      <c r="A52" s="134" t="s">
        <v>19</v>
      </c>
      <c r="B52" s="67">
        <f>_xlfn.XLOOKUP(A52,T_Custos[Produto],T_Custos[Peso])</f>
        <v>2</v>
      </c>
      <c r="C52" s="78" t="str">
        <f>_xlfn.XLOOKUP(A52,T_Custos[Produto],T_Custos[Und])</f>
        <v>kg</v>
      </c>
      <c r="D52" s="72">
        <v>1.5</v>
      </c>
      <c r="E52" s="138">
        <v>0</v>
      </c>
      <c r="F52" s="138">
        <v>0</v>
      </c>
      <c r="G52" s="138">
        <v>1.5</v>
      </c>
    </row>
    <row r="53" spans="1:7" x14ac:dyDescent="0.35">
      <c r="A53" s="134" t="s">
        <v>22</v>
      </c>
      <c r="B53" s="67">
        <f>_xlfn.XLOOKUP(A53,T_Custos[Produto],T_Custos[Peso])</f>
        <v>6</v>
      </c>
      <c r="C53" s="78" t="str">
        <f>_xlfn.XLOOKUP(A53,T_Custos[Produto],T_Custos[Und])</f>
        <v>kg</v>
      </c>
      <c r="D53" s="72">
        <v>3.5</v>
      </c>
      <c r="E53" s="138">
        <v>0</v>
      </c>
      <c r="F53" s="138">
        <v>0</v>
      </c>
      <c r="G53" s="138">
        <v>2.2000000000000002</v>
      </c>
    </row>
    <row r="54" spans="1:7" x14ac:dyDescent="0.35">
      <c r="A54" s="134" t="s">
        <v>395</v>
      </c>
      <c r="B54" s="67">
        <f>_xlfn.XLOOKUP(A54,T_Custos[Produto],T_Custos[Peso])</f>
        <v>1</v>
      </c>
      <c r="C54" s="78" t="str">
        <f>_xlfn.XLOOKUP(A54,T_Custos[Produto],T_Custos[Und])</f>
        <v>und</v>
      </c>
      <c r="D54" s="81">
        <v>0</v>
      </c>
      <c r="E54" s="138">
        <v>0</v>
      </c>
      <c r="F54" s="138">
        <v>0</v>
      </c>
      <c r="G54" s="138">
        <v>0.2</v>
      </c>
    </row>
    <row r="55" spans="1:7" x14ac:dyDescent="0.35">
      <c r="A55" s="134" t="s">
        <v>23</v>
      </c>
      <c r="B55" s="67">
        <f>_xlfn.XLOOKUP(A55,T_Custos[Produto],T_Custos[Peso])</f>
        <v>15</v>
      </c>
      <c r="C55" s="78" t="str">
        <f>_xlfn.XLOOKUP(A55,T_Custos[Produto],T_Custos[Und])</f>
        <v>kg</v>
      </c>
      <c r="D55" s="72">
        <v>5.5</v>
      </c>
      <c r="E55" s="138">
        <v>3.8</v>
      </c>
      <c r="F55" s="138">
        <v>5.5</v>
      </c>
      <c r="G55" s="138">
        <v>3.8</v>
      </c>
    </row>
    <row r="56" spans="1:7" x14ac:dyDescent="0.35">
      <c r="A56" s="134" t="s">
        <v>24</v>
      </c>
      <c r="B56" s="67">
        <f>_xlfn.XLOOKUP(A56,T_Custos[Produto],T_Custos[Peso])</f>
        <v>20</v>
      </c>
      <c r="C56" s="78" t="str">
        <f>_xlfn.XLOOKUP(A56,T_Custos[Produto],T_Custos[Und])</f>
        <v>kg</v>
      </c>
      <c r="D56" s="72">
        <v>5.5</v>
      </c>
      <c r="E56" s="138">
        <v>3.8</v>
      </c>
      <c r="F56" s="138">
        <v>5.5</v>
      </c>
      <c r="G56" s="138">
        <v>3.95</v>
      </c>
    </row>
    <row r="57" spans="1:7" x14ac:dyDescent="0.35">
      <c r="A57" s="134" t="s">
        <v>440</v>
      </c>
      <c r="B57" s="67">
        <f>_xlfn.XLOOKUP(A57,T_Custos[Produto],T_Custos[Peso])</f>
        <v>20</v>
      </c>
      <c r="C57" s="78" t="str">
        <f>_xlfn.XLOOKUP(A57,T_Custos[Produto],T_Custos[Und])</f>
        <v>kg</v>
      </c>
      <c r="D57" s="72">
        <v>5.5</v>
      </c>
      <c r="E57" s="138">
        <v>3.8</v>
      </c>
      <c r="F57" s="138">
        <v>5.5</v>
      </c>
      <c r="G57" s="138">
        <v>3.95</v>
      </c>
    </row>
    <row r="58" spans="1:7" x14ac:dyDescent="0.35">
      <c r="A58" s="134" t="s">
        <v>441</v>
      </c>
      <c r="B58" s="67">
        <f>_xlfn.XLOOKUP(A58,T_Custos[Produto],T_Custos[Peso])</f>
        <v>1</v>
      </c>
      <c r="C58" s="78" t="str">
        <f>_xlfn.XLOOKUP(A58,T_Custos[Produto],T_Custos[Und])</f>
        <v>und</v>
      </c>
      <c r="D58" s="81">
        <v>0</v>
      </c>
      <c r="E58" s="138">
        <v>0</v>
      </c>
      <c r="F58" s="138">
        <v>0</v>
      </c>
      <c r="G58" s="138">
        <v>0.2</v>
      </c>
    </row>
    <row r="59" spans="1:7" x14ac:dyDescent="0.35">
      <c r="A59" s="134" t="s">
        <v>439</v>
      </c>
      <c r="B59" s="67">
        <f>_xlfn.XLOOKUP(A59,T_Custos[Produto],T_Custos[Peso])</f>
        <v>15</v>
      </c>
      <c r="C59" s="78" t="str">
        <f>_xlfn.XLOOKUP(A59,T_Custos[Produto],T_Custos[Und])</f>
        <v>kg</v>
      </c>
      <c r="D59" s="72">
        <v>5.5</v>
      </c>
      <c r="E59" s="138">
        <v>3.8</v>
      </c>
      <c r="F59" s="138">
        <v>5.5</v>
      </c>
      <c r="G59" s="138">
        <v>3.8</v>
      </c>
    </row>
    <row r="60" spans="1:7" x14ac:dyDescent="0.35">
      <c r="A60" s="134" t="s">
        <v>25</v>
      </c>
      <c r="B60" s="67">
        <f>_xlfn.XLOOKUP(A60,T_Custos[Produto],T_Custos[Peso])</f>
        <v>20</v>
      </c>
      <c r="C60" s="78" t="str">
        <f>_xlfn.XLOOKUP(A60,T_Custos[Produto],T_Custos[Und])</f>
        <v>kg</v>
      </c>
      <c r="D60" s="72">
        <v>5.5</v>
      </c>
      <c r="E60" s="138">
        <v>3.8</v>
      </c>
      <c r="F60" s="138">
        <v>5.5</v>
      </c>
      <c r="G60" s="138">
        <v>3.95</v>
      </c>
    </row>
    <row r="61" spans="1:7" x14ac:dyDescent="0.35">
      <c r="A61" s="134" t="s">
        <v>462</v>
      </c>
      <c r="B61" s="67">
        <f>_xlfn.XLOOKUP(A61,T_Custos[Produto],T_Custos[Peso])</f>
        <v>20</v>
      </c>
      <c r="C61" s="78" t="str">
        <f>_xlfn.XLOOKUP(A61,T_Custos[Produto],T_Custos[Und])</f>
        <v>kg</v>
      </c>
      <c r="D61" s="89">
        <v>5.5</v>
      </c>
      <c r="E61" s="138">
        <v>3.8</v>
      </c>
      <c r="F61" s="138">
        <v>5.5</v>
      </c>
      <c r="G61" s="138">
        <v>3.95</v>
      </c>
    </row>
    <row r="62" spans="1:7" x14ac:dyDescent="0.35">
      <c r="A62" s="134" t="s">
        <v>26</v>
      </c>
      <c r="B62" s="67">
        <f>_xlfn.XLOOKUP(A62,T_Custos[Produto],T_Custos[Peso])</f>
        <v>15</v>
      </c>
      <c r="C62" s="78" t="str">
        <f>_xlfn.XLOOKUP(A62,T_Custos[Produto],T_Custos[Und])</f>
        <v>kg</v>
      </c>
      <c r="D62" s="72">
        <v>5.5</v>
      </c>
      <c r="E62" s="138">
        <v>3.8</v>
      </c>
      <c r="F62" s="138">
        <v>5.5</v>
      </c>
      <c r="G62" s="138">
        <v>3.8</v>
      </c>
    </row>
    <row r="63" spans="1:7" x14ac:dyDescent="0.35">
      <c r="A63" s="134" t="s">
        <v>481</v>
      </c>
      <c r="B63" s="67">
        <f>_xlfn.XLOOKUP(A63,T_Custos[Produto],T_Custos[Peso])</f>
        <v>1</v>
      </c>
      <c r="C63" s="78" t="str">
        <f>_xlfn.XLOOKUP(A63,T_Custos[Produto],T_Custos[Und])</f>
        <v>und</v>
      </c>
      <c r="D63" s="81">
        <v>0</v>
      </c>
      <c r="E63" s="138">
        <v>0</v>
      </c>
      <c r="F63" s="138">
        <v>0</v>
      </c>
      <c r="G63" s="138">
        <v>0.2</v>
      </c>
    </row>
    <row r="64" spans="1:7" x14ac:dyDescent="0.35">
      <c r="A64" s="134" t="s">
        <v>365</v>
      </c>
      <c r="B64" s="67">
        <f>_xlfn.XLOOKUP(A64,T_Custos[Produto],T_Custos[Peso])</f>
        <v>1</v>
      </c>
      <c r="C64" s="78" t="str">
        <f>_xlfn.XLOOKUP(A64,T_Custos[Produto],T_Custos[Und])</f>
        <v>und</v>
      </c>
      <c r="D64" s="81">
        <v>0</v>
      </c>
      <c r="E64" s="138">
        <v>0</v>
      </c>
      <c r="F64" s="138">
        <v>0</v>
      </c>
      <c r="G64" s="138">
        <v>0.2</v>
      </c>
    </row>
    <row r="65" spans="1:7" x14ac:dyDescent="0.35">
      <c r="A65" s="134" t="s">
        <v>27</v>
      </c>
      <c r="B65" s="67">
        <f>_xlfn.XLOOKUP(A65,T_Custos[Produto],T_Custos[Peso])</f>
        <v>20</v>
      </c>
      <c r="C65" s="78" t="str">
        <f>_xlfn.XLOOKUP(A65,T_Custos[Produto],T_Custos[Und])</f>
        <v>kg</v>
      </c>
      <c r="D65" s="72">
        <v>5.5</v>
      </c>
      <c r="E65" s="138">
        <v>3.8</v>
      </c>
      <c r="F65" s="138">
        <v>5.5</v>
      </c>
      <c r="G65" s="138">
        <v>3.95</v>
      </c>
    </row>
    <row r="66" spans="1:7" x14ac:dyDescent="0.35">
      <c r="A66" s="134" t="s">
        <v>366</v>
      </c>
      <c r="B66" s="67">
        <f>_xlfn.XLOOKUP(A66,T_Custos[Produto],T_Custos[Peso])</f>
        <v>1</v>
      </c>
      <c r="C66" s="78" t="str">
        <f>_xlfn.XLOOKUP(A66,T_Custos[Produto],T_Custos[Und])</f>
        <v>und</v>
      </c>
      <c r="D66" s="81">
        <v>0</v>
      </c>
      <c r="E66" s="138">
        <v>0</v>
      </c>
      <c r="F66" s="138">
        <v>0</v>
      </c>
      <c r="G66" s="138">
        <v>0.2</v>
      </c>
    </row>
    <row r="67" spans="1:7" x14ac:dyDescent="0.35">
      <c r="A67" s="134" t="s">
        <v>28</v>
      </c>
      <c r="B67" s="67">
        <f>_xlfn.XLOOKUP(A67,T_Custos[Produto],T_Custos[Peso])</f>
        <v>24</v>
      </c>
      <c r="C67" s="78" t="str">
        <f>_xlfn.XLOOKUP(A67,T_Custos[Produto],T_Custos[Und])</f>
        <v>kg</v>
      </c>
      <c r="D67" s="72">
        <v>5.5</v>
      </c>
      <c r="E67" s="138">
        <v>0</v>
      </c>
      <c r="F67" s="138">
        <v>0</v>
      </c>
      <c r="G67" s="138">
        <v>4.5</v>
      </c>
    </row>
    <row r="68" spans="1:7" x14ac:dyDescent="0.35">
      <c r="A68" s="134" t="s">
        <v>402</v>
      </c>
      <c r="B68" s="67">
        <f>_xlfn.XLOOKUP(A68,T_Custos[Produto],T_Custos[Peso])</f>
        <v>1</v>
      </c>
      <c r="C68" s="78" t="str">
        <f>_xlfn.XLOOKUP(A68,T_Custos[Produto],T_Custos[Und])</f>
        <v>rd</v>
      </c>
      <c r="D68" s="72">
        <v>0.23</v>
      </c>
      <c r="E68" s="138">
        <v>0</v>
      </c>
      <c r="F68" s="138">
        <v>0</v>
      </c>
      <c r="G68" s="138">
        <v>0.5</v>
      </c>
    </row>
    <row r="69" spans="1:7" x14ac:dyDescent="0.35">
      <c r="A69" s="134" t="s">
        <v>367</v>
      </c>
      <c r="B69" s="67">
        <f>_xlfn.XLOOKUP(A69,T_Custos[Produto],T_Custos[Peso])</f>
        <v>1</v>
      </c>
      <c r="C69" s="78" t="str">
        <f>_xlfn.XLOOKUP(A69,T_Custos[Produto],T_Custos[Und])</f>
        <v>und</v>
      </c>
      <c r="D69" s="81">
        <v>0</v>
      </c>
      <c r="E69" s="138">
        <v>0</v>
      </c>
      <c r="F69" s="138">
        <v>0</v>
      </c>
      <c r="G69" s="138">
        <v>0.2</v>
      </c>
    </row>
    <row r="70" spans="1:7" x14ac:dyDescent="0.35">
      <c r="A70" s="134" t="s">
        <v>29</v>
      </c>
      <c r="B70" s="67">
        <f>_xlfn.XLOOKUP(A70,T_Custos[Produto],T_Custos[Peso])</f>
        <v>20</v>
      </c>
      <c r="C70" s="78" t="str">
        <f>_xlfn.XLOOKUP(A70,T_Custos[Produto],T_Custos[Und])</f>
        <v>kg</v>
      </c>
      <c r="D70" s="72">
        <v>5.5</v>
      </c>
      <c r="E70" s="138">
        <v>0</v>
      </c>
      <c r="F70" s="138">
        <v>0</v>
      </c>
      <c r="G70" s="138">
        <v>3.95</v>
      </c>
    </row>
    <row r="71" spans="1:7" x14ac:dyDescent="0.35">
      <c r="A71" s="134" t="s">
        <v>403</v>
      </c>
      <c r="B71" s="67">
        <f>_xlfn.XLOOKUP(A71,T_Custos[Produto],T_Custos[Peso])</f>
        <v>1</v>
      </c>
      <c r="C71" s="78" t="str">
        <f>_xlfn.XLOOKUP(A71,T_Custos[Produto],T_Custos[Und])</f>
        <v>bd</v>
      </c>
      <c r="D71" s="72">
        <v>0.14000000000000001</v>
      </c>
      <c r="E71" s="138">
        <v>0</v>
      </c>
      <c r="F71" s="138">
        <v>0</v>
      </c>
      <c r="G71" s="138">
        <v>0.2</v>
      </c>
    </row>
    <row r="72" spans="1:7" x14ac:dyDescent="0.35">
      <c r="A72" s="134" t="s">
        <v>30</v>
      </c>
      <c r="B72" s="67">
        <f>_xlfn.XLOOKUP(A72,T_Custos[Produto],T_Custos[Peso])</f>
        <v>24</v>
      </c>
      <c r="C72" s="78" t="str">
        <f>_xlfn.XLOOKUP(A72,T_Custos[Produto],T_Custos[Und])</f>
        <v>kg</v>
      </c>
      <c r="D72" s="72">
        <v>5.5</v>
      </c>
      <c r="E72" s="138">
        <v>3.8</v>
      </c>
      <c r="F72" s="138">
        <v>5.5</v>
      </c>
      <c r="G72" s="138">
        <v>4.5</v>
      </c>
    </row>
    <row r="73" spans="1:7" x14ac:dyDescent="0.35">
      <c r="A73" s="134" t="s">
        <v>31</v>
      </c>
      <c r="B73" s="67">
        <f>_xlfn.XLOOKUP(A73,T_Custos[Produto],T_Custos[Peso])</f>
        <v>20</v>
      </c>
      <c r="C73" s="78" t="str">
        <f>_xlfn.XLOOKUP(A73,T_Custos[Produto],T_Custos[Und])</f>
        <v>kg</v>
      </c>
      <c r="D73" s="72">
        <v>5.5</v>
      </c>
      <c r="E73" s="138">
        <v>3.8</v>
      </c>
      <c r="F73" s="138">
        <v>5.5</v>
      </c>
      <c r="G73" s="138">
        <v>3.95</v>
      </c>
    </row>
    <row r="74" spans="1:7" x14ac:dyDescent="0.35">
      <c r="A74" s="134" t="s">
        <v>32</v>
      </c>
      <c r="B74" s="67">
        <f>_xlfn.XLOOKUP(A74,T_Custos[Produto],T_Custos[Peso])</f>
        <v>20</v>
      </c>
      <c r="C74" s="78" t="str">
        <f>_xlfn.XLOOKUP(A74,T_Custos[Produto],T_Custos[Und])</f>
        <v>kg</v>
      </c>
      <c r="D74" s="72">
        <v>5.5</v>
      </c>
      <c r="E74" s="138">
        <v>0</v>
      </c>
      <c r="F74" s="138">
        <v>0</v>
      </c>
      <c r="G74" s="138">
        <v>3.95</v>
      </c>
    </row>
    <row r="75" spans="1:7" x14ac:dyDescent="0.35">
      <c r="A75" s="134" t="s">
        <v>469</v>
      </c>
      <c r="B75" s="67">
        <f>_xlfn.XLOOKUP(A75,T_Custos[Produto],T_Custos[Peso])</f>
        <v>20</v>
      </c>
      <c r="C75" s="78" t="str">
        <f>_xlfn.XLOOKUP(A75,T_Custos[Produto],T_Custos[Und])</f>
        <v>kg</v>
      </c>
      <c r="D75" s="89">
        <v>5.5</v>
      </c>
      <c r="E75" s="138">
        <v>0</v>
      </c>
      <c r="F75" s="138">
        <v>0</v>
      </c>
      <c r="G75" s="138">
        <v>3.95</v>
      </c>
    </row>
    <row r="76" spans="1:7" x14ac:dyDescent="0.35">
      <c r="A76" s="134" t="s">
        <v>404</v>
      </c>
      <c r="B76" s="67">
        <f>_xlfn.XLOOKUP(A76,T_Custos[Produto],T_Custos[Peso])</f>
        <v>1</v>
      </c>
      <c r="C76" s="78" t="str">
        <f>_xlfn.XLOOKUP(A76,T_Custos[Produto],T_Custos[Und])</f>
        <v>rd</v>
      </c>
      <c r="D76" s="72">
        <v>0.28000000000000003</v>
      </c>
      <c r="E76" s="138">
        <v>0</v>
      </c>
      <c r="F76" s="138">
        <v>0</v>
      </c>
      <c r="G76" s="138">
        <v>0.5</v>
      </c>
    </row>
    <row r="77" spans="1:7" x14ac:dyDescent="0.35">
      <c r="A77" s="134" t="s">
        <v>33</v>
      </c>
      <c r="B77" s="67">
        <f>_xlfn.XLOOKUP(A77,T_Custos[Produto],T_Custos[Peso])</f>
        <v>18</v>
      </c>
      <c r="C77" s="78" t="str">
        <f>_xlfn.XLOOKUP(A77,T_Custos[Produto],T_Custos[Und])</f>
        <v>kg</v>
      </c>
      <c r="D77" s="72">
        <v>5.5</v>
      </c>
      <c r="E77" s="138">
        <v>0</v>
      </c>
      <c r="F77" s="138">
        <v>0</v>
      </c>
      <c r="G77" s="138">
        <v>3.95</v>
      </c>
    </row>
    <row r="78" spans="1:7" x14ac:dyDescent="0.35">
      <c r="A78" s="134" t="s">
        <v>368</v>
      </c>
      <c r="B78" s="67">
        <f>_xlfn.XLOOKUP(A78,T_Custos[Produto],T_Custos[Peso])</f>
        <v>1</v>
      </c>
      <c r="C78" s="78" t="str">
        <f>_xlfn.XLOOKUP(A78,T_Custos[Produto],T_Custos[Und])</f>
        <v>und</v>
      </c>
      <c r="D78" s="81">
        <v>0</v>
      </c>
      <c r="E78" s="138">
        <v>0</v>
      </c>
      <c r="F78" s="138">
        <v>0</v>
      </c>
      <c r="G78" s="138">
        <v>0.2</v>
      </c>
    </row>
    <row r="79" spans="1:7" x14ac:dyDescent="0.35">
      <c r="A79" s="134" t="s">
        <v>514</v>
      </c>
      <c r="B79" s="67">
        <f>_xlfn.XLOOKUP(A79,T_Custos[Produto],T_Custos[Peso])</f>
        <v>24</v>
      </c>
      <c r="C79" s="78" t="str">
        <f>_xlfn.XLOOKUP(A79,T_Custos[Produto],T_Custos[Und])</f>
        <v>kg</v>
      </c>
      <c r="D79" s="72">
        <v>5.5</v>
      </c>
      <c r="E79" s="138">
        <v>0</v>
      </c>
      <c r="F79" s="138">
        <v>0</v>
      </c>
      <c r="G79" s="138">
        <v>4.5</v>
      </c>
    </row>
    <row r="80" spans="1:7" x14ac:dyDescent="0.35">
      <c r="A80" s="134" t="s">
        <v>474</v>
      </c>
      <c r="B80" s="67">
        <f>_xlfn.XLOOKUP(A80,T_Custos[Produto],T_Custos[Peso])</f>
        <v>24</v>
      </c>
      <c r="C80" s="78" t="str">
        <f>_xlfn.XLOOKUP(A80,T_Custos[Produto],T_Custos[Und])</f>
        <v>kg</v>
      </c>
      <c r="D80" s="81">
        <v>0</v>
      </c>
      <c r="E80" s="138">
        <v>0</v>
      </c>
      <c r="F80" s="138">
        <v>0</v>
      </c>
      <c r="G80" s="138">
        <v>4.5</v>
      </c>
    </row>
    <row r="81" spans="1:7" x14ac:dyDescent="0.35">
      <c r="A81" s="134" t="s">
        <v>35</v>
      </c>
      <c r="B81" s="67">
        <f>_xlfn.XLOOKUP(A81,T_Custos[Produto],T_Custos[Peso])</f>
        <v>24</v>
      </c>
      <c r="C81" s="78" t="str">
        <f>_xlfn.XLOOKUP(A81,T_Custos[Produto],T_Custos[Und])</f>
        <v>kg</v>
      </c>
      <c r="D81" s="72">
        <v>5.5</v>
      </c>
      <c r="E81" s="138">
        <v>0</v>
      </c>
      <c r="F81" s="138">
        <v>0</v>
      </c>
      <c r="G81" s="138">
        <v>4.5</v>
      </c>
    </row>
    <row r="82" spans="1:7" x14ac:dyDescent="0.35">
      <c r="A82" s="134" t="s">
        <v>34</v>
      </c>
      <c r="B82" s="67">
        <f>_xlfn.XLOOKUP(A82,T_Custos[Produto],T_Custos[Peso])</f>
        <v>24</v>
      </c>
      <c r="C82" s="78" t="str">
        <f>_xlfn.XLOOKUP(A82,T_Custos[Produto],T_Custos[Und])</f>
        <v>kg</v>
      </c>
      <c r="D82" s="72">
        <v>5.5</v>
      </c>
      <c r="E82" s="138">
        <v>3.5</v>
      </c>
      <c r="F82" s="138">
        <v>5.5</v>
      </c>
      <c r="G82" s="138">
        <v>4.5</v>
      </c>
    </row>
    <row r="83" spans="1:7" x14ac:dyDescent="0.35">
      <c r="A83" s="134" t="s">
        <v>456</v>
      </c>
      <c r="B83" s="67">
        <f>_xlfn.XLOOKUP(A83,T_Custos[Produto],T_Custos[Peso])</f>
        <v>1</v>
      </c>
      <c r="C83" s="78" t="str">
        <f>_xlfn.XLOOKUP(A83,T_Custos[Produto],T_Custos[Und])</f>
        <v>und</v>
      </c>
      <c r="D83" s="81">
        <v>0</v>
      </c>
      <c r="E83" s="138">
        <v>0</v>
      </c>
      <c r="F83" s="138">
        <v>0</v>
      </c>
      <c r="G83" s="138">
        <v>0.2</v>
      </c>
    </row>
    <row r="84" spans="1:7" x14ac:dyDescent="0.35">
      <c r="A84" s="134" t="s">
        <v>405</v>
      </c>
      <c r="B84" s="67">
        <f>_xlfn.XLOOKUP(A84,T_Custos[Produto],T_Custos[Peso])</f>
        <v>1</v>
      </c>
      <c r="C84" s="78" t="str">
        <f>_xlfn.XLOOKUP(A84,T_Custos[Produto],T_Custos[Und])</f>
        <v>rd</v>
      </c>
      <c r="D84" s="72">
        <v>0.23</v>
      </c>
      <c r="E84" s="138">
        <v>0</v>
      </c>
      <c r="F84" s="138">
        <v>0</v>
      </c>
      <c r="G84" s="138">
        <v>0.5</v>
      </c>
    </row>
    <row r="85" spans="1:7" x14ac:dyDescent="0.35">
      <c r="A85" s="134" t="s">
        <v>36</v>
      </c>
      <c r="B85" s="67">
        <f>_xlfn.XLOOKUP(A85,T_Custos[Produto],T_Custos[Peso])</f>
        <v>24</v>
      </c>
      <c r="C85" s="78" t="str">
        <f>_xlfn.XLOOKUP(A85,T_Custos[Produto],T_Custos[Und])</f>
        <v>kg</v>
      </c>
      <c r="D85" s="72">
        <v>5.5</v>
      </c>
      <c r="E85" s="138">
        <v>0</v>
      </c>
      <c r="F85" s="138">
        <v>0</v>
      </c>
      <c r="G85" s="138">
        <v>4.5</v>
      </c>
    </row>
    <row r="86" spans="1:7" x14ac:dyDescent="0.35">
      <c r="A86" s="134" t="s">
        <v>479</v>
      </c>
      <c r="B86" s="67">
        <f>_xlfn.XLOOKUP(A86,T_Custos[Produto],T_Custos[Peso])</f>
        <v>1</v>
      </c>
      <c r="C86" s="78" t="str">
        <f>_xlfn.XLOOKUP(A86,T_Custos[Produto],T_Custos[Und])</f>
        <v>kg</v>
      </c>
      <c r="D86" s="89">
        <v>1.5</v>
      </c>
      <c r="E86" s="138">
        <v>0</v>
      </c>
      <c r="F86" s="138">
        <v>0</v>
      </c>
      <c r="G86" s="138">
        <v>0.2</v>
      </c>
    </row>
    <row r="87" spans="1:7" x14ac:dyDescent="0.35">
      <c r="A87" s="134" t="s">
        <v>37</v>
      </c>
      <c r="B87" s="67">
        <f>_xlfn.XLOOKUP(A87,T_Custos[Produto],T_Custos[Peso])</f>
        <v>10</v>
      </c>
      <c r="C87" s="78" t="str">
        <f>_xlfn.XLOOKUP(A87,T_Custos[Produto],T_Custos[Und])</f>
        <v>kg</v>
      </c>
      <c r="D87" s="72">
        <v>3.5</v>
      </c>
      <c r="E87" s="138">
        <v>3.8</v>
      </c>
      <c r="F87" s="138">
        <v>5.5</v>
      </c>
      <c r="G87" s="138">
        <v>3.5</v>
      </c>
    </row>
    <row r="88" spans="1:7" x14ac:dyDescent="0.35">
      <c r="A88" s="134" t="s">
        <v>38</v>
      </c>
      <c r="B88" s="67">
        <f>_xlfn.XLOOKUP(A88,T_Custos[Produto],T_Custos[Peso])</f>
        <v>10</v>
      </c>
      <c r="C88" s="78" t="str">
        <f>_xlfn.XLOOKUP(A88,T_Custos[Produto],T_Custos[Und])</f>
        <v>kg</v>
      </c>
      <c r="D88" s="72">
        <v>3.5</v>
      </c>
      <c r="E88" s="138">
        <v>0</v>
      </c>
      <c r="F88" s="138">
        <v>0</v>
      </c>
      <c r="G88" s="138">
        <v>3.5</v>
      </c>
    </row>
    <row r="89" spans="1:7" x14ac:dyDescent="0.35">
      <c r="A89" s="134" t="s">
        <v>369</v>
      </c>
      <c r="B89" s="67">
        <f>_xlfn.XLOOKUP(A89,T_Custos[Produto],T_Custos[Peso])</f>
        <v>1</v>
      </c>
      <c r="C89" s="78" t="str">
        <f>_xlfn.XLOOKUP(A89,T_Custos[Produto],T_Custos[Und])</f>
        <v>und</v>
      </c>
      <c r="D89" s="81">
        <v>0</v>
      </c>
      <c r="E89" s="138">
        <v>0</v>
      </c>
      <c r="F89" s="138">
        <v>0</v>
      </c>
      <c r="G89" s="138">
        <v>0.2</v>
      </c>
    </row>
    <row r="90" spans="1:7" x14ac:dyDescent="0.35">
      <c r="A90" s="134" t="s">
        <v>194</v>
      </c>
      <c r="B90" s="67">
        <f>_xlfn.XLOOKUP(A90,T_Custos[Produto],T_Custos[Peso])</f>
        <v>1</v>
      </c>
      <c r="C90" s="78" t="str">
        <f>_xlfn.XLOOKUP(A90,T_Custos[Produto],T_Custos[Und])</f>
        <v>un</v>
      </c>
      <c r="D90" s="81">
        <v>0</v>
      </c>
      <c r="E90" s="138">
        <v>0</v>
      </c>
      <c r="F90" s="138">
        <v>0</v>
      </c>
      <c r="G90" s="138">
        <v>0.2</v>
      </c>
    </row>
    <row r="91" spans="1:7" x14ac:dyDescent="0.35">
      <c r="A91" s="134" t="s">
        <v>39</v>
      </c>
      <c r="B91" s="67">
        <f>_xlfn.XLOOKUP(A91,T_Custos[Produto],T_Custos[Peso])</f>
        <v>20</v>
      </c>
      <c r="C91" s="78" t="str">
        <f>_xlfn.XLOOKUP(A91,T_Custos[Produto],T_Custos[Und])</f>
        <v>kg</v>
      </c>
      <c r="D91" s="72">
        <v>5.5</v>
      </c>
      <c r="E91" s="138">
        <v>3.8</v>
      </c>
      <c r="F91" s="138">
        <v>5.5</v>
      </c>
      <c r="G91" s="138">
        <v>3.95</v>
      </c>
    </row>
    <row r="92" spans="1:7" x14ac:dyDescent="0.35">
      <c r="A92" s="134" t="s">
        <v>406</v>
      </c>
      <c r="B92" s="67">
        <f>_xlfn.XLOOKUP(A92,T_Custos[Produto],T_Custos[Peso])</f>
        <v>1</v>
      </c>
      <c r="C92" s="78" t="str">
        <f>_xlfn.XLOOKUP(A92,T_Custos[Produto],T_Custos[Und])</f>
        <v>rd</v>
      </c>
      <c r="D92" s="72">
        <v>0.14000000000000001</v>
      </c>
      <c r="E92" s="138">
        <v>0</v>
      </c>
      <c r="F92" s="138">
        <v>0</v>
      </c>
      <c r="G92" s="138">
        <v>0.5</v>
      </c>
    </row>
    <row r="93" spans="1:7" x14ac:dyDescent="0.35">
      <c r="A93" s="135" t="s">
        <v>470</v>
      </c>
      <c r="B93" s="67">
        <f>_xlfn.XLOOKUP(A93,T_Custos[Produto],T_Custos[Peso])</f>
        <v>20</v>
      </c>
      <c r="C93" s="78" t="str">
        <f>_xlfn.XLOOKUP(A93,T_Custos[Produto],T_Custos[Und])</f>
        <v>kg</v>
      </c>
      <c r="D93" s="81">
        <v>0</v>
      </c>
      <c r="E93" s="138">
        <v>0</v>
      </c>
      <c r="F93" s="138">
        <v>0</v>
      </c>
      <c r="G93" s="138">
        <v>3.95</v>
      </c>
    </row>
    <row r="94" spans="1:7" x14ac:dyDescent="0.35">
      <c r="A94" s="134" t="s">
        <v>370</v>
      </c>
      <c r="B94" s="67">
        <f>_xlfn.XLOOKUP(A94,T_Custos[Produto],T_Custos[Peso])</f>
        <v>1</v>
      </c>
      <c r="C94" s="78" t="str">
        <f>_xlfn.XLOOKUP(A94,T_Custos[Produto],T_Custos[Und])</f>
        <v>und</v>
      </c>
      <c r="D94" s="81">
        <v>0</v>
      </c>
      <c r="E94" s="138">
        <v>0</v>
      </c>
      <c r="F94" s="138">
        <v>0</v>
      </c>
      <c r="G94" s="138">
        <v>0.2</v>
      </c>
    </row>
    <row r="95" spans="1:7" x14ac:dyDescent="0.35">
      <c r="A95" s="134" t="s">
        <v>505</v>
      </c>
      <c r="B95" s="67">
        <f>_xlfn.XLOOKUP(A95,T_Custos[Produto],T_Custos[Peso])</f>
        <v>1</v>
      </c>
      <c r="C95" s="78" t="str">
        <f>_xlfn.XLOOKUP(A95,T_Custos[Produto],T_Custos[Und])</f>
        <v>kg</v>
      </c>
      <c r="D95" s="89">
        <v>0</v>
      </c>
      <c r="E95" s="138">
        <v>0</v>
      </c>
      <c r="F95" s="138">
        <v>0</v>
      </c>
      <c r="G95" s="138">
        <v>0.2</v>
      </c>
    </row>
    <row r="96" spans="1:7" x14ac:dyDescent="0.35">
      <c r="A96" s="134" t="s">
        <v>195</v>
      </c>
      <c r="B96" s="67">
        <f>_xlfn.XLOOKUP(A96,T_Custos[Produto],T_Custos[Peso])</f>
        <v>1</v>
      </c>
      <c r="C96" s="78" t="str">
        <f>_xlfn.XLOOKUP(A96,T_Custos[Produto],T_Custos[Und])</f>
        <v>un</v>
      </c>
      <c r="D96" s="81">
        <v>0</v>
      </c>
      <c r="E96" s="138">
        <v>0</v>
      </c>
      <c r="F96" s="138">
        <v>0</v>
      </c>
      <c r="G96" s="138">
        <v>0.2</v>
      </c>
    </row>
    <row r="97" spans="1:7" x14ac:dyDescent="0.35">
      <c r="A97" s="134" t="s">
        <v>196</v>
      </c>
      <c r="B97" s="67">
        <f>_xlfn.XLOOKUP(A97,T_Custos[Produto],T_Custos[Peso])</f>
        <v>1</v>
      </c>
      <c r="C97" s="78" t="str">
        <f>_xlfn.XLOOKUP(A97,T_Custos[Produto],T_Custos[Und])</f>
        <v>un</v>
      </c>
      <c r="D97" s="81">
        <v>0</v>
      </c>
      <c r="E97" s="138">
        <v>0</v>
      </c>
      <c r="F97" s="138">
        <v>0</v>
      </c>
      <c r="G97" s="138">
        <v>0.2</v>
      </c>
    </row>
    <row r="98" spans="1:7" x14ac:dyDescent="0.35">
      <c r="A98" s="134" t="s">
        <v>40</v>
      </c>
      <c r="B98" s="67">
        <f>_xlfn.XLOOKUP(A98,T_Custos[Produto],T_Custos[Peso])</f>
        <v>0.5</v>
      </c>
      <c r="C98" s="78" t="str">
        <f>_xlfn.XLOOKUP(A98,T_Custos[Produto],T_Custos[Und])</f>
        <v>kg</v>
      </c>
      <c r="D98" s="72">
        <v>0.14000000000000001</v>
      </c>
      <c r="E98" s="138">
        <v>0</v>
      </c>
      <c r="F98" s="138">
        <v>0</v>
      </c>
      <c r="G98" s="138">
        <v>0.2</v>
      </c>
    </row>
    <row r="99" spans="1:7" x14ac:dyDescent="0.35">
      <c r="A99" s="134" t="s">
        <v>407</v>
      </c>
      <c r="B99" s="67">
        <f>_xlfn.XLOOKUP(A99,T_Custos[Produto],T_Custos[Peso])</f>
        <v>1</v>
      </c>
      <c r="C99" s="78" t="str">
        <f>_xlfn.XLOOKUP(A99,T_Custos[Produto],T_Custos[Und])</f>
        <v>pc</v>
      </c>
      <c r="D99" s="72">
        <v>0.14000000000000001</v>
      </c>
      <c r="E99" s="138">
        <v>0</v>
      </c>
      <c r="F99" s="138">
        <v>0</v>
      </c>
      <c r="G99" s="138">
        <v>0.5</v>
      </c>
    </row>
    <row r="100" spans="1:7" x14ac:dyDescent="0.35">
      <c r="A100" s="134" t="s">
        <v>476</v>
      </c>
      <c r="B100" s="67">
        <f>_xlfn.XLOOKUP(A100,T_Custos[Produto],T_Custos[Peso])</f>
        <v>2</v>
      </c>
      <c r="C100" s="78" t="str">
        <f>_xlfn.XLOOKUP(A100,T_Custos[Produto],T_Custos[Und])</f>
        <v>kg</v>
      </c>
      <c r="D100" s="72">
        <v>1.5</v>
      </c>
      <c r="E100" s="138">
        <v>0</v>
      </c>
      <c r="F100" s="138">
        <v>0</v>
      </c>
      <c r="G100" s="138">
        <v>1.5</v>
      </c>
    </row>
    <row r="101" spans="1:7" x14ac:dyDescent="0.35">
      <c r="A101" s="134" t="s">
        <v>231</v>
      </c>
      <c r="B101" s="67">
        <f>_xlfn.XLOOKUP(A101,T_Custos[Produto],T_Custos[Peso])</f>
        <v>1</v>
      </c>
      <c r="C101" s="78" t="str">
        <f>_xlfn.XLOOKUP(A101,T_Custos[Produto],T_Custos[Und])</f>
        <v>un</v>
      </c>
      <c r="D101" s="81">
        <v>0</v>
      </c>
      <c r="E101" s="138">
        <v>0</v>
      </c>
      <c r="F101" s="138">
        <v>0</v>
      </c>
      <c r="G101" s="138">
        <v>0.2</v>
      </c>
    </row>
    <row r="102" spans="1:7" x14ac:dyDescent="0.35">
      <c r="A102" s="134" t="s">
        <v>42</v>
      </c>
      <c r="B102" s="67">
        <f>_xlfn.XLOOKUP(A102,T_Custos[Produto],T_Custos[Peso])</f>
        <v>2.5</v>
      </c>
      <c r="C102" s="78" t="str">
        <f>_xlfn.XLOOKUP(A102,T_Custos[Produto],T_Custos[Und])</f>
        <v>kg</v>
      </c>
      <c r="D102" s="72">
        <v>1.5</v>
      </c>
      <c r="E102" s="138">
        <v>2.5</v>
      </c>
      <c r="F102" s="138">
        <v>3.5</v>
      </c>
      <c r="G102" s="138">
        <v>1.6</v>
      </c>
    </row>
    <row r="103" spans="1:7" x14ac:dyDescent="0.35">
      <c r="A103" s="134" t="s">
        <v>457</v>
      </c>
      <c r="B103" s="67">
        <f>_xlfn.XLOOKUP(A103,T_Custos[Produto],T_Custos[Peso])</f>
        <v>6</v>
      </c>
      <c r="C103" s="78" t="str">
        <f>_xlfn.XLOOKUP(A103,T_Custos[Produto],T_Custos[Und])</f>
        <v>kg</v>
      </c>
      <c r="D103" s="72">
        <v>3.5</v>
      </c>
      <c r="E103" s="138">
        <v>2.5</v>
      </c>
      <c r="F103" s="138">
        <v>3.5</v>
      </c>
      <c r="G103" s="138">
        <v>2.2000000000000002</v>
      </c>
    </row>
    <row r="104" spans="1:7" x14ac:dyDescent="0.35">
      <c r="A104" s="134" t="s">
        <v>41</v>
      </c>
      <c r="B104" s="67">
        <f>_xlfn.XLOOKUP(A104,T_Custos[Produto],T_Custos[Peso])</f>
        <v>13</v>
      </c>
      <c r="C104" s="78" t="str">
        <f>_xlfn.XLOOKUP(A104,T_Custos[Produto],T_Custos[Und])</f>
        <v>kg</v>
      </c>
      <c r="D104" s="72">
        <v>5.5</v>
      </c>
      <c r="E104" s="138">
        <v>2.5</v>
      </c>
      <c r="F104" s="138">
        <v>3.5</v>
      </c>
      <c r="G104" s="138">
        <v>3.5</v>
      </c>
    </row>
    <row r="105" spans="1:7" x14ac:dyDescent="0.35">
      <c r="A105" s="134" t="s">
        <v>43</v>
      </c>
      <c r="B105" s="67">
        <f>_xlfn.XLOOKUP(A105,T_Custos[Produto],T_Custos[Peso])</f>
        <v>15</v>
      </c>
      <c r="C105" s="78" t="str">
        <f>_xlfn.XLOOKUP(A105,T_Custos[Produto],T_Custos[Und])</f>
        <v>kg</v>
      </c>
      <c r="D105" s="72">
        <v>5.5</v>
      </c>
      <c r="E105" s="138">
        <v>0</v>
      </c>
      <c r="F105" s="138">
        <v>0</v>
      </c>
      <c r="G105" s="138">
        <v>3.8</v>
      </c>
    </row>
    <row r="106" spans="1:7" x14ac:dyDescent="0.35">
      <c r="A106" s="134" t="s">
        <v>44</v>
      </c>
      <c r="B106" s="67">
        <f>_xlfn.XLOOKUP(A106,T_Custos[Produto],T_Custos[Peso])</f>
        <v>1</v>
      </c>
      <c r="C106" s="78" t="str">
        <f>_xlfn.XLOOKUP(A106,T_Custos[Produto],T_Custos[Und])</f>
        <v>kg</v>
      </c>
      <c r="D106" s="72">
        <v>1.5</v>
      </c>
      <c r="E106" s="138">
        <v>0</v>
      </c>
      <c r="F106" s="138">
        <v>0</v>
      </c>
      <c r="G106" s="138">
        <v>0.2</v>
      </c>
    </row>
    <row r="107" spans="1:7" x14ac:dyDescent="0.35">
      <c r="A107" s="134" t="s">
        <v>45</v>
      </c>
      <c r="B107" s="67">
        <f>_xlfn.XLOOKUP(A107,T_Custos[Produto],T_Custos[Peso])</f>
        <v>19</v>
      </c>
      <c r="C107" s="78" t="str">
        <f>_xlfn.XLOOKUP(A107,T_Custos[Produto],T_Custos[Und])</f>
        <v>kg</v>
      </c>
      <c r="D107" s="72">
        <v>5.5</v>
      </c>
      <c r="E107" s="138">
        <v>0</v>
      </c>
      <c r="F107" s="138">
        <v>0</v>
      </c>
      <c r="G107" s="138">
        <v>3.95</v>
      </c>
    </row>
    <row r="108" spans="1:7" x14ac:dyDescent="0.35">
      <c r="A108" s="134" t="s">
        <v>46</v>
      </c>
      <c r="B108" s="67">
        <f>_xlfn.XLOOKUP(A108,T_Custos[Produto],T_Custos[Peso])</f>
        <v>19</v>
      </c>
      <c r="C108" s="78" t="str">
        <f>_xlfn.XLOOKUP(A108,T_Custos[Produto],T_Custos[Und])</f>
        <v>kg</v>
      </c>
      <c r="D108" s="72">
        <v>5.5</v>
      </c>
      <c r="E108" s="138">
        <v>0</v>
      </c>
      <c r="F108" s="138">
        <v>0</v>
      </c>
      <c r="G108" s="138">
        <v>3.95</v>
      </c>
    </row>
    <row r="109" spans="1:7" x14ac:dyDescent="0.35">
      <c r="A109" s="134" t="s">
        <v>197</v>
      </c>
      <c r="B109" s="67">
        <f>_xlfn.XLOOKUP(A109,T_Custos[Produto],T_Custos[Peso])</f>
        <v>1</v>
      </c>
      <c r="C109" s="78" t="str">
        <f>_xlfn.XLOOKUP(A109,T_Custos[Produto],T_Custos[Und])</f>
        <v>un</v>
      </c>
      <c r="D109" s="81">
        <v>0</v>
      </c>
      <c r="E109" s="138">
        <v>0</v>
      </c>
      <c r="F109" s="138">
        <v>0</v>
      </c>
      <c r="G109" s="138">
        <v>0.2</v>
      </c>
    </row>
    <row r="110" spans="1:7" x14ac:dyDescent="0.35">
      <c r="A110" s="134" t="s">
        <v>47</v>
      </c>
      <c r="B110" s="67" t="e">
        <f>_xlfn.XLOOKUP(A110,T_Custos[Produto],T_Custos[Peso])</f>
        <v>#N/A</v>
      </c>
      <c r="C110" s="78" t="e">
        <f>_xlfn.XLOOKUP(A110,T_Custos[Produto],T_Custos[Und])</f>
        <v>#N/A</v>
      </c>
      <c r="D110" s="72">
        <v>5.5</v>
      </c>
      <c r="E110" s="138">
        <v>3.8</v>
      </c>
      <c r="F110" s="138">
        <v>5.5</v>
      </c>
      <c r="G110" s="138">
        <v>3.95</v>
      </c>
    </row>
    <row r="111" spans="1:7" x14ac:dyDescent="0.35">
      <c r="A111" s="134" t="s">
        <v>535</v>
      </c>
      <c r="B111" s="67">
        <f>_xlfn.XLOOKUP(A111,T_Custos[Produto],T_Custos[Peso])</f>
        <v>19</v>
      </c>
      <c r="C111" s="78" t="str">
        <f>_xlfn.XLOOKUP(A111,T_Custos[Produto],T_Custos[Und])</f>
        <v>kg</v>
      </c>
      <c r="D111" s="72">
        <v>5.5</v>
      </c>
      <c r="E111" s="138">
        <v>3.8</v>
      </c>
      <c r="F111" s="138">
        <v>5.5</v>
      </c>
      <c r="G111" s="138">
        <v>3.95</v>
      </c>
    </row>
    <row r="112" spans="1:7" x14ac:dyDescent="0.35">
      <c r="A112" s="134" t="s">
        <v>536</v>
      </c>
      <c r="B112" s="67">
        <f>_xlfn.XLOOKUP(A112,T_Custos[Produto],T_Custos[Peso])</f>
        <v>1</v>
      </c>
      <c r="C112" s="78" t="str">
        <f>_xlfn.XLOOKUP(A112,T_Custos[Produto],T_Custos[Und])</f>
        <v>und</v>
      </c>
      <c r="D112" s="81">
        <v>0</v>
      </c>
      <c r="E112" s="138">
        <v>0</v>
      </c>
      <c r="F112" s="138">
        <v>0</v>
      </c>
      <c r="G112" s="138">
        <v>0.2</v>
      </c>
    </row>
    <row r="113" spans="1:7" x14ac:dyDescent="0.35">
      <c r="A113" s="134" t="s">
        <v>371</v>
      </c>
      <c r="B113" s="67" t="e">
        <f>_xlfn.XLOOKUP(A113,T_Custos[Produto],T_Custos[Peso])</f>
        <v>#N/A</v>
      </c>
      <c r="C113" s="78" t="e">
        <f>_xlfn.XLOOKUP(A113,T_Custos[Produto],T_Custos[Und])</f>
        <v>#N/A</v>
      </c>
      <c r="D113" s="81">
        <v>0</v>
      </c>
      <c r="E113" s="138">
        <v>0</v>
      </c>
      <c r="F113" s="138">
        <v>0</v>
      </c>
      <c r="G113" s="138">
        <v>0.2</v>
      </c>
    </row>
    <row r="114" spans="1:7" x14ac:dyDescent="0.35">
      <c r="A114" s="134" t="s">
        <v>478</v>
      </c>
      <c r="B114" s="67">
        <f>_xlfn.XLOOKUP(A114,T_Custos[Produto],T_Custos[Peso])</f>
        <v>1</v>
      </c>
      <c r="C114" s="78" t="str">
        <f>_xlfn.XLOOKUP(A114,T_Custos[Produto],T_Custos[Und])</f>
        <v>kg</v>
      </c>
      <c r="D114" s="89">
        <v>1.5</v>
      </c>
      <c r="E114" s="138">
        <v>3.8</v>
      </c>
      <c r="F114" s="138">
        <v>5.5</v>
      </c>
      <c r="G114" s="138">
        <v>0.2</v>
      </c>
    </row>
    <row r="115" spans="1:7" x14ac:dyDescent="0.35">
      <c r="A115" s="134" t="s">
        <v>408</v>
      </c>
      <c r="B115" s="67">
        <f>_xlfn.XLOOKUP(A115,T_Custos[Produto],T_Custos[Peso])</f>
        <v>1</v>
      </c>
      <c r="C115" s="78" t="str">
        <f>_xlfn.XLOOKUP(A115,T_Custos[Produto],T_Custos[Und])</f>
        <v>rd</v>
      </c>
      <c r="D115" s="72">
        <v>0.14000000000000001</v>
      </c>
      <c r="E115" s="138">
        <v>0</v>
      </c>
      <c r="F115" s="138">
        <v>0</v>
      </c>
      <c r="G115" s="138">
        <v>0.5</v>
      </c>
    </row>
    <row r="116" spans="1:7" x14ac:dyDescent="0.35">
      <c r="A116" s="134" t="s">
        <v>48</v>
      </c>
      <c r="B116" s="67">
        <f>_xlfn.XLOOKUP(A116,T_Custos[Produto],T_Custos[Peso])</f>
        <v>19</v>
      </c>
      <c r="C116" s="78" t="str">
        <f>_xlfn.XLOOKUP(A116,T_Custos[Produto],T_Custos[Und])</f>
        <v>kg</v>
      </c>
      <c r="D116" s="72">
        <v>5.5</v>
      </c>
      <c r="E116" s="138">
        <v>3.8</v>
      </c>
      <c r="F116" s="138">
        <v>5.5</v>
      </c>
      <c r="G116" s="138">
        <v>3.95</v>
      </c>
    </row>
    <row r="117" spans="1:7" x14ac:dyDescent="0.35">
      <c r="A117" s="134" t="s">
        <v>409</v>
      </c>
      <c r="B117" s="67">
        <f>_xlfn.XLOOKUP(A117,T_Custos[Produto],T_Custos[Peso])</f>
        <v>1</v>
      </c>
      <c r="C117" s="78" t="str">
        <f>_xlfn.XLOOKUP(A117,T_Custos[Produto],T_Custos[Und])</f>
        <v>rd</v>
      </c>
      <c r="D117" s="72">
        <v>0.14000000000000001</v>
      </c>
      <c r="E117" s="138">
        <v>0</v>
      </c>
      <c r="F117" s="138">
        <v>0</v>
      </c>
      <c r="G117" s="138">
        <v>0.5</v>
      </c>
    </row>
    <row r="118" spans="1:7" x14ac:dyDescent="0.35">
      <c r="A118" s="134" t="s">
        <v>480</v>
      </c>
      <c r="B118" s="67">
        <f>_xlfn.XLOOKUP(A118,T_Custos[Produto],T_Custos[Peso])</f>
        <v>1</v>
      </c>
      <c r="C118" s="78" t="str">
        <f>_xlfn.XLOOKUP(A118,T_Custos[Produto],T_Custos[Und])</f>
        <v>kg</v>
      </c>
      <c r="D118" s="89">
        <v>1.5</v>
      </c>
      <c r="E118" s="138">
        <v>0</v>
      </c>
      <c r="F118" s="138">
        <v>0</v>
      </c>
      <c r="G118" s="138">
        <v>0.2</v>
      </c>
    </row>
    <row r="119" spans="1:7" x14ac:dyDescent="0.35">
      <c r="A119" s="134" t="s">
        <v>372</v>
      </c>
      <c r="B119" s="67">
        <f>_xlfn.XLOOKUP(A119,T_Custos[Produto],T_Custos[Peso])</f>
        <v>1</v>
      </c>
      <c r="C119" s="78" t="str">
        <f>_xlfn.XLOOKUP(A119,T_Custos[Produto],T_Custos[Und])</f>
        <v>und</v>
      </c>
      <c r="D119" s="81">
        <v>0</v>
      </c>
      <c r="E119" s="138">
        <v>0</v>
      </c>
      <c r="F119" s="138">
        <v>0</v>
      </c>
      <c r="G119" s="138">
        <v>0.2</v>
      </c>
    </row>
    <row r="120" spans="1:7" x14ac:dyDescent="0.35">
      <c r="A120" s="134" t="s">
        <v>213</v>
      </c>
      <c r="B120" s="67">
        <f>_xlfn.XLOOKUP(A120,T_Custos[Produto],T_Custos[Peso])</f>
        <v>1</v>
      </c>
      <c r="C120" s="78" t="str">
        <f>_xlfn.XLOOKUP(A120,T_Custos[Produto],T_Custos[Und])</f>
        <v>un</v>
      </c>
      <c r="D120" s="81">
        <v>0</v>
      </c>
      <c r="E120" s="138">
        <v>0</v>
      </c>
      <c r="F120" s="138">
        <v>0</v>
      </c>
      <c r="G120" s="138">
        <v>0.2</v>
      </c>
    </row>
    <row r="121" spans="1:7" x14ac:dyDescent="0.35">
      <c r="A121" s="134" t="s">
        <v>198</v>
      </c>
      <c r="B121" s="67">
        <f>_xlfn.XLOOKUP(A121,T_Custos[Produto],T_Custos[Peso])</f>
        <v>1</v>
      </c>
      <c r="C121" s="78" t="str">
        <f>_xlfn.XLOOKUP(A121,T_Custos[Produto],T_Custos[Und])</f>
        <v>un</v>
      </c>
      <c r="D121" s="81">
        <v>0</v>
      </c>
      <c r="E121" s="138">
        <v>0</v>
      </c>
      <c r="F121" s="138">
        <v>0</v>
      </c>
      <c r="G121" s="138">
        <v>0.2</v>
      </c>
    </row>
    <row r="122" spans="1:7" x14ac:dyDescent="0.35">
      <c r="A122" s="134" t="s">
        <v>49</v>
      </c>
      <c r="B122" s="67">
        <f>_xlfn.XLOOKUP(A122,T_Custos[Produto],T_Custos[Peso])</f>
        <v>20</v>
      </c>
      <c r="C122" s="78" t="str">
        <f>_xlfn.XLOOKUP(A122,T_Custos[Produto],T_Custos[Und])</f>
        <v>kg</v>
      </c>
      <c r="D122" s="72">
        <v>5.5</v>
      </c>
      <c r="E122" s="138">
        <v>3.8</v>
      </c>
      <c r="F122" s="138">
        <v>5.5</v>
      </c>
      <c r="G122" s="138">
        <v>3.95</v>
      </c>
    </row>
    <row r="123" spans="1:7" x14ac:dyDescent="0.35">
      <c r="A123" s="134" t="s">
        <v>373</v>
      </c>
      <c r="B123" s="67">
        <f>_xlfn.XLOOKUP(A123,T_Custos[Produto],T_Custos[Peso])</f>
        <v>1</v>
      </c>
      <c r="C123" s="78" t="str">
        <f>_xlfn.XLOOKUP(A123,T_Custos[Produto],T_Custos[Und])</f>
        <v>und</v>
      </c>
      <c r="D123" s="81">
        <v>0</v>
      </c>
      <c r="E123" s="138">
        <v>0</v>
      </c>
      <c r="F123" s="138">
        <v>0</v>
      </c>
      <c r="G123" s="138">
        <v>0.2</v>
      </c>
    </row>
    <row r="124" spans="1:7" x14ac:dyDescent="0.35">
      <c r="A124" s="134" t="s">
        <v>51</v>
      </c>
      <c r="B124" s="67">
        <f>_xlfn.XLOOKUP(A124,T_Custos[Produto],T_Custos[Peso])</f>
        <v>20</v>
      </c>
      <c r="C124" s="78" t="str">
        <f>_xlfn.XLOOKUP(A124,T_Custos[Produto],T_Custos[Und])</f>
        <v>kg</v>
      </c>
      <c r="D124" s="72">
        <v>5.5</v>
      </c>
      <c r="E124" s="138">
        <v>0</v>
      </c>
      <c r="F124" s="138">
        <v>0</v>
      </c>
      <c r="G124" s="138">
        <v>3.95</v>
      </c>
    </row>
    <row r="125" spans="1:7" x14ac:dyDescent="0.35">
      <c r="A125" s="134" t="s">
        <v>50</v>
      </c>
      <c r="B125" s="67">
        <f>_xlfn.XLOOKUP(A125,T_Custos[Produto],T_Custos[Peso])</f>
        <v>20</v>
      </c>
      <c r="C125" s="78" t="str">
        <f>_xlfn.XLOOKUP(A125,T_Custos[Produto],T_Custos[Und])</f>
        <v>kg</v>
      </c>
      <c r="D125" s="72">
        <v>5.5</v>
      </c>
      <c r="E125" s="138">
        <v>0</v>
      </c>
      <c r="F125" s="138">
        <v>0</v>
      </c>
      <c r="G125" s="138">
        <v>3.95</v>
      </c>
    </row>
    <row r="126" spans="1:7" x14ac:dyDescent="0.35">
      <c r="A126" s="134" t="s">
        <v>52</v>
      </c>
      <c r="B126" s="67">
        <f>_xlfn.XLOOKUP(A126,T_Custos[Produto],T_Custos[Peso])</f>
        <v>5</v>
      </c>
      <c r="C126" s="78" t="str">
        <f>_xlfn.XLOOKUP(A126,T_Custos[Produto],T_Custos[Und])</f>
        <v>kg</v>
      </c>
      <c r="D126" s="72">
        <v>1.5</v>
      </c>
      <c r="E126" s="138">
        <v>0</v>
      </c>
      <c r="F126" s="138">
        <v>0</v>
      </c>
      <c r="G126" s="138">
        <v>2</v>
      </c>
    </row>
    <row r="127" spans="1:7" x14ac:dyDescent="0.35">
      <c r="A127" s="134" t="s">
        <v>534</v>
      </c>
      <c r="B127" s="67">
        <f>_xlfn.XLOOKUP(A127,T_Custos[Produto],T_Custos[Peso])</f>
        <v>10</v>
      </c>
      <c r="C127" s="78" t="str">
        <f>_xlfn.XLOOKUP(A127,T_Custos[Produto],T_Custos[Und])</f>
        <v>kg</v>
      </c>
      <c r="D127" s="72">
        <v>1.5</v>
      </c>
      <c r="E127" s="138">
        <v>0</v>
      </c>
      <c r="F127" s="138">
        <v>0</v>
      </c>
      <c r="G127" s="138">
        <v>3.5</v>
      </c>
    </row>
    <row r="128" spans="1:7" x14ac:dyDescent="0.35">
      <c r="A128" s="134" t="s">
        <v>458</v>
      </c>
      <c r="B128" s="67">
        <f>_xlfn.XLOOKUP(A128,T_Custos[Produto],T_Custos[Peso])</f>
        <v>1</v>
      </c>
      <c r="C128" s="78" t="str">
        <f>_xlfn.XLOOKUP(A128,T_Custos[Produto],T_Custos[Und])</f>
        <v>bd</v>
      </c>
      <c r="D128" s="72">
        <v>0.14000000000000001</v>
      </c>
      <c r="E128" s="138">
        <v>0</v>
      </c>
      <c r="F128" s="138">
        <v>0</v>
      </c>
      <c r="G128" s="138">
        <v>0.2</v>
      </c>
    </row>
    <row r="129" spans="1:7" x14ac:dyDescent="0.35">
      <c r="A129" s="134" t="s">
        <v>531</v>
      </c>
      <c r="B129" s="67">
        <f>_xlfn.XLOOKUP(A129,T_Custos[Produto],T_Custos[Peso])</f>
        <v>5</v>
      </c>
      <c r="C129" s="78" t="str">
        <f>_xlfn.XLOOKUP(A129,T_Custos[Produto],T_Custos[Und])</f>
        <v>kg</v>
      </c>
      <c r="D129" s="72">
        <v>1.5</v>
      </c>
      <c r="E129" s="138">
        <v>0</v>
      </c>
      <c r="F129" s="138">
        <v>0</v>
      </c>
      <c r="G129" s="138">
        <v>2</v>
      </c>
    </row>
    <row r="130" spans="1:7" x14ac:dyDescent="0.35">
      <c r="A130" s="134" t="s">
        <v>475</v>
      </c>
      <c r="B130" s="67">
        <f>_xlfn.XLOOKUP(A130,T_Custos[Produto],T_Custos[Peso])</f>
        <v>1</v>
      </c>
      <c r="C130" s="78" t="str">
        <f>_xlfn.XLOOKUP(A130,T_Custos[Produto],T_Custos[Und])</f>
        <v>un</v>
      </c>
      <c r="D130" s="81">
        <v>0</v>
      </c>
      <c r="E130" s="138">
        <v>0</v>
      </c>
      <c r="F130" s="138">
        <v>0</v>
      </c>
      <c r="G130" s="138">
        <v>0.2</v>
      </c>
    </row>
    <row r="131" spans="1:7" x14ac:dyDescent="0.35">
      <c r="A131" s="134" t="s">
        <v>199</v>
      </c>
      <c r="B131" s="67">
        <f>_xlfn.XLOOKUP(A131,T_Custos[Produto],T_Custos[Peso])</f>
        <v>1</v>
      </c>
      <c r="C131" s="78" t="str">
        <f>_xlfn.XLOOKUP(A131,T_Custos[Produto],T_Custos[Und])</f>
        <v>un</v>
      </c>
      <c r="D131" s="81">
        <v>0</v>
      </c>
      <c r="E131" s="138">
        <v>0</v>
      </c>
      <c r="F131" s="138">
        <v>0</v>
      </c>
      <c r="G131" s="138">
        <v>0.2</v>
      </c>
    </row>
    <row r="132" spans="1:7" x14ac:dyDescent="0.35">
      <c r="A132" s="134" t="s">
        <v>410</v>
      </c>
      <c r="B132" s="67">
        <f>_xlfn.XLOOKUP(A132,T_Custos[Produto],T_Custos[Peso])</f>
        <v>1</v>
      </c>
      <c r="C132" s="78" t="str">
        <f>_xlfn.XLOOKUP(A132,T_Custos[Produto],T_Custos[Und])</f>
        <v>pc</v>
      </c>
      <c r="D132" s="72">
        <v>0.14000000000000001</v>
      </c>
      <c r="E132" s="138">
        <v>0</v>
      </c>
      <c r="F132" s="138">
        <v>0</v>
      </c>
      <c r="G132" s="138">
        <v>0.5</v>
      </c>
    </row>
    <row r="133" spans="1:7" x14ac:dyDescent="0.35">
      <c r="A133" s="134" t="s">
        <v>226</v>
      </c>
      <c r="B133" s="67">
        <f>_xlfn.XLOOKUP(A133,T_Custos[Produto],T_Custos[Peso])</f>
        <v>1</v>
      </c>
      <c r="C133" s="78" t="str">
        <f>_xlfn.XLOOKUP(A133,T_Custos[Produto],T_Custos[Und])</f>
        <v>un</v>
      </c>
      <c r="D133" s="81">
        <v>0</v>
      </c>
      <c r="E133" s="138">
        <v>0</v>
      </c>
      <c r="F133" s="138">
        <v>0</v>
      </c>
      <c r="G133" s="138">
        <v>0.2</v>
      </c>
    </row>
    <row r="134" spans="1:7" x14ac:dyDescent="0.35">
      <c r="A134" s="134" t="s">
        <v>53</v>
      </c>
      <c r="B134" s="67">
        <f>_xlfn.XLOOKUP(A134,T_Custos[Produto],T_Custos[Peso])</f>
        <v>18</v>
      </c>
      <c r="C134" s="78" t="str">
        <f>_xlfn.XLOOKUP(A134,T_Custos[Produto],T_Custos[Und])</f>
        <v>kg</v>
      </c>
      <c r="D134" s="72">
        <v>5.5</v>
      </c>
      <c r="E134" s="138">
        <v>3.8</v>
      </c>
      <c r="F134" s="138">
        <v>5.5</v>
      </c>
      <c r="G134" s="138">
        <v>3.95</v>
      </c>
    </row>
    <row r="135" spans="1:7" x14ac:dyDescent="0.35">
      <c r="A135" s="134" t="s">
        <v>374</v>
      </c>
      <c r="B135" s="67">
        <f>_xlfn.XLOOKUP(A135,T_Custos[Produto],T_Custos[Peso])</f>
        <v>1</v>
      </c>
      <c r="C135" s="78" t="str">
        <f>_xlfn.XLOOKUP(A135,T_Custos[Produto],T_Custos[Und])</f>
        <v>und</v>
      </c>
      <c r="D135" s="81">
        <v>0</v>
      </c>
      <c r="E135" s="138">
        <v>0</v>
      </c>
      <c r="F135" s="138">
        <v>0</v>
      </c>
      <c r="G135" s="138">
        <v>0.2</v>
      </c>
    </row>
    <row r="136" spans="1:7" x14ac:dyDescent="0.35">
      <c r="A136" s="134" t="s">
        <v>54</v>
      </c>
      <c r="B136" s="67">
        <f>_xlfn.XLOOKUP(A136,T_Custos[Produto],T_Custos[Peso])</f>
        <v>15</v>
      </c>
      <c r="C136" s="78" t="str">
        <f>_xlfn.XLOOKUP(A136,T_Custos[Produto],T_Custos[Und])</f>
        <v>kg</v>
      </c>
      <c r="D136" s="72">
        <v>5.5</v>
      </c>
      <c r="E136" s="138">
        <v>2</v>
      </c>
      <c r="F136" s="138">
        <v>5.5</v>
      </c>
      <c r="G136" s="138">
        <v>3.8</v>
      </c>
    </row>
    <row r="137" spans="1:7" x14ac:dyDescent="0.35">
      <c r="A137" s="134" t="s">
        <v>55</v>
      </c>
      <c r="B137" s="67">
        <f>_xlfn.XLOOKUP(A137,T_Custos[Produto],T_Custos[Peso])</f>
        <v>1</v>
      </c>
      <c r="C137" s="78" t="str">
        <f>_xlfn.XLOOKUP(A137,T_Custos[Produto],T_Custos[Und])</f>
        <v>un</v>
      </c>
      <c r="D137" s="81">
        <v>0</v>
      </c>
      <c r="E137" s="138">
        <v>0</v>
      </c>
      <c r="F137" s="138">
        <v>0</v>
      </c>
      <c r="G137" s="138">
        <v>0.2</v>
      </c>
    </row>
    <row r="138" spans="1:7" x14ac:dyDescent="0.35">
      <c r="A138" s="134" t="s">
        <v>56</v>
      </c>
      <c r="B138" s="67">
        <f>_xlfn.XLOOKUP(A138,T_Custos[Produto],T_Custos[Peso])</f>
        <v>1</v>
      </c>
      <c r="C138" s="78" t="str">
        <f>_xlfn.XLOOKUP(A138,T_Custos[Produto],T_Custos[Und])</f>
        <v>un</v>
      </c>
      <c r="D138" s="81">
        <v>0</v>
      </c>
      <c r="E138" s="138">
        <v>0.5</v>
      </c>
      <c r="F138" s="138">
        <v>0.75</v>
      </c>
      <c r="G138" s="138">
        <v>0.2</v>
      </c>
    </row>
    <row r="139" spans="1:7" x14ac:dyDescent="0.35">
      <c r="A139" s="134" t="s">
        <v>200</v>
      </c>
      <c r="B139" s="67">
        <f>_xlfn.XLOOKUP(A139,T_Custos[Produto],T_Custos[Peso])</f>
        <v>1</v>
      </c>
      <c r="C139" s="78" t="str">
        <f>_xlfn.XLOOKUP(A139,T_Custos[Produto],T_Custos[Und])</f>
        <v>un</v>
      </c>
      <c r="D139" s="81">
        <v>0</v>
      </c>
      <c r="E139" s="138">
        <v>0</v>
      </c>
      <c r="F139" s="138">
        <v>0</v>
      </c>
      <c r="G139" s="138">
        <v>0.2</v>
      </c>
    </row>
    <row r="140" spans="1:7" x14ac:dyDescent="0.35">
      <c r="A140" s="134" t="s">
        <v>411</v>
      </c>
      <c r="B140" s="67">
        <f>_xlfn.XLOOKUP(A140,T_Custos[Produto],T_Custos[Peso])</f>
        <v>1</v>
      </c>
      <c r="C140" s="78" t="str">
        <f>_xlfn.XLOOKUP(A140,T_Custos[Produto],T_Custos[Und])</f>
        <v>bd</v>
      </c>
      <c r="D140" s="72">
        <v>0.18</v>
      </c>
      <c r="E140" s="138">
        <v>0</v>
      </c>
      <c r="F140" s="138">
        <v>0</v>
      </c>
      <c r="G140" s="138">
        <v>0.2</v>
      </c>
    </row>
    <row r="141" spans="1:7" x14ac:dyDescent="0.35">
      <c r="A141" s="134" t="s">
        <v>412</v>
      </c>
      <c r="B141" s="67">
        <f>_xlfn.XLOOKUP(A141,T_Custos[Produto],T_Custos[Peso])</f>
        <v>1</v>
      </c>
      <c r="C141" s="78" t="str">
        <f>_xlfn.XLOOKUP(A141,T_Custos[Produto],T_Custos[Und])</f>
        <v>bd</v>
      </c>
      <c r="D141" s="72">
        <v>0.18</v>
      </c>
      <c r="E141" s="138">
        <v>0</v>
      </c>
      <c r="F141" s="138">
        <v>0</v>
      </c>
      <c r="G141" s="138">
        <v>0.2</v>
      </c>
    </row>
    <row r="142" spans="1:7" x14ac:dyDescent="0.35">
      <c r="A142" s="134" t="s">
        <v>413</v>
      </c>
      <c r="B142" s="67">
        <f>_xlfn.XLOOKUP(A142,T_Custos[Produto],T_Custos[Peso])</f>
        <v>1</v>
      </c>
      <c r="C142" s="78" t="str">
        <f>_xlfn.XLOOKUP(A142,T_Custos[Produto],T_Custos[Und])</f>
        <v>bd</v>
      </c>
      <c r="D142" s="72">
        <v>0.18</v>
      </c>
      <c r="E142" s="138">
        <v>0</v>
      </c>
      <c r="F142" s="138">
        <v>0</v>
      </c>
      <c r="G142" s="138">
        <v>0.2</v>
      </c>
    </row>
    <row r="143" spans="1:7" x14ac:dyDescent="0.35">
      <c r="A143" s="134" t="s">
        <v>414</v>
      </c>
      <c r="B143" s="67">
        <f>_xlfn.XLOOKUP(A143,T_Custos[Produto],T_Custos[Peso])</f>
        <v>1</v>
      </c>
      <c r="C143" s="78" t="str">
        <f>_xlfn.XLOOKUP(A143,T_Custos[Produto],T_Custos[Und])</f>
        <v>bd</v>
      </c>
      <c r="D143" s="72">
        <v>0.18</v>
      </c>
      <c r="E143" s="138">
        <v>0</v>
      </c>
      <c r="F143" s="138">
        <v>0</v>
      </c>
      <c r="G143" s="138">
        <v>0.2</v>
      </c>
    </row>
    <row r="144" spans="1:7" x14ac:dyDescent="0.35">
      <c r="A144" s="134" t="s">
        <v>415</v>
      </c>
      <c r="B144" s="67">
        <f>_xlfn.XLOOKUP(A144,T_Custos[Produto],T_Custos[Peso])</f>
        <v>1</v>
      </c>
      <c r="C144" s="78" t="str">
        <f>_xlfn.XLOOKUP(A144,T_Custos[Produto],T_Custos[Und])</f>
        <v>bd</v>
      </c>
      <c r="D144" s="72">
        <v>0.18</v>
      </c>
      <c r="E144" s="138">
        <v>0</v>
      </c>
      <c r="F144" s="138">
        <v>0</v>
      </c>
      <c r="G144" s="138">
        <v>0.2</v>
      </c>
    </row>
    <row r="145" spans="1:7" x14ac:dyDescent="0.35">
      <c r="A145" s="134" t="s">
        <v>201</v>
      </c>
      <c r="B145" s="67">
        <f>_xlfn.XLOOKUP(A145,T_Custos[Produto],T_Custos[Peso])</f>
        <v>1</v>
      </c>
      <c r="C145" s="78" t="str">
        <f>_xlfn.XLOOKUP(A145,T_Custos[Produto],T_Custos[Und])</f>
        <v>un</v>
      </c>
      <c r="D145" s="81">
        <v>0</v>
      </c>
      <c r="E145" s="138">
        <v>0</v>
      </c>
      <c r="F145" s="138">
        <v>0</v>
      </c>
      <c r="G145" s="138">
        <v>0.2</v>
      </c>
    </row>
    <row r="146" spans="1:7" x14ac:dyDescent="0.35">
      <c r="A146" s="134" t="s">
        <v>202</v>
      </c>
      <c r="B146" s="67">
        <f>_xlfn.XLOOKUP(A146,T_Custos[Produto],T_Custos[Peso])</f>
        <v>1</v>
      </c>
      <c r="C146" s="78" t="str">
        <f>_xlfn.XLOOKUP(A146,T_Custos[Produto],T_Custos[Und])</f>
        <v>un</v>
      </c>
      <c r="D146" s="81">
        <v>0</v>
      </c>
      <c r="E146" s="138">
        <v>0</v>
      </c>
      <c r="F146" s="138">
        <v>0</v>
      </c>
      <c r="G146" s="138">
        <v>0.2</v>
      </c>
    </row>
    <row r="147" spans="1:7" x14ac:dyDescent="0.35">
      <c r="A147" s="134" t="s">
        <v>416</v>
      </c>
      <c r="B147" s="67">
        <f>_xlfn.XLOOKUP(A147,T_Custos[Produto],T_Custos[Peso])</f>
        <v>1</v>
      </c>
      <c r="C147" s="78" t="str">
        <f>_xlfn.XLOOKUP(A147,T_Custos[Produto],T_Custos[Und])</f>
        <v>pc</v>
      </c>
      <c r="D147" s="72">
        <v>0.14000000000000001</v>
      </c>
      <c r="E147" s="138">
        <v>0</v>
      </c>
      <c r="F147" s="138">
        <v>0</v>
      </c>
      <c r="G147" s="138">
        <v>0.5</v>
      </c>
    </row>
    <row r="148" spans="1:7" x14ac:dyDescent="0.35">
      <c r="A148" s="134" t="s">
        <v>215</v>
      </c>
      <c r="B148" s="67">
        <f>_xlfn.XLOOKUP(A148,T_Custos[Produto],T_Custos[Peso])</f>
        <v>1</v>
      </c>
      <c r="C148" s="78" t="str">
        <f>_xlfn.XLOOKUP(A148,T_Custos[Produto],T_Custos[Und])</f>
        <v>un</v>
      </c>
      <c r="D148" s="81">
        <v>0</v>
      </c>
      <c r="E148" s="138">
        <v>0</v>
      </c>
      <c r="F148" s="138">
        <v>0</v>
      </c>
      <c r="G148" s="138">
        <v>0.2</v>
      </c>
    </row>
    <row r="149" spans="1:7" x14ac:dyDescent="0.35">
      <c r="A149" s="134" t="s">
        <v>59</v>
      </c>
      <c r="B149" s="67">
        <f>_xlfn.XLOOKUP(A149,T_Custos[Produto],T_Custos[Peso])</f>
        <v>10</v>
      </c>
      <c r="C149" s="78" t="str">
        <f>_xlfn.XLOOKUP(A149,T_Custos[Produto],T_Custos[Und])</f>
        <v>kg</v>
      </c>
      <c r="D149" s="72">
        <v>3.5</v>
      </c>
      <c r="E149" s="138">
        <v>0</v>
      </c>
      <c r="F149" s="138">
        <v>0</v>
      </c>
      <c r="G149" s="138">
        <v>3.5</v>
      </c>
    </row>
    <row r="150" spans="1:7" x14ac:dyDescent="0.35">
      <c r="A150" s="134" t="s">
        <v>58</v>
      </c>
      <c r="B150" s="67">
        <f>_xlfn.XLOOKUP(A150,T_Custos[Produto],T_Custos[Peso])</f>
        <v>9</v>
      </c>
      <c r="C150" s="78" t="str">
        <f>_xlfn.XLOOKUP(A150,T_Custos[Produto],T_Custos[Und])</f>
        <v>kg</v>
      </c>
      <c r="D150" s="72">
        <v>3.5</v>
      </c>
      <c r="E150" s="138">
        <v>3.8</v>
      </c>
      <c r="F150" s="138">
        <v>5.5</v>
      </c>
      <c r="G150" s="138">
        <v>2.8</v>
      </c>
    </row>
    <row r="151" spans="1:7" x14ac:dyDescent="0.35">
      <c r="A151" s="134" t="s">
        <v>417</v>
      </c>
      <c r="B151" s="67">
        <f>_xlfn.XLOOKUP(A151,T_Custos[Produto],T_Custos[Peso])</f>
        <v>1</v>
      </c>
      <c r="C151" s="78" t="str">
        <f>_xlfn.XLOOKUP(A151,T_Custos[Produto],T_Custos[Und])</f>
        <v>bd</v>
      </c>
      <c r="D151" s="72">
        <v>0.14000000000000001</v>
      </c>
      <c r="E151" s="138">
        <v>0</v>
      </c>
      <c r="F151" s="138">
        <v>0</v>
      </c>
      <c r="G151" s="138">
        <v>0.2</v>
      </c>
    </row>
    <row r="152" spans="1:7" x14ac:dyDescent="0.35">
      <c r="A152" s="134" t="s">
        <v>459</v>
      </c>
      <c r="B152" s="67">
        <f>_xlfn.XLOOKUP(A152,T_Custos[Produto],T_Custos[Peso])</f>
        <v>1</v>
      </c>
      <c r="C152" s="78" t="str">
        <f>_xlfn.XLOOKUP(A152,T_Custos[Produto],T_Custos[Und])</f>
        <v>bd</v>
      </c>
      <c r="D152" s="72">
        <v>0.14000000000000001</v>
      </c>
      <c r="E152" s="138">
        <v>0</v>
      </c>
      <c r="F152" s="138">
        <v>0</v>
      </c>
      <c r="G152" s="138">
        <v>0.2</v>
      </c>
    </row>
    <row r="153" spans="1:7" x14ac:dyDescent="0.35">
      <c r="A153" s="134" t="s">
        <v>203</v>
      </c>
      <c r="B153" s="67">
        <f>_xlfn.XLOOKUP(A153,T_Custos[Produto],T_Custos[Peso])</f>
        <v>1</v>
      </c>
      <c r="C153" s="78" t="str">
        <f>_xlfn.XLOOKUP(A153,T_Custos[Produto],T_Custos[Und])</f>
        <v>un</v>
      </c>
      <c r="D153" s="81">
        <v>0</v>
      </c>
      <c r="E153" s="138">
        <v>0</v>
      </c>
      <c r="F153" s="138">
        <v>0</v>
      </c>
      <c r="G153" s="138">
        <v>0.2</v>
      </c>
    </row>
    <row r="154" spans="1:7" x14ac:dyDescent="0.35">
      <c r="A154" s="134" t="s">
        <v>418</v>
      </c>
      <c r="B154" s="67">
        <f>_xlfn.XLOOKUP(A154,T_Custos[Produto],T_Custos[Peso])</f>
        <v>1</v>
      </c>
      <c r="C154" s="78" t="str">
        <f>_xlfn.XLOOKUP(A154,T_Custos[Produto],T_Custos[Und])</f>
        <v>pc</v>
      </c>
      <c r="D154" s="72">
        <v>0.14000000000000001</v>
      </c>
      <c r="E154" s="138">
        <v>0</v>
      </c>
      <c r="F154" s="138">
        <v>0</v>
      </c>
      <c r="G154" s="138">
        <v>0.5</v>
      </c>
    </row>
    <row r="155" spans="1:7" x14ac:dyDescent="0.35">
      <c r="A155" s="134" t="s">
        <v>60</v>
      </c>
      <c r="B155" s="67">
        <f>_xlfn.XLOOKUP(A155,T_Custos[Produto],T_Custos[Peso])</f>
        <v>12</v>
      </c>
      <c r="C155" s="78" t="str">
        <f>_xlfn.XLOOKUP(A155,T_Custos[Produto],T_Custos[Und])</f>
        <v>kg</v>
      </c>
      <c r="D155" s="72">
        <v>5.5</v>
      </c>
      <c r="E155" s="138">
        <v>3.8</v>
      </c>
      <c r="F155" s="138">
        <v>5.5</v>
      </c>
      <c r="G155" s="138">
        <v>3.95</v>
      </c>
    </row>
    <row r="156" spans="1:7" x14ac:dyDescent="0.35">
      <c r="A156" s="134" t="s">
        <v>419</v>
      </c>
      <c r="B156" s="67">
        <f>_xlfn.XLOOKUP(A156,T_Custos[Produto],T_Custos[Peso])</f>
        <v>1</v>
      </c>
      <c r="C156" s="78" t="str">
        <f>_xlfn.XLOOKUP(A156,T_Custos[Produto],T_Custos[Und])</f>
        <v>bd</v>
      </c>
      <c r="D156" s="72">
        <v>0.14000000000000001</v>
      </c>
      <c r="E156" s="138">
        <v>0</v>
      </c>
      <c r="F156" s="138">
        <v>0</v>
      </c>
      <c r="G156" s="138">
        <v>0.2</v>
      </c>
    </row>
    <row r="157" spans="1:7" x14ac:dyDescent="0.35">
      <c r="A157" s="134" t="s">
        <v>472</v>
      </c>
      <c r="B157" s="67">
        <f>_xlfn.XLOOKUP(A157,T_Custos[Produto],T_Custos[Peso])</f>
        <v>12</v>
      </c>
      <c r="C157" s="78" t="str">
        <f>_xlfn.XLOOKUP(A157,T_Custos[Produto],T_Custos[Und])</f>
        <v>kg</v>
      </c>
      <c r="D157" s="81">
        <v>0</v>
      </c>
      <c r="E157" s="138">
        <v>0</v>
      </c>
      <c r="F157" s="138">
        <v>0</v>
      </c>
      <c r="G157" s="138">
        <v>3.5</v>
      </c>
    </row>
    <row r="158" spans="1:7" x14ac:dyDescent="0.35">
      <c r="A158" s="134" t="s">
        <v>375</v>
      </c>
      <c r="B158" s="67">
        <f>_xlfn.XLOOKUP(A158,T_Custos[Produto],T_Custos[Peso])</f>
        <v>1</v>
      </c>
      <c r="C158" s="78" t="str">
        <f>_xlfn.XLOOKUP(A158,T_Custos[Produto],T_Custos[Und])</f>
        <v>und</v>
      </c>
      <c r="D158" s="81">
        <v>0</v>
      </c>
      <c r="E158" s="138">
        <v>0</v>
      </c>
      <c r="F158" s="138">
        <v>0</v>
      </c>
      <c r="G158" s="138">
        <v>0.2</v>
      </c>
    </row>
    <row r="159" spans="1:7" x14ac:dyDescent="0.35">
      <c r="A159" s="134" t="s">
        <v>61</v>
      </c>
      <c r="B159" s="67">
        <f>_xlfn.XLOOKUP(A159,T_Custos[Produto],T_Custos[Peso])</f>
        <v>2.5</v>
      </c>
      <c r="C159" s="78" t="str">
        <f>_xlfn.XLOOKUP(A159,T_Custos[Produto],T_Custos[Und])</f>
        <v>kg</v>
      </c>
      <c r="D159" s="72">
        <v>1.5</v>
      </c>
      <c r="E159" s="138">
        <v>1.7</v>
      </c>
      <c r="F159" s="138">
        <v>1.8</v>
      </c>
      <c r="G159" s="138">
        <v>1.6</v>
      </c>
    </row>
    <row r="160" spans="1:7" x14ac:dyDescent="0.35">
      <c r="A160" s="134" t="s">
        <v>308</v>
      </c>
      <c r="B160" s="67">
        <f>_xlfn.XLOOKUP(A160,T_Custos[Produto],T_Custos[Peso])</f>
        <v>6</v>
      </c>
      <c r="C160" s="78" t="str">
        <f>_xlfn.XLOOKUP(A160,T_Custos[Produto],T_Custos[Und])</f>
        <v>kg</v>
      </c>
      <c r="D160" s="72">
        <v>3.5</v>
      </c>
      <c r="E160" s="138">
        <v>3.5</v>
      </c>
      <c r="F160" s="138">
        <v>3.6</v>
      </c>
      <c r="G160" s="138">
        <v>2.2000000000000002</v>
      </c>
    </row>
    <row r="161" spans="1:7" x14ac:dyDescent="0.35">
      <c r="A161" s="134" t="s">
        <v>376</v>
      </c>
      <c r="B161" s="67">
        <f>_xlfn.XLOOKUP(A161,T_Custos[Produto],T_Custos[Peso])</f>
        <v>1</v>
      </c>
      <c r="C161" s="78" t="str">
        <f>_xlfn.XLOOKUP(A161,T_Custos[Produto],T_Custos[Und])</f>
        <v>und</v>
      </c>
      <c r="D161" s="81">
        <v>0</v>
      </c>
      <c r="E161" s="138">
        <v>0</v>
      </c>
      <c r="F161" s="138">
        <v>0</v>
      </c>
      <c r="G161" s="138">
        <v>0.2</v>
      </c>
    </row>
    <row r="162" spans="1:7" x14ac:dyDescent="0.35">
      <c r="A162" s="134" t="s">
        <v>62</v>
      </c>
      <c r="B162" s="67">
        <f>_xlfn.XLOOKUP(A162,T_Custos[Produto],T_Custos[Peso])</f>
        <v>15</v>
      </c>
      <c r="C162" s="78" t="str">
        <f>_xlfn.XLOOKUP(A162,T_Custos[Produto],T_Custos[Und])</f>
        <v>kg</v>
      </c>
      <c r="D162" s="72">
        <v>5.5</v>
      </c>
      <c r="E162" s="138">
        <v>0</v>
      </c>
      <c r="F162" s="138">
        <v>0</v>
      </c>
      <c r="G162" s="138">
        <v>3.8</v>
      </c>
    </row>
    <row r="163" spans="1:7" x14ac:dyDescent="0.35">
      <c r="A163" s="134" t="s">
        <v>63</v>
      </c>
      <c r="B163" s="67">
        <f>_xlfn.XLOOKUP(A163,T_Custos[Produto],T_Custos[Peso])</f>
        <v>8</v>
      </c>
      <c r="C163" s="78" t="str">
        <f>_xlfn.XLOOKUP(A163,T_Custos[Produto],T_Custos[Und])</f>
        <v>kg</v>
      </c>
      <c r="D163" s="72">
        <v>3.5</v>
      </c>
      <c r="E163" s="138">
        <v>0</v>
      </c>
      <c r="F163" s="138">
        <v>0</v>
      </c>
      <c r="G163" s="138">
        <v>2.6</v>
      </c>
    </row>
    <row r="164" spans="1:7" x14ac:dyDescent="0.35">
      <c r="A164" s="134" t="s">
        <v>204</v>
      </c>
      <c r="B164" s="67">
        <f>_xlfn.XLOOKUP(A164,T_Custos[Produto],T_Custos[Peso])</f>
        <v>1</v>
      </c>
      <c r="C164" s="78" t="str">
        <f>_xlfn.XLOOKUP(A164,T_Custos[Produto],T_Custos[Und])</f>
        <v>un</v>
      </c>
      <c r="D164" s="81">
        <v>0</v>
      </c>
      <c r="E164" s="138">
        <v>0</v>
      </c>
      <c r="F164" s="138">
        <v>0</v>
      </c>
      <c r="G164" s="138">
        <v>0.2</v>
      </c>
    </row>
    <row r="165" spans="1:7" x14ac:dyDescent="0.35">
      <c r="A165" s="134" t="s">
        <v>64</v>
      </c>
      <c r="B165" s="67">
        <f>_xlfn.XLOOKUP(A165,T_Custos[Produto],T_Custos[Peso])</f>
        <v>20</v>
      </c>
      <c r="C165" s="78" t="str">
        <f>_xlfn.XLOOKUP(A165,T_Custos[Produto],T_Custos[Und])</f>
        <v>kg</v>
      </c>
      <c r="D165" s="72">
        <v>5.5</v>
      </c>
      <c r="E165" s="138">
        <v>3.8</v>
      </c>
      <c r="F165" s="138">
        <v>5.5</v>
      </c>
      <c r="G165" s="138">
        <v>3.95</v>
      </c>
    </row>
    <row r="166" spans="1:7" x14ac:dyDescent="0.35">
      <c r="A166" s="134" t="s">
        <v>471</v>
      </c>
      <c r="B166" s="67">
        <f>_xlfn.XLOOKUP(A166,T_Custos[Produto],T_Custos[Peso])</f>
        <v>20</v>
      </c>
      <c r="C166" s="78" t="str">
        <f>_xlfn.XLOOKUP(A166,T_Custos[Produto],T_Custos[Und])</f>
        <v>kg</v>
      </c>
      <c r="D166" s="81">
        <v>0</v>
      </c>
      <c r="E166" s="138">
        <v>0</v>
      </c>
      <c r="F166" s="138">
        <v>0</v>
      </c>
      <c r="G166" s="138">
        <v>3.95</v>
      </c>
    </row>
    <row r="167" spans="1:7" x14ac:dyDescent="0.35">
      <c r="A167" s="134" t="s">
        <v>420</v>
      </c>
      <c r="B167" s="67">
        <f>_xlfn.XLOOKUP(A167,T_Custos[Produto],T_Custos[Peso])</f>
        <v>1</v>
      </c>
      <c r="C167" s="78" t="str">
        <f>_xlfn.XLOOKUP(A167,T_Custos[Produto],T_Custos[Und])</f>
        <v>rd</v>
      </c>
      <c r="D167" s="72">
        <v>0.14000000000000001</v>
      </c>
      <c r="E167" s="138">
        <v>0</v>
      </c>
      <c r="F167" s="138">
        <v>0</v>
      </c>
      <c r="G167" s="138">
        <v>0.5</v>
      </c>
    </row>
    <row r="168" spans="1:7" x14ac:dyDescent="0.35">
      <c r="A168" s="134" t="s">
        <v>377</v>
      </c>
      <c r="B168" s="67">
        <f>_xlfn.XLOOKUP(A168,T_Custos[Produto],T_Custos[Peso])</f>
        <v>1</v>
      </c>
      <c r="C168" s="78" t="str">
        <f>_xlfn.XLOOKUP(A168,T_Custos[Produto],T_Custos[Und])</f>
        <v>und</v>
      </c>
      <c r="D168" s="81">
        <v>0</v>
      </c>
      <c r="E168" s="138">
        <v>0</v>
      </c>
      <c r="F168" s="138">
        <v>0</v>
      </c>
      <c r="G168" s="138">
        <v>0.2</v>
      </c>
    </row>
    <row r="169" spans="1:7" x14ac:dyDescent="0.35">
      <c r="A169" s="134" t="s">
        <v>65</v>
      </c>
      <c r="B169" s="67">
        <f>_xlfn.XLOOKUP(A169,T_Custos[Produto],T_Custos[Peso])</f>
        <v>14</v>
      </c>
      <c r="C169" s="78" t="str">
        <f>_xlfn.XLOOKUP(A169,T_Custos[Produto],T_Custos[Und])</f>
        <v>kg</v>
      </c>
      <c r="D169" s="72">
        <v>5.5</v>
      </c>
      <c r="E169" s="138">
        <v>3.8</v>
      </c>
      <c r="F169" s="138">
        <v>5.5</v>
      </c>
      <c r="G169" s="138">
        <v>3.5</v>
      </c>
    </row>
    <row r="170" spans="1:7" x14ac:dyDescent="0.35">
      <c r="A170" s="134" t="s">
        <v>66</v>
      </c>
      <c r="B170" s="67">
        <f>_xlfn.XLOOKUP(A170,T_Custos[Produto],T_Custos[Peso])</f>
        <v>9</v>
      </c>
      <c r="C170" s="78" t="str">
        <f>_xlfn.XLOOKUP(A170,T_Custos[Produto],T_Custos[Und])</f>
        <v>kg</v>
      </c>
      <c r="D170" s="72">
        <v>3.5</v>
      </c>
      <c r="E170" s="138">
        <v>3</v>
      </c>
      <c r="F170" s="138">
        <v>3.5</v>
      </c>
      <c r="G170" s="138">
        <v>2.8</v>
      </c>
    </row>
    <row r="171" spans="1:7" x14ac:dyDescent="0.35">
      <c r="A171" s="134" t="s">
        <v>378</v>
      </c>
      <c r="B171" s="67">
        <f>_xlfn.XLOOKUP(A171,T_Custos[Produto],T_Custos[Peso])</f>
        <v>1</v>
      </c>
      <c r="C171" s="78" t="str">
        <f>_xlfn.XLOOKUP(A171,T_Custos[Produto],T_Custos[Und])</f>
        <v>und</v>
      </c>
      <c r="D171" s="81">
        <v>0</v>
      </c>
      <c r="E171" s="138">
        <v>0</v>
      </c>
      <c r="F171" s="138">
        <v>0</v>
      </c>
      <c r="G171" s="138">
        <v>0.2</v>
      </c>
    </row>
    <row r="172" spans="1:7" x14ac:dyDescent="0.35">
      <c r="A172" s="134" t="s">
        <v>67</v>
      </c>
      <c r="B172" s="67">
        <f>_xlfn.XLOOKUP(A172,T_Custos[Produto],T_Custos[Peso])</f>
        <v>15</v>
      </c>
      <c r="C172" s="78" t="str">
        <f>_xlfn.XLOOKUP(A172,T_Custos[Produto],T_Custos[Und])</f>
        <v>kg</v>
      </c>
      <c r="D172" s="72">
        <v>5.5</v>
      </c>
      <c r="E172" s="138">
        <v>0</v>
      </c>
      <c r="F172" s="138">
        <v>0</v>
      </c>
      <c r="G172" s="138">
        <v>3.8</v>
      </c>
    </row>
    <row r="173" spans="1:7" x14ac:dyDescent="0.35">
      <c r="A173" s="134" t="s">
        <v>68</v>
      </c>
      <c r="B173" s="67">
        <f>_xlfn.XLOOKUP(A173,T_Custos[Produto],T_Custos[Peso])</f>
        <v>20</v>
      </c>
      <c r="C173" s="78" t="str">
        <f>_xlfn.XLOOKUP(A173,T_Custos[Produto],T_Custos[Und])</f>
        <v>kg</v>
      </c>
      <c r="D173" s="72">
        <v>5.5</v>
      </c>
      <c r="E173" s="138">
        <v>0</v>
      </c>
      <c r="F173" s="138">
        <v>0</v>
      </c>
      <c r="G173" s="138">
        <v>3.95</v>
      </c>
    </row>
    <row r="174" spans="1:7" x14ac:dyDescent="0.35">
      <c r="A174" s="134" t="s">
        <v>69</v>
      </c>
      <c r="B174" s="67">
        <f>_xlfn.XLOOKUP(A174,T_Custos[Produto],T_Custos[Peso])</f>
        <v>20</v>
      </c>
      <c r="C174" s="78" t="str">
        <f>_xlfn.XLOOKUP(A174,T_Custos[Produto],T_Custos[Und])</f>
        <v>kg</v>
      </c>
      <c r="D174" s="72">
        <v>5.5</v>
      </c>
      <c r="E174" s="138">
        <v>0</v>
      </c>
      <c r="F174" s="138">
        <v>0</v>
      </c>
      <c r="G174" s="138">
        <v>3.95</v>
      </c>
    </row>
    <row r="175" spans="1:7" x14ac:dyDescent="0.35">
      <c r="A175" s="134" t="s">
        <v>421</v>
      </c>
      <c r="B175" s="67">
        <f>_xlfn.XLOOKUP(A175,T_Custos[Produto],T_Custos[Peso])</f>
        <v>1</v>
      </c>
      <c r="C175" s="78" t="str">
        <f>_xlfn.XLOOKUP(A175,T_Custos[Produto],T_Custos[Und])</f>
        <v>rd</v>
      </c>
      <c r="D175" s="72">
        <v>0.14000000000000001</v>
      </c>
      <c r="E175" s="138">
        <v>0</v>
      </c>
      <c r="F175" s="138">
        <v>0</v>
      </c>
      <c r="G175" s="138">
        <v>0.5</v>
      </c>
    </row>
    <row r="176" spans="1:7" x14ac:dyDescent="0.35">
      <c r="A176" s="134" t="s">
        <v>379</v>
      </c>
      <c r="B176" s="67">
        <f>_xlfn.XLOOKUP(A176,T_Custos[Produto],T_Custos[Peso])</f>
        <v>1</v>
      </c>
      <c r="C176" s="78" t="str">
        <f>_xlfn.XLOOKUP(A176,T_Custos[Produto],T_Custos[Und])</f>
        <v>und</v>
      </c>
      <c r="D176" s="81">
        <v>0</v>
      </c>
      <c r="E176" s="138">
        <v>0</v>
      </c>
      <c r="F176" s="138">
        <v>0</v>
      </c>
      <c r="G176" s="138">
        <v>0.2</v>
      </c>
    </row>
    <row r="177" spans="1:7" x14ac:dyDescent="0.35">
      <c r="A177" s="134" t="s">
        <v>70</v>
      </c>
      <c r="B177" s="67">
        <f>_xlfn.XLOOKUP(A177,T_Custos[Produto],T_Custos[Peso])</f>
        <v>20</v>
      </c>
      <c r="C177" s="78" t="str">
        <f>_xlfn.XLOOKUP(A177,T_Custos[Produto],T_Custos[Und])</f>
        <v>kg</v>
      </c>
      <c r="D177" s="72">
        <v>5.5</v>
      </c>
      <c r="E177" s="138">
        <v>3.8</v>
      </c>
      <c r="F177" s="138">
        <v>5.5</v>
      </c>
      <c r="G177" s="138">
        <v>3.95</v>
      </c>
    </row>
    <row r="178" spans="1:7" x14ac:dyDescent="0.35">
      <c r="A178" s="134" t="s">
        <v>422</v>
      </c>
      <c r="B178" s="67">
        <f>_xlfn.XLOOKUP(A178,T_Custos[Produto],T_Custos[Peso])</f>
        <v>1</v>
      </c>
      <c r="C178" s="78" t="str">
        <f>_xlfn.XLOOKUP(A178,T_Custos[Produto],T_Custos[Und])</f>
        <v>rd</v>
      </c>
      <c r="D178" s="72">
        <v>0.14000000000000001</v>
      </c>
      <c r="E178" s="138">
        <v>0</v>
      </c>
      <c r="F178" s="138">
        <v>0</v>
      </c>
      <c r="G178" s="138">
        <v>0.5</v>
      </c>
    </row>
    <row r="179" spans="1:7" x14ac:dyDescent="0.35">
      <c r="A179" s="134" t="s">
        <v>71</v>
      </c>
      <c r="B179" s="67">
        <f>_xlfn.XLOOKUP(A179,T_Custos[Produto],T_Custos[Peso])</f>
        <v>10</v>
      </c>
      <c r="C179" s="78" t="str">
        <f>_xlfn.XLOOKUP(A179,T_Custos[Produto],T_Custos[Und])</f>
        <v>sc</v>
      </c>
      <c r="D179" s="72">
        <v>5.5</v>
      </c>
      <c r="E179" s="138">
        <v>0</v>
      </c>
      <c r="F179" s="138">
        <v>0</v>
      </c>
      <c r="G179" s="138">
        <v>3.5</v>
      </c>
    </row>
    <row r="180" spans="1:7" x14ac:dyDescent="0.35">
      <c r="A180" s="134" t="s">
        <v>380</v>
      </c>
      <c r="B180" s="67">
        <f>_xlfn.XLOOKUP(A180,T_Custos[Produto],T_Custos[Peso])</f>
        <v>1</v>
      </c>
      <c r="C180" s="78" t="str">
        <f>_xlfn.XLOOKUP(A180,T_Custos[Produto],T_Custos[Und])</f>
        <v>und</v>
      </c>
      <c r="D180" s="81">
        <v>0</v>
      </c>
      <c r="E180" s="138">
        <v>0</v>
      </c>
      <c r="F180" s="138">
        <v>0</v>
      </c>
      <c r="G180" s="138">
        <v>0.2</v>
      </c>
    </row>
    <row r="181" spans="1:7" x14ac:dyDescent="0.35">
      <c r="A181" s="134" t="s">
        <v>72</v>
      </c>
      <c r="B181" s="67">
        <f>_xlfn.XLOOKUP(A181,T_Custos[Produto],T_Custos[Peso])</f>
        <v>20</v>
      </c>
      <c r="C181" s="78" t="str">
        <f>_xlfn.XLOOKUP(A181,T_Custos[Produto],T_Custos[Und])</f>
        <v>kg</v>
      </c>
      <c r="D181" s="72">
        <v>5.5</v>
      </c>
      <c r="E181" s="138">
        <v>0</v>
      </c>
      <c r="F181" s="138">
        <v>0</v>
      </c>
      <c r="G181" s="138">
        <v>3.95</v>
      </c>
    </row>
    <row r="182" spans="1:7" x14ac:dyDescent="0.35">
      <c r="A182" s="134" t="s">
        <v>546</v>
      </c>
      <c r="B182" s="67">
        <f>_xlfn.XLOOKUP(A182,T_Custos[Produto],T_Custos[Peso])</f>
        <v>4</v>
      </c>
      <c r="C182" s="78" t="str">
        <f>_xlfn.XLOOKUP(A182,T_Custos[Produto],T_Custos[Und])</f>
        <v>bd</v>
      </c>
      <c r="D182" s="72">
        <v>1.5</v>
      </c>
      <c r="E182" s="138">
        <v>2.7</v>
      </c>
      <c r="F182" s="138">
        <v>3.5</v>
      </c>
      <c r="G182" s="138">
        <v>0.6</v>
      </c>
    </row>
    <row r="183" spans="1:7" x14ac:dyDescent="0.35">
      <c r="A183" s="134" t="s">
        <v>73</v>
      </c>
      <c r="B183" s="67">
        <f>_xlfn.XLOOKUP(A183,T_Custos[Produto],T_Custos[Peso])</f>
        <v>9</v>
      </c>
      <c r="C183" s="78" t="str">
        <f>_xlfn.XLOOKUP(A183,T_Custos[Produto],T_Custos[Und])</f>
        <v>kg</v>
      </c>
      <c r="D183" s="72">
        <v>3.5</v>
      </c>
      <c r="E183" s="138">
        <v>0</v>
      </c>
      <c r="F183" s="138">
        <v>0</v>
      </c>
      <c r="G183" s="138">
        <v>2.8</v>
      </c>
    </row>
    <row r="184" spans="1:7" x14ac:dyDescent="0.35">
      <c r="A184" s="134" t="s">
        <v>532</v>
      </c>
      <c r="B184" s="67">
        <f>_xlfn.XLOOKUP(A184,T_Custos[Produto],T_Custos[Peso])</f>
        <v>20</v>
      </c>
      <c r="C184" s="78" t="str">
        <f>_xlfn.XLOOKUP(A184,T_Custos[Produto],T_Custos[Und])</f>
        <v>kg</v>
      </c>
      <c r="D184" s="72">
        <v>5.5</v>
      </c>
      <c r="E184" s="138">
        <v>0</v>
      </c>
      <c r="F184" s="138">
        <v>0</v>
      </c>
      <c r="G184" s="138">
        <v>3.95</v>
      </c>
    </row>
    <row r="185" spans="1:7" x14ac:dyDescent="0.35">
      <c r="A185" s="134" t="s">
        <v>74</v>
      </c>
      <c r="B185" s="67">
        <f>_xlfn.XLOOKUP(A185,T_Custos[Produto],T_Custos[Peso])</f>
        <v>20</v>
      </c>
      <c r="C185" s="78" t="str">
        <f>_xlfn.XLOOKUP(A185,T_Custos[Produto],T_Custos[Und])</f>
        <v>kg</v>
      </c>
      <c r="D185" s="72">
        <v>5.5</v>
      </c>
      <c r="E185" s="138">
        <v>3.8</v>
      </c>
      <c r="F185" s="138">
        <v>5.5</v>
      </c>
      <c r="G185" s="138">
        <v>3.95</v>
      </c>
    </row>
    <row r="186" spans="1:7" x14ac:dyDescent="0.35">
      <c r="A186" s="134" t="s">
        <v>396</v>
      </c>
      <c r="B186" s="67">
        <f>_xlfn.XLOOKUP(A186,T_Custos[Produto],T_Custos[Peso])</f>
        <v>1</v>
      </c>
      <c r="C186" s="78" t="str">
        <f>_xlfn.XLOOKUP(A186,T_Custos[Produto],T_Custos[Und])</f>
        <v>und</v>
      </c>
      <c r="D186" s="81">
        <v>0</v>
      </c>
      <c r="E186" s="138">
        <v>0</v>
      </c>
      <c r="F186" s="138">
        <v>0</v>
      </c>
      <c r="G186" s="138">
        <v>0.2</v>
      </c>
    </row>
    <row r="187" spans="1:7" x14ac:dyDescent="0.35">
      <c r="A187" s="134" t="s">
        <v>423</v>
      </c>
      <c r="B187" s="67">
        <f>_xlfn.XLOOKUP(A187,T_Custos[Produto],T_Custos[Peso])</f>
        <v>1</v>
      </c>
      <c r="C187" s="78" t="str">
        <f>_xlfn.XLOOKUP(A187,T_Custos[Produto],T_Custos[Und])</f>
        <v>rd</v>
      </c>
      <c r="D187" s="72">
        <v>0.14000000000000001</v>
      </c>
      <c r="E187" s="138">
        <v>0</v>
      </c>
      <c r="F187" s="138">
        <v>0</v>
      </c>
      <c r="G187" s="138">
        <v>0.5</v>
      </c>
    </row>
    <row r="188" spans="1:7" x14ac:dyDescent="0.35">
      <c r="A188" s="134" t="s">
        <v>76</v>
      </c>
      <c r="B188" s="67">
        <f>_xlfn.XLOOKUP(A188,T_Custos[Produto],T_Custos[Peso])</f>
        <v>15</v>
      </c>
      <c r="C188" s="78" t="str">
        <f>_xlfn.XLOOKUP(A188,T_Custos[Produto],T_Custos[Und])</f>
        <v>kg</v>
      </c>
      <c r="D188" s="72">
        <v>5.5</v>
      </c>
      <c r="E188" s="138">
        <v>0</v>
      </c>
      <c r="F188" s="138">
        <v>0</v>
      </c>
      <c r="G188" s="138">
        <v>3.8</v>
      </c>
    </row>
    <row r="189" spans="1:7" x14ac:dyDescent="0.35">
      <c r="A189" s="134" t="s">
        <v>381</v>
      </c>
      <c r="B189" s="67">
        <f>_xlfn.XLOOKUP(A189,T_Custos[Produto],T_Custos[Peso])</f>
        <v>1</v>
      </c>
      <c r="C189" s="78" t="str">
        <f>_xlfn.XLOOKUP(A189,T_Custos[Produto],T_Custos[Und])</f>
        <v>und</v>
      </c>
      <c r="D189" s="81">
        <v>0</v>
      </c>
      <c r="E189" s="138">
        <v>0</v>
      </c>
      <c r="F189" s="138">
        <v>0</v>
      </c>
      <c r="G189" s="138">
        <v>0.2</v>
      </c>
    </row>
    <row r="190" spans="1:7" x14ac:dyDescent="0.35">
      <c r="A190" s="134" t="s">
        <v>75</v>
      </c>
      <c r="B190" s="67">
        <f>_xlfn.XLOOKUP(A190,T_Custos[Produto],T_Custos[Peso])</f>
        <v>20</v>
      </c>
      <c r="C190" s="78" t="str">
        <f>_xlfn.XLOOKUP(A190,T_Custos[Produto],T_Custos[Und])</f>
        <v>kg</v>
      </c>
      <c r="D190" s="72">
        <v>5.5</v>
      </c>
      <c r="E190" s="138">
        <v>0</v>
      </c>
      <c r="F190" s="138">
        <v>0</v>
      </c>
      <c r="G190" s="138">
        <v>3.95</v>
      </c>
    </row>
    <row r="191" spans="1:7" x14ac:dyDescent="0.35">
      <c r="A191" s="134" t="s">
        <v>205</v>
      </c>
      <c r="B191" s="67">
        <f>_xlfn.XLOOKUP(A191,T_Custos[Produto],T_Custos[Peso])</f>
        <v>1</v>
      </c>
      <c r="C191" s="78" t="str">
        <f>_xlfn.XLOOKUP(A191,T_Custos[Produto],T_Custos[Und])</f>
        <v>un</v>
      </c>
      <c r="D191" s="81">
        <v>0</v>
      </c>
      <c r="E191" s="138">
        <v>0</v>
      </c>
      <c r="F191" s="138">
        <v>0</v>
      </c>
      <c r="G191" s="138">
        <v>0.2</v>
      </c>
    </row>
    <row r="192" spans="1:7" x14ac:dyDescent="0.35">
      <c r="A192" s="134" t="s">
        <v>77</v>
      </c>
      <c r="B192" s="67">
        <f>_xlfn.XLOOKUP(A192,T_Custos[Produto],T_Custos[Peso])</f>
        <v>18</v>
      </c>
      <c r="C192" s="78" t="str">
        <f>_xlfn.XLOOKUP(A192,T_Custos[Produto],T_Custos[Und])</f>
        <v>kg</v>
      </c>
      <c r="D192" s="72">
        <v>5.5</v>
      </c>
      <c r="E192" s="138">
        <v>3.8</v>
      </c>
      <c r="F192" s="138">
        <v>5.5</v>
      </c>
      <c r="G192" s="138">
        <v>3.95</v>
      </c>
    </row>
    <row r="193" spans="1:7" x14ac:dyDescent="0.35">
      <c r="A193" s="134" t="s">
        <v>78</v>
      </c>
      <c r="B193" s="67">
        <f>_xlfn.XLOOKUP(A193,T_Custos[Produto],T_Custos[Peso])</f>
        <v>18</v>
      </c>
      <c r="C193" s="78" t="str">
        <f>_xlfn.XLOOKUP(A193,T_Custos[Produto],T_Custos[Und])</f>
        <v>kg</v>
      </c>
      <c r="D193" s="72">
        <v>5.5</v>
      </c>
      <c r="E193" s="138">
        <v>3.8</v>
      </c>
      <c r="F193" s="138">
        <v>5.5</v>
      </c>
      <c r="G193" s="138">
        <v>3.95</v>
      </c>
    </row>
    <row r="194" spans="1:7" x14ac:dyDescent="0.35">
      <c r="A194" s="134" t="s">
        <v>424</v>
      </c>
      <c r="B194" s="67">
        <f>_xlfn.XLOOKUP(A194,T_Custos[Produto],T_Custos[Peso])</f>
        <v>1</v>
      </c>
      <c r="C194" s="78" t="str">
        <f>_xlfn.XLOOKUP(A194,T_Custos[Produto],T_Custos[Und])</f>
        <v>bd</v>
      </c>
      <c r="D194" s="72">
        <v>0.14000000000000001</v>
      </c>
      <c r="E194" s="138">
        <v>0</v>
      </c>
      <c r="F194" s="138">
        <v>0</v>
      </c>
      <c r="G194" s="138">
        <v>0.2</v>
      </c>
    </row>
    <row r="195" spans="1:7" x14ac:dyDescent="0.35">
      <c r="A195" s="134" t="s">
        <v>382</v>
      </c>
      <c r="B195" s="67">
        <f>_xlfn.XLOOKUP(A195,T_Custos[Produto],T_Custos[Peso])</f>
        <v>1</v>
      </c>
      <c r="C195" s="78" t="str">
        <f>_xlfn.XLOOKUP(A195,T_Custos[Produto],T_Custos[Und])</f>
        <v>und</v>
      </c>
      <c r="D195" s="81">
        <v>0</v>
      </c>
      <c r="E195" s="138">
        <v>0</v>
      </c>
      <c r="F195" s="138">
        <v>0</v>
      </c>
      <c r="G195" s="138">
        <v>0.2</v>
      </c>
    </row>
    <row r="196" spans="1:7" x14ac:dyDescent="0.35">
      <c r="A196" s="134" t="s">
        <v>425</v>
      </c>
      <c r="B196" s="67">
        <f>_xlfn.XLOOKUP(A196,T_Custos[Produto],T_Custos[Peso])</f>
        <v>1</v>
      </c>
      <c r="C196" s="78" t="str">
        <f>_xlfn.XLOOKUP(A196,T_Custos[Produto],T_Custos[Und])</f>
        <v>pc</v>
      </c>
      <c r="D196" s="72">
        <v>0.23</v>
      </c>
      <c r="E196" s="138">
        <v>0</v>
      </c>
      <c r="F196" s="138">
        <v>0</v>
      </c>
      <c r="G196" s="138">
        <v>0.5</v>
      </c>
    </row>
    <row r="197" spans="1:7" x14ac:dyDescent="0.35">
      <c r="A197" s="134" t="s">
        <v>548</v>
      </c>
      <c r="B197" s="67">
        <f>_xlfn.XLOOKUP(A197,T_Custos[Produto],T_Custos[Peso])</f>
        <v>18</v>
      </c>
      <c r="C197" s="78" t="str">
        <f>_xlfn.XLOOKUP(A197,T_Custos[Produto],T_Custos[Und])</f>
        <v>kg</v>
      </c>
      <c r="D197" s="72">
        <v>5.5</v>
      </c>
      <c r="E197" s="138">
        <v>3.8</v>
      </c>
      <c r="F197" s="138">
        <v>5.5</v>
      </c>
      <c r="G197" s="138">
        <v>3.95</v>
      </c>
    </row>
    <row r="198" spans="1:7" x14ac:dyDescent="0.35">
      <c r="A198" s="134" t="s">
        <v>79</v>
      </c>
      <c r="B198" s="67">
        <f>_xlfn.XLOOKUP(A198,T_Custos[Produto],T_Custos[Peso])</f>
        <v>18</v>
      </c>
      <c r="C198" s="78" t="str">
        <f>_xlfn.XLOOKUP(A198,T_Custos[Produto],T_Custos[Und])</f>
        <v>kg</v>
      </c>
      <c r="D198" s="72">
        <v>5.5</v>
      </c>
      <c r="E198" s="138">
        <v>3.8</v>
      </c>
      <c r="F198" s="138">
        <v>5.5</v>
      </c>
      <c r="G198" s="138">
        <v>3.95</v>
      </c>
    </row>
    <row r="199" spans="1:7" x14ac:dyDescent="0.35">
      <c r="A199" s="134" t="s">
        <v>80</v>
      </c>
      <c r="B199" s="67">
        <f>_xlfn.XLOOKUP(A199,T_Custos[Produto],T_Custos[Peso])</f>
        <v>24</v>
      </c>
      <c r="C199" s="78" t="str">
        <f>_xlfn.XLOOKUP(A199,T_Custos[Produto],T_Custos[Und])</f>
        <v>pc</v>
      </c>
      <c r="D199" s="72">
        <v>5.5</v>
      </c>
      <c r="E199" s="138">
        <v>0</v>
      </c>
      <c r="F199" s="138">
        <v>0</v>
      </c>
      <c r="G199" s="138">
        <v>3.8</v>
      </c>
    </row>
    <row r="200" spans="1:7" x14ac:dyDescent="0.35">
      <c r="A200" s="134" t="s">
        <v>81</v>
      </c>
      <c r="B200" s="67">
        <f>_xlfn.XLOOKUP(A200,T_Custos[Produto],T_Custos[Peso])</f>
        <v>18</v>
      </c>
      <c r="C200" s="78" t="str">
        <f>_xlfn.XLOOKUP(A200,T_Custos[Produto],T_Custos[Und])</f>
        <v>kg</v>
      </c>
      <c r="D200" s="72">
        <v>5.5</v>
      </c>
      <c r="E200" s="138">
        <v>3.8</v>
      </c>
      <c r="F200" s="138">
        <v>5.5</v>
      </c>
      <c r="G200" s="138">
        <v>3.95</v>
      </c>
    </row>
    <row r="201" spans="1:7" x14ac:dyDescent="0.35">
      <c r="A201" s="134" t="s">
        <v>82</v>
      </c>
      <c r="B201" s="67">
        <f>_xlfn.XLOOKUP(A201,T_Custos[Produto],T_Custos[Peso])</f>
        <v>13</v>
      </c>
      <c r="C201" s="78" t="str">
        <f>_xlfn.XLOOKUP(A201,T_Custos[Produto],T_Custos[Und])</f>
        <v>kg</v>
      </c>
      <c r="D201" s="72">
        <v>5.5</v>
      </c>
      <c r="E201" s="138">
        <v>3.8</v>
      </c>
      <c r="F201" s="138">
        <v>5.5</v>
      </c>
      <c r="G201" s="138">
        <v>3.5</v>
      </c>
    </row>
    <row r="202" spans="1:7" x14ac:dyDescent="0.35">
      <c r="A202" s="134" t="s">
        <v>83</v>
      </c>
      <c r="B202" s="67">
        <f>_xlfn.XLOOKUP(A202,T_Custos[Produto],T_Custos[Peso])</f>
        <v>10</v>
      </c>
      <c r="C202" s="78" t="str">
        <f>_xlfn.XLOOKUP(A202,T_Custos[Produto],T_Custos[Und])</f>
        <v>kg</v>
      </c>
      <c r="D202" s="72">
        <v>3.5</v>
      </c>
      <c r="E202" s="138">
        <v>2.7</v>
      </c>
      <c r="F202" s="138">
        <v>3.5</v>
      </c>
      <c r="G202" s="138">
        <v>3.5</v>
      </c>
    </row>
    <row r="203" spans="1:7" x14ac:dyDescent="0.35">
      <c r="A203" s="134" t="s">
        <v>84</v>
      </c>
      <c r="B203" s="67">
        <f>_xlfn.XLOOKUP(A203,T_Custos[Produto],T_Custos[Peso])</f>
        <v>10</v>
      </c>
      <c r="C203" s="78" t="str">
        <f>_xlfn.XLOOKUP(A203,T_Custos[Produto],T_Custos[Und])</f>
        <v>kg</v>
      </c>
      <c r="D203" s="72">
        <v>3.5</v>
      </c>
      <c r="E203" s="138">
        <v>2.7</v>
      </c>
      <c r="F203" s="138">
        <v>3.5</v>
      </c>
      <c r="G203" s="138">
        <v>3.5</v>
      </c>
    </row>
    <row r="204" spans="1:7" x14ac:dyDescent="0.35">
      <c r="A204" s="134" t="s">
        <v>383</v>
      </c>
      <c r="B204" s="67">
        <f>_xlfn.XLOOKUP(A204,T_Custos[Produto],T_Custos[Peso])</f>
        <v>1</v>
      </c>
      <c r="C204" s="78" t="str">
        <f>_xlfn.XLOOKUP(A204,T_Custos[Produto],T_Custos[Und])</f>
        <v>und</v>
      </c>
      <c r="D204" s="81">
        <v>0</v>
      </c>
      <c r="E204" s="138">
        <v>0</v>
      </c>
      <c r="F204" s="138">
        <v>0</v>
      </c>
      <c r="G204" s="138">
        <v>0.2</v>
      </c>
    </row>
    <row r="205" spans="1:7" x14ac:dyDescent="0.35">
      <c r="A205" s="134" t="s">
        <v>85</v>
      </c>
      <c r="B205" s="67">
        <f>_xlfn.XLOOKUP(A205,T_Custos[Produto],T_Custos[Peso])</f>
        <v>6</v>
      </c>
      <c r="C205" s="78" t="str">
        <f>_xlfn.XLOOKUP(A205,T_Custos[Produto],T_Custos[Und])</f>
        <v>kg</v>
      </c>
      <c r="D205" s="72">
        <v>3.5</v>
      </c>
      <c r="E205" s="138">
        <v>2.7</v>
      </c>
      <c r="F205" s="138">
        <v>3.5</v>
      </c>
      <c r="G205" s="138">
        <v>2.2000000000000002</v>
      </c>
    </row>
    <row r="206" spans="1:7" x14ac:dyDescent="0.35">
      <c r="A206" s="134" t="s">
        <v>460</v>
      </c>
      <c r="B206" s="67">
        <f>_xlfn.XLOOKUP(A206,T_Custos[Produto],T_Custos[Peso])</f>
        <v>8</v>
      </c>
      <c r="C206" s="78" t="str">
        <f>_xlfn.XLOOKUP(A206,T_Custos[Produto],T_Custos[Und])</f>
        <v>kg</v>
      </c>
      <c r="D206" s="72">
        <v>3.5</v>
      </c>
      <c r="E206" s="138">
        <v>0</v>
      </c>
      <c r="F206" s="138">
        <v>0</v>
      </c>
      <c r="G206" s="138">
        <v>2.6</v>
      </c>
    </row>
    <row r="207" spans="1:7" x14ac:dyDescent="0.35">
      <c r="A207" s="134" t="s">
        <v>86</v>
      </c>
      <c r="B207" s="67">
        <f>_xlfn.XLOOKUP(A207,T_Custos[Produto],T_Custos[Peso])</f>
        <v>1</v>
      </c>
      <c r="C207" s="78" t="str">
        <f>_xlfn.XLOOKUP(A207,T_Custos[Produto],T_Custos[Und])</f>
        <v>bd</v>
      </c>
      <c r="D207" s="72">
        <v>0.14000000000000001</v>
      </c>
      <c r="E207" s="138">
        <v>0</v>
      </c>
      <c r="F207" s="138">
        <v>0</v>
      </c>
      <c r="G207" s="138">
        <v>0.2</v>
      </c>
    </row>
    <row r="208" spans="1:7" x14ac:dyDescent="0.35">
      <c r="A208" s="134" t="s">
        <v>87</v>
      </c>
      <c r="B208" s="67">
        <f>_xlfn.XLOOKUP(A208,T_Custos[Produto],T_Custos[Peso])</f>
        <v>15</v>
      </c>
      <c r="C208" s="78" t="str">
        <f>_xlfn.XLOOKUP(A208,T_Custos[Produto],T_Custos[Und])</f>
        <v>kg</v>
      </c>
      <c r="D208" s="72">
        <v>5.5</v>
      </c>
      <c r="E208" s="138">
        <v>3.8</v>
      </c>
      <c r="F208" s="138">
        <v>5.5</v>
      </c>
      <c r="G208" s="138">
        <v>3.8</v>
      </c>
    </row>
    <row r="209" spans="1:7" x14ac:dyDescent="0.35">
      <c r="A209" s="134" t="s">
        <v>88</v>
      </c>
      <c r="B209" s="67">
        <f>_xlfn.XLOOKUP(A209,T_Custos[Produto],T_Custos[Peso])</f>
        <v>18</v>
      </c>
      <c r="C209" s="78" t="str">
        <f>_xlfn.XLOOKUP(A209,T_Custos[Produto],T_Custos[Und])</f>
        <v>kg</v>
      </c>
      <c r="D209" s="72">
        <v>5.5</v>
      </c>
      <c r="E209" s="138">
        <v>3.8</v>
      </c>
      <c r="F209" s="138">
        <v>5.5</v>
      </c>
      <c r="G209" s="138">
        <v>3.95</v>
      </c>
    </row>
    <row r="210" spans="1:7" x14ac:dyDescent="0.35">
      <c r="A210" s="134" t="s">
        <v>384</v>
      </c>
      <c r="B210" s="67">
        <f>_xlfn.XLOOKUP(A210,T_Custos[Produto],T_Custos[Peso])</f>
        <v>1</v>
      </c>
      <c r="C210" s="78" t="str">
        <f>_xlfn.XLOOKUP(A210,T_Custos[Produto],T_Custos[Und])</f>
        <v>und</v>
      </c>
      <c r="D210" s="81">
        <v>0</v>
      </c>
      <c r="E210" s="138">
        <v>0</v>
      </c>
      <c r="F210" s="138">
        <v>0</v>
      </c>
      <c r="G210" s="138">
        <v>0.2</v>
      </c>
    </row>
    <row r="211" spans="1:7" x14ac:dyDescent="0.35">
      <c r="A211" s="134" t="s">
        <v>89</v>
      </c>
      <c r="B211" s="67">
        <f>_xlfn.XLOOKUP(A211,T_Custos[Produto],T_Custos[Peso])</f>
        <v>15</v>
      </c>
      <c r="C211" s="78" t="str">
        <f>_xlfn.XLOOKUP(A211,T_Custos[Produto],T_Custos[Und])</f>
        <v>kg</v>
      </c>
      <c r="D211" s="72">
        <v>5.5</v>
      </c>
      <c r="E211" s="138">
        <v>3.8</v>
      </c>
      <c r="F211" s="138">
        <v>5.5</v>
      </c>
      <c r="G211" s="138">
        <v>3.8</v>
      </c>
    </row>
    <row r="212" spans="1:7" x14ac:dyDescent="0.35">
      <c r="A212" s="134" t="s">
        <v>206</v>
      </c>
      <c r="B212" s="67">
        <f>_xlfn.XLOOKUP(A212,T_Custos[Produto],T_Custos[Peso])</f>
        <v>1</v>
      </c>
      <c r="C212" s="78" t="str">
        <f>_xlfn.XLOOKUP(A212,T_Custos[Produto],T_Custos[Und])</f>
        <v>un</v>
      </c>
      <c r="D212" s="81">
        <v>0</v>
      </c>
      <c r="E212" s="138">
        <v>0</v>
      </c>
      <c r="F212" s="138">
        <v>0</v>
      </c>
      <c r="G212" s="138">
        <v>0.2</v>
      </c>
    </row>
    <row r="213" spans="1:7" x14ac:dyDescent="0.35">
      <c r="A213" s="134" t="s">
        <v>225</v>
      </c>
      <c r="B213" s="67">
        <f>_xlfn.XLOOKUP(A213,T_Custos[Produto],T_Custos[Peso])</f>
        <v>1</v>
      </c>
      <c r="C213" s="78" t="str">
        <f>_xlfn.XLOOKUP(A213,T_Custos[Produto],T_Custos[Und])</f>
        <v>un</v>
      </c>
      <c r="D213" s="81">
        <v>0</v>
      </c>
      <c r="E213" s="138">
        <v>0</v>
      </c>
      <c r="F213" s="138">
        <v>0</v>
      </c>
      <c r="G213" s="138">
        <v>0.2</v>
      </c>
    </row>
    <row r="214" spans="1:7" x14ac:dyDescent="0.35">
      <c r="A214" s="134" t="s">
        <v>216</v>
      </c>
      <c r="B214" s="67">
        <f>_xlfn.XLOOKUP(A214,T_Custos[Produto],T_Custos[Peso])</f>
        <v>1</v>
      </c>
      <c r="C214" s="78" t="str">
        <f>_xlfn.XLOOKUP(A214,T_Custos[Produto],T_Custos[Und])</f>
        <v>un</v>
      </c>
      <c r="D214" s="81">
        <v>0</v>
      </c>
      <c r="E214" s="138">
        <v>0</v>
      </c>
      <c r="F214" s="138">
        <v>0</v>
      </c>
      <c r="G214" s="138">
        <v>0.2</v>
      </c>
    </row>
    <row r="215" spans="1:7" x14ac:dyDescent="0.35">
      <c r="A215" s="134" t="s">
        <v>90</v>
      </c>
      <c r="B215" s="67">
        <f>_xlfn.XLOOKUP(A215,T_Custos[Produto],T_Custos[Peso])</f>
        <v>10</v>
      </c>
      <c r="C215" s="78" t="str">
        <f>_xlfn.XLOOKUP(A215,T_Custos[Produto],T_Custos[Und])</f>
        <v>kg</v>
      </c>
      <c r="D215" s="72">
        <v>3.5</v>
      </c>
      <c r="E215" s="138">
        <v>3.8</v>
      </c>
      <c r="F215" s="138">
        <v>5</v>
      </c>
      <c r="G215" s="138">
        <v>3.5</v>
      </c>
    </row>
    <row r="216" spans="1:7" x14ac:dyDescent="0.35">
      <c r="A216" s="134" t="s">
        <v>385</v>
      </c>
      <c r="B216" s="67">
        <f>_xlfn.XLOOKUP(A216,T_Custos[Produto],T_Custos[Peso])</f>
        <v>1</v>
      </c>
      <c r="C216" s="78" t="str">
        <f>_xlfn.XLOOKUP(A216,T_Custos[Produto],T_Custos[Und])</f>
        <v>und</v>
      </c>
      <c r="D216" s="81">
        <v>0</v>
      </c>
      <c r="E216" s="138">
        <v>0</v>
      </c>
      <c r="F216" s="138">
        <v>0</v>
      </c>
      <c r="G216" s="138">
        <v>0.2</v>
      </c>
    </row>
    <row r="217" spans="1:7" x14ac:dyDescent="0.35">
      <c r="A217" s="134" t="s">
        <v>91</v>
      </c>
      <c r="B217" s="67">
        <f>_xlfn.XLOOKUP(A217,T_Custos[Produto],T_Custos[Peso])</f>
        <v>10</v>
      </c>
      <c r="C217" s="78" t="str">
        <f>_xlfn.XLOOKUP(A217,T_Custos[Produto],T_Custos[Und])</f>
        <v>kg</v>
      </c>
      <c r="D217" s="72">
        <v>3.5</v>
      </c>
      <c r="E217" s="138">
        <v>0</v>
      </c>
      <c r="F217" s="138">
        <v>0</v>
      </c>
      <c r="G217" s="138">
        <v>3.5</v>
      </c>
    </row>
    <row r="218" spans="1:7" x14ac:dyDescent="0.35">
      <c r="A218" s="134" t="s">
        <v>92</v>
      </c>
      <c r="B218" s="67">
        <f>_xlfn.XLOOKUP(A218,T_Custos[Produto],T_Custos[Peso])</f>
        <v>1</v>
      </c>
      <c r="C218" s="78" t="str">
        <f>_xlfn.XLOOKUP(A218,T_Custos[Produto],T_Custos[Und])</f>
        <v>kg</v>
      </c>
      <c r="D218" s="72">
        <v>0.28000000000000003</v>
      </c>
      <c r="E218" s="138">
        <v>0.14000000000000001</v>
      </c>
      <c r="F218" s="138">
        <v>0.25</v>
      </c>
      <c r="G218" s="138">
        <v>0.2</v>
      </c>
    </row>
    <row r="219" spans="1:7" x14ac:dyDescent="0.35">
      <c r="A219" s="134" t="s">
        <v>93</v>
      </c>
      <c r="B219" s="67">
        <f>_xlfn.XLOOKUP(A219,T_Custos[Produto],T_Custos[Peso])</f>
        <v>1</v>
      </c>
      <c r="C219" s="78" t="str">
        <f>_xlfn.XLOOKUP(A219,T_Custos[Produto],T_Custos[Und])</f>
        <v>kg</v>
      </c>
      <c r="D219" s="72">
        <v>0.28000000000000003</v>
      </c>
      <c r="E219" s="138">
        <v>0</v>
      </c>
      <c r="F219" s="138">
        <v>0</v>
      </c>
      <c r="G219" s="138">
        <v>0.2</v>
      </c>
    </row>
    <row r="220" spans="1:7" x14ac:dyDescent="0.35">
      <c r="A220" s="134" t="s">
        <v>94</v>
      </c>
      <c r="B220" s="67">
        <f>_xlfn.XLOOKUP(A220,T_Custos[Produto],T_Custos[Peso])</f>
        <v>13</v>
      </c>
      <c r="C220" s="78" t="str">
        <f>_xlfn.XLOOKUP(A220,T_Custos[Produto],T_Custos[Und])</f>
        <v>kg</v>
      </c>
      <c r="D220" s="72">
        <v>5.5</v>
      </c>
      <c r="E220" s="138">
        <v>0</v>
      </c>
      <c r="F220" s="138">
        <v>0</v>
      </c>
      <c r="G220" s="138">
        <v>3.5</v>
      </c>
    </row>
    <row r="221" spans="1:7" x14ac:dyDescent="0.35">
      <c r="A221" s="134" t="s">
        <v>95</v>
      </c>
      <c r="B221" s="67">
        <f>_xlfn.XLOOKUP(A221,T_Custos[Produto],T_Custos[Peso])</f>
        <v>13</v>
      </c>
      <c r="C221" s="78" t="str">
        <f>_xlfn.XLOOKUP(A221,T_Custos[Produto],T_Custos[Und])</f>
        <v>kg</v>
      </c>
      <c r="D221" s="72">
        <v>5.5</v>
      </c>
      <c r="E221" s="138">
        <v>0</v>
      </c>
      <c r="F221" s="138">
        <v>0</v>
      </c>
      <c r="G221" s="138">
        <v>3.5</v>
      </c>
    </row>
    <row r="222" spans="1:7" x14ac:dyDescent="0.35">
      <c r="A222" s="134" t="s">
        <v>96</v>
      </c>
      <c r="B222" s="67">
        <f>_xlfn.XLOOKUP(A222,T_Custos[Produto],T_Custos[Peso])</f>
        <v>13</v>
      </c>
      <c r="C222" s="78" t="str">
        <f>_xlfn.XLOOKUP(A222,T_Custos[Produto],T_Custos[Und])</f>
        <v>kg</v>
      </c>
      <c r="D222" s="72">
        <v>5.5</v>
      </c>
      <c r="E222" s="138">
        <v>3.8</v>
      </c>
      <c r="F222" s="138">
        <v>5</v>
      </c>
      <c r="G222" s="138">
        <v>3.5</v>
      </c>
    </row>
    <row r="223" spans="1:7" x14ac:dyDescent="0.35">
      <c r="A223" s="134" t="s">
        <v>386</v>
      </c>
      <c r="B223" s="67">
        <f>_xlfn.XLOOKUP(A223,T_Custos[Produto],T_Custos[Peso])</f>
        <v>1</v>
      </c>
      <c r="C223" s="78" t="str">
        <f>_xlfn.XLOOKUP(A223,T_Custos[Produto],T_Custos[Und])</f>
        <v>und</v>
      </c>
      <c r="D223" s="81">
        <v>0</v>
      </c>
      <c r="E223" s="138">
        <v>0</v>
      </c>
      <c r="F223" s="138">
        <v>0</v>
      </c>
      <c r="G223" s="138">
        <v>0.2</v>
      </c>
    </row>
    <row r="224" spans="1:7" x14ac:dyDescent="0.35">
      <c r="A224" s="134" t="s">
        <v>97</v>
      </c>
      <c r="B224" s="67">
        <f>_xlfn.XLOOKUP(A224,T_Custos[Produto],T_Custos[Peso])</f>
        <v>14</v>
      </c>
      <c r="C224" s="78" t="str">
        <f>_xlfn.XLOOKUP(A224,T_Custos[Produto],T_Custos[Und])</f>
        <v>kg</v>
      </c>
      <c r="D224" s="72">
        <v>3.5</v>
      </c>
      <c r="E224" s="138">
        <v>3.8</v>
      </c>
      <c r="F224" s="138">
        <v>5</v>
      </c>
      <c r="G224" s="138">
        <v>3.5</v>
      </c>
    </row>
    <row r="225" spans="1:7" x14ac:dyDescent="0.35">
      <c r="A225" s="134" t="s">
        <v>98</v>
      </c>
      <c r="B225" s="67">
        <f>_xlfn.XLOOKUP(A225,T_Custos[Produto],T_Custos[Peso])</f>
        <v>10</v>
      </c>
      <c r="C225" s="78" t="str">
        <f>_xlfn.XLOOKUP(A225,T_Custos[Produto],T_Custos[Und])</f>
        <v>kg</v>
      </c>
      <c r="D225" s="72">
        <v>3.5</v>
      </c>
      <c r="E225" s="138">
        <v>3.8</v>
      </c>
      <c r="F225" s="138">
        <v>5</v>
      </c>
      <c r="G225" s="138">
        <v>3.5</v>
      </c>
    </row>
    <row r="226" spans="1:7" x14ac:dyDescent="0.35">
      <c r="A226" s="134" t="s">
        <v>99</v>
      </c>
      <c r="B226" s="67">
        <f>_xlfn.XLOOKUP(A226,T_Custos[Produto],T_Custos[Peso])</f>
        <v>6</v>
      </c>
      <c r="C226" s="78" t="str">
        <f>_xlfn.XLOOKUP(A226,T_Custos[Produto],T_Custos[Und])</f>
        <v>kg</v>
      </c>
      <c r="D226" s="72">
        <v>3.5</v>
      </c>
      <c r="E226" s="138">
        <v>3.8</v>
      </c>
      <c r="F226" s="138">
        <v>5</v>
      </c>
      <c r="G226" s="138">
        <v>2.2000000000000002</v>
      </c>
    </row>
    <row r="227" spans="1:7" x14ac:dyDescent="0.35">
      <c r="A227" s="134" t="s">
        <v>100</v>
      </c>
      <c r="B227" s="67">
        <f>_xlfn.XLOOKUP(A227,T_Custos[Produto],T_Custos[Peso])</f>
        <v>13</v>
      </c>
      <c r="C227" s="78" t="str">
        <f>_xlfn.XLOOKUP(A227,T_Custos[Produto],T_Custos[Und])</f>
        <v>kg</v>
      </c>
      <c r="D227" s="72">
        <v>5.5</v>
      </c>
      <c r="E227" s="138">
        <v>3.8</v>
      </c>
      <c r="F227" s="138">
        <v>5</v>
      </c>
      <c r="G227" s="138">
        <v>3.5</v>
      </c>
    </row>
    <row r="228" spans="1:7" x14ac:dyDescent="0.35">
      <c r="A228" s="134" t="s">
        <v>101</v>
      </c>
      <c r="B228" s="67">
        <f>_xlfn.XLOOKUP(A228,T_Custos[Produto],T_Custos[Peso])</f>
        <v>10</v>
      </c>
      <c r="C228" s="78" t="str">
        <f>_xlfn.XLOOKUP(A228,T_Custos[Produto],T_Custos[Und])</f>
        <v>kg</v>
      </c>
      <c r="D228" s="72">
        <v>3.5</v>
      </c>
      <c r="E228" s="138">
        <v>3.8</v>
      </c>
      <c r="F228" s="138">
        <v>5</v>
      </c>
      <c r="G228" s="138">
        <v>3.5</v>
      </c>
    </row>
    <row r="229" spans="1:7" x14ac:dyDescent="0.35">
      <c r="A229" s="134" t="s">
        <v>498</v>
      </c>
      <c r="B229" s="67">
        <f>_xlfn.XLOOKUP(A229,T_Custos[Produto],T_Custos[Peso])</f>
        <v>10</v>
      </c>
      <c r="C229" s="78" t="str">
        <f>_xlfn.XLOOKUP(A229,T_Custos[Produto],T_Custos[Und])</f>
        <v>kg</v>
      </c>
      <c r="D229" s="72">
        <v>3.5</v>
      </c>
      <c r="E229" s="138">
        <v>3.8</v>
      </c>
      <c r="F229" s="138">
        <v>5</v>
      </c>
      <c r="G229" s="138">
        <v>3.5</v>
      </c>
    </row>
    <row r="230" spans="1:7" x14ac:dyDescent="0.35">
      <c r="A230" s="134" t="s">
        <v>102</v>
      </c>
      <c r="B230" s="67">
        <f>_xlfn.XLOOKUP(A230,T_Custos[Produto],T_Custos[Peso])</f>
        <v>10</v>
      </c>
      <c r="C230" s="78" t="str">
        <f>_xlfn.XLOOKUP(A230,T_Custos[Produto],T_Custos[Und])</f>
        <v>kg</v>
      </c>
      <c r="D230" s="72">
        <v>3.5</v>
      </c>
      <c r="E230" s="138">
        <v>0</v>
      </c>
      <c r="F230" s="138">
        <v>0</v>
      </c>
      <c r="G230" s="138">
        <v>3.5</v>
      </c>
    </row>
    <row r="231" spans="1:7" x14ac:dyDescent="0.35">
      <c r="A231" s="134" t="s">
        <v>103</v>
      </c>
      <c r="B231" s="67">
        <f>_xlfn.XLOOKUP(A231,T_Custos[Produto],T_Custos[Peso])</f>
        <v>10</v>
      </c>
      <c r="C231" s="78" t="str">
        <f>_xlfn.XLOOKUP(A231,T_Custos[Produto],T_Custos[Und])</f>
        <v>kg</v>
      </c>
      <c r="D231" s="72">
        <v>3.5</v>
      </c>
      <c r="E231" s="138">
        <v>0</v>
      </c>
      <c r="F231" s="138">
        <v>0</v>
      </c>
      <c r="G231" s="138">
        <v>3.5</v>
      </c>
    </row>
    <row r="232" spans="1:7" x14ac:dyDescent="0.35">
      <c r="A232" s="134" t="s">
        <v>104</v>
      </c>
      <c r="B232" s="67">
        <f>_xlfn.XLOOKUP(A232,T_Custos[Produto],T_Custos[Peso])</f>
        <v>10</v>
      </c>
      <c r="C232" s="78" t="str">
        <f>_xlfn.XLOOKUP(A232,T_Custos[Produto],T_Custos[Und])</f>
        <v>bd</v>
      </c>
      <c r="D232" s="72">
        <v>5.5</v>
      </c>
      <c r="E232" s="138">
        <v>3.8</v>
      </c>
      <c r="F232" s="138">
        <v>5.5</v>
      </c>
      <c r="G232" s="138">
        <v>3</v>
      </c>
    </row>
    <row r="233" spans="1:7" x14ac:dyDescent="0.35">
      <c r="A233" s="134" t="s">
        <v>426</v>
      </c>
      <c r="B233" s="67">
        <f>_xlfn.XLOOKUP(A233,T_Custos[Produto],T_Custos[Peso])</f>
        <v>1</v>
      </c>
      <c r="C233" s="78" t="str">
        <f>_xlfn.XLOOKUP(A233,T_Custos[Produto],T_Custos[Und])</f>
        <v>bd</v>
      </c>
      <c r="D233" s="72">
        <v>0.14000000000000001</v>
      </c>
      <c r="E233" s="138">
        <v>0</v>
      </c>
      <c r="F233" s="138">
        <v>0</v>
      </c>
      <c r="G233" s="138">
        <v>0.2</v>
      </c>
    </row>
    <row r="234" spans="1:7" x14ac:dyDescent="0.35">
      <c r="A234" s="134" t="s">
        <v>105</v>
      </c>
      <c r="B234" s="67">
        <f>_xlfn.XLOOKUP(A234,T_Custos[Produto],T_Custos[Peso])</f>
        <v>15</v>
      </c>
      <c r="C234" s="78" t="str">
        <f>_xlfn.XLOOKUP(A234,T_Custos[Produto],T_Custos[Und])</f>
        <v>kg</v>
      </c>
      <c r="D234" s="72">
        <v>5.5</v>
      </c>
      <c r="E234" s="138">
        <v>3.8</v>
      </c>
      <c r="F234" s="138">
        <v>5.5</v>
      </c>
      <c r="G234" s="138">
        <v>3.8</v>
      </c>
    </row>
    <row r="235" spans="1:7" x14ac:dyDescent="0.35">
      <c r="A235" s="134" t="s">
        <v>233</v>
      </c>
      <c r="B235" s="67">
        <f>_xlfn.XLOOKUP(A235,T_Custos[Produto],T_Custos[Peso])</f>
        <v>1</v>
      </c>
      <c r="C235" s="78" t="str">
        <f>_xlfn.XLOOKUP(A235,T_Custos[Produto],T_Custos[Und])</f>
        <v>un</v>
      </c>
      <c r="D235" s="81">
        <v>0</v>
      </c>
      <c r="E235" s="138">
        <v>0</v>
      </c>
      <c r="F235" s="138">
        <v>0</v>
      </c>
      <c r="G235" s="138">
        <v>0.2</v>
      </c>
    </row>
    <row r="236" spans="1:7" x14ac:dyDescent="0.35">
      <c r="A236" s="134" t="s">
        <v>230</v>
      </c>
      <c r="B236" s="67">
        <f>_xlfn.XLOOKUP(A236,T_Custos[Produto],T_Custos[Peso])</f>
        <v>1</v>
      </c>
      <c r="C236" s="78" t="str">
        <f>_xlfn.XLOOKUP(A236,T_Custos[Produto],T_Custos[Und])</f>
        <v>un</v>
      </c>
      <c r="D236" s="81">
        <v>0</v>
      </c>
      <c r="E236" s="138">
        <v>0</v>
      </c>
      <c r="F236" s="138">
        <v>0</v>
      </c>
      <c r="G236" s="138">
        <v>0.2</v>
      </c>
    </row>
    <row r="237" spans="1:7" x14ac:dyDescent="0.35">
      <c r="A237" s="134" t="s">
        <v>106</v>
      </c>
      <c r="B237" s="67">
        <f>_xlfn.XLOOKUP(A237,T_Custos[Produto],T_Custos[Peso])</f>
        <v>1</v>
      </c>
      <c r="C237" s="78" t="str">
        <f>_xlfn.XLOOKUP(A237,T_Custos[Produto],T_Custos[Und])</f>
        <v>kg</v>
      </c>
      <c r="D237" s="72">
        <v>1.5</v>
      </c>
      <c r="E237" s="138">
        <v>0</v>
      </c>
      <c r="F237" s="138">
        <v>0</v>
      </c>
      <c r="G237" s="138">
        <v>0.2</v>
      </c>
    </row>
    <row r="238" spans="1:7" x14ac:dyDescent="0.35">
      <c r="A238" s="134" t="s">
        <v>427</v>
      </c>
      <c r="B238" s="67">
        <f>_xlfn.XLOOKUP(A238,T_Custos[Produto],T_Custos[Peso])</f>
        <v>1</v>
      </c>
      <c r="C238" s="78" t="str">
        <f>_xlfn.XLOOKUP(A238,T_Custos[Produto],T_Custos[Und])</f>
        <v>pc</v>
      </c>
      <c r="D238" s="72">
        <v>0.14000000000000001</v>
      </c>
      <c r="E238" s="138">
        <v>0</v>
      </c>
      <c r="F238" s="138">
        <v>0</v>
      </c>
      <c r="G238" s="138">
        <v>0.5</v>
      </c>
    </row>
    <row r="239" spans="1:7" x14ac:dyDescent="0.35">
      <c r="A239" s="134" t="s">
        <v>428</v>
      </c>
      <c r="B239" s="67">
        <f>_xlfn.XLOOKUP(A239,T_Custos[Produto],T_Custos[Peso])</f>
        <v>1</v>
      </c>
      <c r="C239" s="78" t="str">
        <f>_xlfn.XLOOKUP(A239,T_Custos[Produto],T_Custos[Und])</f>
        <v>pc</v>
      </c>
      <c r="D239" s="72">
        <v>0.14000000000000001</v>
      </c>
      <c r="E239" s="138">
        <v>0</v>
      </c>
      <c r="F239" s="138">
        <v>0</v>
      </c>
      <c r="G239" s="138">
        <v>0.5</v>
      </c>
    </row>
    <row r="240" spans="1:7" x14ac:dyDescent="0.35">
      <c r="A240" s="134" t="s">
        <v>107</v>
      </c>
      <c r="B240" s="67">
        <f>_xlfn.XLOOKUP(A240,T_Custos[Produto],T_Custos[Peso])</f>
        <v>4</v>
      </c>
      <c r="C240" s="78" t="str">
        <f>_xlfn.XLOOKUP(A240,T_Custos[Produto],T_Custos[Und])</f>
        <v>bd</v>
      </c>
      <c r="D240" s="72">
        <v>1.5</v>
      </c>
      <c r="E240" s="138">
        <v>1.7</v>
      </c>
      <c r="F240" s="138">
        <v>1.8</v>
      </c>
      <c r="G240" s="138">
        <v>1.8</v>
      </c>
    </row>
    <row r="241" spans="1:7" x14ac:dyDescent="0.35">
      <c r="A241" s="134" t="s">
        <v>108</v>
      </c>
      <c r="B241" s="67">
        <f>_xlfn.XLOOKUP(A241,T_Custos[Produto],T_Custos[Peso])</f>
        <v>10</v>
      </c>
      <c r="C241" s="78" t="str">
        <f>_xlfn.XLOOKUP(A241,T_Custos[Produto],T_Custos[Und])</f>
        <v>kg</v>
      </c>
      <c r="D241" s="72">
        <v>5.5</v>
      </c>
      <c r="E241" s="138">
        <v>0</v>
      </c>
      <c r="F241" s="138">
        <v>0</v>
      </c>
      <c r="G241" s="138">
        <v>3.5</v>
      </c>
    </row>
    <row r="242" spans="1:7" x14ac:dyDescent="0.35">
      <c r="A242" s="134" t="s">
        <v>207</v>
      </c>
      <c r="B242" s="67">
        <f>_xlfn.XLOOKUP(A242,T_Custos[Produto],T_Custos[Peso])</f>
        <v>1</v>
      </c>
      <c r="C242" s="78" t="str">
        <f>_xlfn.XLOOKUP(A242,T_Custos[Produto],T_Custos[Und])</f>
        <v>un</v>
      </c>
      <c r="D242" s="81">
        <v>0</v>
      </c>
      <c r="E242" s="138">
        <v>0</v>
      </c>
      <c r="F242" s="138">
        <v>0</v>
      </c>
      <c r="G242" s="138">
        <v>0.2</v>
      </c>
    </row>
    <row r="243" spans="1:7" x14ac:dyDescent="0.35">
      <c r="A243" s="134" t="s">
        <v>109</v>
      </c>
      <c r="B243" s="67">
        <f>_xlfn.XLOOKUP(A243,T_Custos[Produto],T_Custos[Peso])</f>
        <v>2</v>
      </c>
      <c r="C243" s="78" t="str">
        <f>_xlfn.XLOOKUP(A243,T_Custos[Produto],T_Custos[Und])</f>
        <v>kg</v>
      </c>
      <c r="D243" s="72">
        <v>1.5</v>
      </c>
      <c r="E243" s="138">
        <v>0</v>
      </c>
      <c r="F243" s="138">
        <v>0</v>
      </c>
      <c r="G243" s="138">
        <v>1.5</v>
      </c>
    </row>
    <row r="244" spans="1:7" x14ac:dyDescent="0.35">
      <c r="A244" s="134" t="s">
        <v>110</v>
      </c>
      <c r="B244" s="67">
        <f>_xlfn.XLOOKUP(A244,T_Custos[Produto],T_Custos[Peso])</f>
        <v>1</v>
      </c>
      <c r="C244" s="78" t="str">
        <f>_xlfn.XLOOKUP(A244,T_Custos[Produto],T_Custos[Und])</f>
        <v>un</v>
      </c>
      <c r="D244" s="81">
        <v>0</v>
      </c>
      <c r="E244" s="138">
        <v>0</v>
      </c>
      <c r="F244" s="138">
        <v>0</v>
      </c>
      <c r="G244" s="138">
        <v>0.2</v>
      </c>
    </row>
    <row r="245" spans="1:7" x14ac:dyDescent="0.35">
      <c r="A245" s="134" t="s">
        <v>111</v>
      </c>
      <c r="B245" s="67">
        <f>_xlfn.XLOOKUP(A245,T_Custos[Produto],T_Custos[Peso])</f>
        <v>16</v>
      </c>
      <c r="C245" s="78" t="str">
        <f>_xlfn.XLOOKUP(A245,T_Custos[Produto],T_Custos[Und])</f>
        <v>kg</v>
      </c>
      <c r="D245" s="72">
        <v>5.5</v>
      </c>
      <c r="E245" s="138">
        <v>0</v>
      </c>
      <c r="F245" s="138">
        <v>0</v>
      </c>
      <c r="G245" s="138">
        <v>3.8</v>
      </c>
    </row>
    <row r="246" spans="1:7" x14ac:dyDescent="0.35">
      <c r="A246" s="134" t="s">
        <v>112</v>
      </c>
      <c r="B246" s="67">
        <f>_xlfn.XLOOKUP(A246,T_Custos[Produto],T_Custos[Peso])</f>
        <v>8</v>
      </c>
      <c r="C246" s="78" t="str">
        <f>_xlfn.XLOOKUP(A246,T_Custos[Produto],T_Custos[Und])</f>
        <v>kg</v>
      </c>
      <c r="D246" s="72">
        <v>3.5</v>
      </c>
      <c r="E246" s="138">
        <v>2.7</v>
      </c>
      <c r="F246" s="138">
        <v>3.5</v>
      </c>
      <c r="G246" s="138">
        <v>2.6</v>
      </c>
    </row>
    <row r="247" spans="1:7" x14ac:dyDescent="0.35">
      <c r="A247" s="134" t="s">
        <v>113</v>
      </c>
      <c r="B247" s="67">
        <f>_xlfn.XLOOKUP(A247,T_Custos[Produto],T_Custos[Peso])</f>
        <v>8</v>
      </c>
      <c r="C247" s="78" t="str">
        <f>_xlfn.XLOOKUP(A247,T_Custos[Produto],T_Custos[Und])</f>
        <v>kg</v>
      </c>
      <c r="D247" s="72">
        <v>3.5</v>
      </c>
      <c r="E247" s="138">
        <v>0</v>
      </c>
      <c r="F247" s="138">
        <v>0</v>
      </c>
      <c r="G247" s="138">
        <v>2.6</v>
      </c>
    </row>
    <row r="248" spans="1:7" x14ac:dyDescent="0.35">
      <c r="A248" s="134" t="s">
        <v>221</v>
      </c>
      <c r="B248" s="67">
        <f>_xlfn.XLOOKUP(A248,T_Custos[Produto],T_Custos[Peso])</f>
        <v>1</v>
      </c>
      <c r="C248" s="78" t="str">
        <f>_xlfn.XLOOKUP(A248,T_Custos[Produto],T_Custos[Und])</f>
        <v>kg</v>
      </c>
      <c r="D248" s="72">
        <v>1.5</v>
      </c>
      <c r="E248" s="138">
        <v>0</v>
      </c>
      <c r="F248" s="138">
        <v>0</v>
      </c>
      <c r="G248" s="138">
        <v>0.2</v>
      </c>
    </row>
    <row r="249" spans="1:7" x14ac:dyDescent="0.35">
      <c r="A249" s="134" t="s">
        <v>218</v>
      </c>
      <c r="B249" s="67">
        <f>_xlfn.XLOOKUP(A249,T_Custos[Produto],T_Custos[Peso])</f>
        <v>1</v>
      </c>
      <c r="C249" s="78" t="str">
        <f>_xlfn.XLOOKUP(A249,T_Custos[Produto],T_Custos[Und])</f>
        <v>un</v>
      </c>
      <c r="D249" s="81">
        <v>0</v>
      </c>
      <c r="E249" s="138">
        <v>0</v>
      </c>
      <c r="F249" s="138">
        <v>0</v>
      </c>
      <c r="G249" s="138">
        <v>0.2</v>
      </c>
    </row>
    <row r="250" spans="1:7" x14ac:dyDescent="0.35">
      <c r="A250" s="134" t="s">
        <v>114</v>
      </c>
      <c r="B250" s="67">
        <f>_xlfn.XLOOKUP(A250,T_Custos[Produto],T_Custos[Peso])</f>
        <v>10</v>
      </c>
      <c r="C250" s="78" t="str">
        <f>_xlfn.XLOOKUP(A250,T_Custos[Produto],T_Custos[Und])</f>
        <v>un</v>
      </c>
      <c r="D250" s="72">
        <v>5.5</v>
      </c>
      <c r="E250" s="138">
        <v>3</v>
      </c>
      <c r="F250" s="138">
        <v>3</v>
      </c>
      <c r="G250" s="138">
        <v>3.8</v>
      </c>
    </row>
    <row r="251" spans="1:7" x14ac:dyDescent="0.35">
      <c r="A251" s="134" t="s">
        <v>115</v>
      </c>
      <c r="B251" s="67">
        <f>_xlfn.XLOOKUP(A251,T_Custos[Produto],T_Custos[Peso])</f>
        <v>12</v>
      </c>
      <c r="C251" s="78" t="str">
        <f>_xlfn.XLOOKUP(A251,T_Custos[Produto],T_Custos[Und])</f>
        <v>un</v>
      </c>
      <c r="D251" s="72">
        <v>5.5</v>
      </c>
      <c r="E251" s="138">
        <v>0</v>
      </c>
      <c r="F251" s="138">
        <v>0</v>
      </c>
      <c r="G251" s="138">
        <v>3.8</v>
      </c>
    </row>
    <row r="252" spans="1:7" x14ac:dyDescent="0.35">
      <c r="A252" s="134" t="s">
        <v>117</v>
      </c>
      <c r="B252" s="67">
        <f>_xlfn.XLOOKUP(A252,T_Custos[Produto],T_Custos[Peso])</f>
        <v>20</v>
      </c>
      <c r="C252" s="78" t="str">
        <f>_xlfn.XLOOKUP(A252,T_Custos[Produto],T_Custos[Und])</f>
        <v>dz</v>
      </c>
      <c r="D252" s="72">
        <v>5.5</v>
      </c>
      <c r="E252" s="138">
        <v>0</v>
      </c>
      <c r="F252" s="138">
        <v>0</v>
      </c>
      <c r="G252" s="138">
        <v>3.8</v>
      </c>
    </row>
    <row r="253" spans="1:7" x14ac:dyDescent="0.35">
      <c r="A253" s="134" t="s">
        <v>116</v>
      </c>
      <c r="B253" s="67">
        <f>_xlfn.XLOOKUP(A253,T_Custos[Produto],T_Custos[Peso])</f>
        <v>20</v>
      </c>
      <c r="C253" s="78" t="str">
        <f>_xlfn.XLOOKUP(A253,T_Custos[Produto],T_Custos[Und])</f>
        <v>dz</v>
      </c>
      <c r="D253" s="72">
        <v>5.5</v>
      </c>
      <c r="E253" s="138">
        <v>2.85</v>
      </c>
      <c r="F253" s="138">
        <v>3</v>
      </c>
      <c r="G253" s="138">
        <v>3.8</v>
      </c>
    </row>
    <row r="254" spans="1:7" x14ac:dyDescent="0.35">
      <c r="A254" s="134" t="s">
        <v>118</v>
      </c>
      <c r="B254" s="67">
        <f>_xlfn.XLOOKUP(A254,T_Custos[Produto],T_Custos[Peso])</f>
        <v>1</v>
      </c>
      <c r="C254" s="78" t="str">
        <f>_xlfn.XLOOKUP(A254,T_Custos[Produto],T_Custos[Und])</f>
        <v>pc</v>
      </c>
      <c r="D254" s="72">
        <v>1.5</v>
      </c>
      <c r="E254" s="138">
        <v>0</v>
      </c>
      <c r="F254" s="138">
        <v>0</v>
      </c>
      <c r="G254" s="138">
        <v>2.5</v>
      </c>
    </row>
    <row r="255" spans="1:7" x14ac:dyDescent="0.35">
      <c r="A255" s="134" t="s">
        <v>119</v>
      </c>
      <c r="B255" s="67">
        <f>_xlfn.XLOOKUP(A255,T_Custos[Produto],T_Custos[Peso])</f>
        <v>15</v>
      </c>
      <c r="C255" s="78" t="str">
        <f>_xlfn.XLOOKUP(A255,T_Custos[Produto],T_Custos[Und])</f>
        <v>dz</v>
      </c>
      <c r="D255" s="72">
        <v>5.5</v>
      </c>
      <c r="E255" s="138">
        <v>0</v>
      </c>
      <c r="F255" s="138">
        <v>0</v>
      </c>
      <c r="G255" s="138">
        <v>3.8</v>
      </c>
    </row>
    <row r="256" spans="1:7" x14ac:dyDescent="0.35">
      <c r="A256" s="134" t="s">
        <v>120</v>
      </c>
      <c r="B256" s="67">
        <f>_xlfn.XLOOKUP(A256,T_Custos[Produto],T_Custos[Peso])</f>
        <v>20</v>
      </c>
      <c r="C256" s="78" t="str">
        <f>_xlfn.XLOOKUP(A256,T_Custos[Produto],T_Custos[Und])</f>
        <v>dz</v>
      </c>
      <c r="D256" s="72">
        <v>5.5</v>
      </c>
      <c r="E256" s="138">
        <v>3</v>
      </c>
      <c r="F256" s="138">
        <v>5.5</v>
      </c>
      <c r="G256" s="138">
        <v>3.8</v>
      </c>
    </row>
    <row r="257" spans="1:7" x14ac:dyDescent="0.35">
      <c r="A257" s="134" t="s">
        <v>121</v>
      </c>
      <c r="B257" s="67">
        <f>_xlfn.XLOOKUP(A257,T_Custos[Produto],T_Custos[Peso])</f>
        <v>30</v>
      </c>
      <c r="C257" s="78" t="str">
        <f>_xlfn.XLOOKUP(A257,T_Custos[Produto],T_Custos[Und])</f>
        <v>dz</v>
      </c>
      <c r="D257" s="72">
        <v>5.5</v>
      </c>
      <c r="E257" s="138">
        <v>0</v>
      </c>
      <c r="F257" s="138">
        <v>0</v>
      </c>
      <c r="G257" s="138">
        <v>3.8</v>
      </c>
    </row>
    <row r="258" spans="1:7" x14ac:dyDescent="0.35">
      <c r="A258" s="134" t="s">
        <v>554</v>
      </c>
      <c r="B258" s="67">
        <f>_xlfn.XLOOKUP(A258,T_Custos[Produto],T_Custos[Peso])</f>
        <v>10</v>
      </c>
      <c r="C258" s="78" t="str">
        <f>_xlfn.XLOOKUP(A258,T_Custos[Produto],T_Custos[Und])</f>
        <v>un</v>
      </c>
      <c r="D258" s="72">
        <v>5.5</v>
      </c>
      <c r="E258" s="138">
        <v>0</v>
      </c>
      <c r="F258" s="138">
        <v>0</v>
      </c>
      <c r="G258" s="138">
        <v>3.8</v>
      </c>
    </row>
    <row r="259" spans="1:7" x14ac:dyDescent="0.35">
      <c r="A259" s="134" t="s">
        <v>122</v>
      </c>
      <c r="B259" s="67">
        <f>_xlfn.XLOOKUP(A259,T_Custos[Produto],T_Custos[Peso])</f>
        <v>10</v>
      </c>
      <c r="C259" s="78" t="str">
        <f>_xlfn.XLOOKUP(A259,T_Custos[Produto],T_Custos[Und])</f>
        <v>un</v>
      </c>
      <c r="D259" s="72">
        <v>5.5</v>
      </c>
      <c r="E259" s="138">
        <v>0</v>
      </c>
      <c r="F259" s="138">
        <v>0</v>
      </c>
      <c r="G259" s="138">
        <v>3.8</v>
      </c>
    </row>
    <row r="260" spans="1:7" x14ac:dyDescent="0.35">
      <c r="A260" s="134" t="s">
        <v>123</v>
      </c>
      <c r="B260" s="67">
        <f>_xlfn.XLOOKUP(A260,T_Custos[Produto],T_Custos[Peso])</f>
        <v>1</v>
      </c>
      <c r="C260" s="78" t="str">
        <f>_xlfn.XLOOKUP(A260,T_Custos[Produto],T_Custos[Und])</f>
        <v>dz</v>
      </c>
      <c r="D260" s="72">
        <v>0.28000000000000003</v>
      </c>
      <c r="E260" s="138">
        <v>0</v>
      </c>
      <c r="F260" s="138">
        <v>0</v>
      </c>
      <c r="G260" s="138">
        <v>0.2</v>
      </c>
    </row>
    <row r="261" spans="1:7" x14ac:dyDescent="0.35">
      <c r="A261" s="134" t="s">
        <v>124</v>
      </c>
      <c r="B261" s="67">
        <f>_xlfn.XLOOKUP(A261,T_Custos[Produto],T_Custos[Peso])</f>
        <v>1</v>
      </c>
      <c r="C261" s="78" t="str">
        <f>_xlfn.XLOOKUP(A261,T_Custos[Produto],T_Custos[Und])</f>
        <v>dz</v>
      </c>
      <c r="D261" s="72">
        <v>0.28000000000000003</v>
      </c>
      <c r="E261" s="138">
        <v>0</v>
      </c>
      <c r="F261" s="138">
        <v>0</v>
      </c>
      <c r="G261" s="138">
        <v>0.2</v>
      </c>
    </row>
    <row r="262" spans="1:7" x14ac:dyDescent="0.35">
      <c r="A262" s="134" t="s">
        <v>125</v>
      </c>
      <c r="B262" s="67">
        <f>_xlfn.XLOOKUP(A262,T_Custos[Produto],T_Custos[Peso])</f>
        <v>1</v>
      </c>
      <c r="C262" s="78" t="str">
        <f>_xlfn.XLOOKUP(A262,T_Custos[Produto],T_Custos[Und])</f>
        <v>dz</v>
      </c>
      <c r="D262" s="72">
        <v>0.28000000000000003</v>
      </c>
      <c r="E262" s="138">
        <v>0</v>
      </c>
      <c r="F262" s="138">
        <v>0</v>
      </c>
      <c r="G262" s="138">
        <v>0.2</v>
      </c>
    </row>
    <row r="263" spans="1:7" x14ac:dyDescent="0.35">
      <c r="A263" s="134" t="s">
        <v>126</v>
      </c>
      <c r="B263" s="67">
        <f>_xlfn.XLOOKUP(A263,T_Custos[Produto],T_Custos[Peso])</f>
        <v>1</v>
      </c>
      <c r="C263" s="78" t="str">
        <f>_xlfn.XLOOKUP(A263,T_Custos[Produto],T_Custos[Und])</f>
        <v>dz</v>
      </c>
      <c r="D263" s="72">
        <v>0.28000000000000003</v>
      </c>
      <c r="E263" s="138">
        <v>0</v>
      </c>
      <c r="F263" s="138">
        <v>0</v>
      </c>
      <c r="G263" s="138">
        <v>0.2</v>
      </c>
    </row>
    <row r="264" spans="1:7" x14ac:dyDescent="0.35">
      <c r="A264" s="134" t="s">
        <v>127</v>
      </c>
      <c r="B264" s="67">
        <f>_xlfn.XLOOKUP(A264,T_Custos[Produto],T_Custos[Peso])</f>
        <v>1</v>
      </c>
      <c r="C264" s="78" t="str">
        <f>_xlfn.XLOOKUP(A264,T_Custos[Produto],T_Custos[Und])</f>
        <v>pc</v>
      </c>
      <c r="D264" s="72">
        <v>0.14000000000000001</v>
      </c>
      <c r="E264" s="138">
        <v>0</v>
      </c>
      <c r="F264" s="138">
        <v>0</v>
      </c>
      <c r="G264" s="138">
        <v>2.5</v>
      </c>
    </row>
    <row r="265" spans="1:7" x14ac:dyDescent="0.35">
      <c r="A265" s="134" t="s">
        <v>128</v>
      </c>
      <c r="B265" s="67">
        <f>_xlfn.XLOOKUP(A265,T_Custos[Produto],T_Custos[Peso])</f>
        <v>30</v>
      </c>
      <c r="C265" s="78" t="str">
        <f>_xlfn.XLOOKUP(A265,T_Custos[Produto],T_Custos[Und])</f>
        <v>dz</v>
      </c>
      <c r="D265" s="72">
        <v>5.5</v>
      </c>
      <c r="E265" s="138">
        <v>0</v>
      </c>
      <c r="F265" s="138">
        <v>0</v>
      </c>
      <c r="G265" s="138">
        <v>3.8</v>
      </c>
    </row>
    <row r="266" spans="1:7" x14ac:dyDescent="0.35">
      <c r="A266" s="134" t="s">
        <v>129</v>
      </c>
      <c r="B266" s="67">
        <f>_xlfn.XLOOKUP(A266,T_Custos[Produto],T_Custos[Peso])</f>
        <v>1</v>
      </c>
      <c r="C266" s="78" t="str">
        <f>_xlfn.XLOOKUP(A266,T_Custos[Produto],T_Custos[Und])</f>
        <v>bd</v>
      </c>
      <c r="D266" s="72">
        <v>0.14000000000000001</v>
      </c>
      <c r="E266" s="138">
        <v>0</v>
      </c>
      <c r="F266" s="138">
        <v>0</v>
      </c>
      <c r="G266" s="138">
        <v>0.2</v>
      </c>
    </row>
    <row r="267" spans="1:7" x14ac:dyDescent="0.35">
      <c r="A267" s="134" t="s">
        <v>130</v>
      </c>
      <c r="B267" s="67">
        <f>_xlfn.XLOOKUP(A267,T_Custos[Produto],T_Custos[Peso])</f>
        <v>18</v>
      </c>
      <c r="C267" s="78" t="str">
        <f>_xlfn.XLOOKUP(A267,T_Custos[Produto],T_Custos[Und])</f>
        <v>kg</v>
      </c>
      <c r="D267" s="72">
        <v>5.5</v>
      </c>
      <c r="E267" s="138">
        <v>3.8</v>
      </c>
      <c r="F267" s="138">
        <v>5.5</v>
      </c>
      <c r="G267" s="138">
        <v>3.95</v>
      </c>
    </row>
    <row r="268" spans="1:7" x14ac:dyDescent="0.35">
      <c r="A268" s="134" t="s">
        <v>131</v>
      </c>
      <c r="B268" s="67">
        <f>_xlfn.XLOOKUP(A268,T_Custos[Produto],T_Custos[Peso])</f>
        <v>18</v>
      </c>
      <c r="C268" s="78" t="str">
        <f>_xlfn.XLOOKUP(A268,T_Custos[Produto],T_Custos[Und])</f>
        <v>kg</v>
      </c>
      <c r="D268" s="72">
        <v>5.5</v>
      </c>
      <c r="E268" s="138">
        <v>3.8</v>
      </c>
      <c r="F268" s="138">
        <v>5.5</v>
      </c>
      <c r="G268" s="138">
        <v>3.95</v>
      </c>
    </row>
    <row r="269" spans="1:7" x14ac:dyDescent="0.35">
      <c r="A269" s="134" t="s">
        <v>387</v>
      </c>
      <c r="B269" s="67">
        <f>_xlfn.XLOOKUP(A269,T_Custos[Produto],T_Custos[Peso])</f>
        <v>1</v>
      </c>
      <c r="C269" s="78" t="str">
        <f>_xlfn.XLOOKUP(A269,T_Custos[Produto],T_Custos[Und])</f>
        <v>und</v>
      </c>
      <c r="D269" s="81">
        <v>0</v>
      </c>
      <c r="E269" s="138">
        <v>0</v>
      </c>
      <c r="F269" s="138">
        <v>0</v>
      </c>
      <c r="G269" s="138">
        <v>0.2</v>
      </c>
    </row>
    <row r="270" spans="1:7" x14ac:dyDescent="0.35">
      <c r="A270" s="134" t="s">
        <v>132</v>
      </c>
      <c r="B270" s="67">
        <f>_xlfn.XLOOKUP(A270,T_Custos[Produto],T_Custos[Peso])</f>
        <v>10</v>
      </c>
      <c r="C270" s="78" t="str">
        <f>_xlfn.XLOOKUP(A270,T_Custos[Produto],T_Custos[Und])</f>
        <v>kg</v>
      </c>
      <c r="D270" s="72">
        <v>3.5</v>
      </c>
      <c r="E270" s="138">
        <v>3.8</v>
      </c>
      <c r="F270" s="138">
        <v>5.5</v>
      </c>
      <c r="G270" s="138">
        <v>3.5</v>
      </c>
    </row>
    <row r="271" spans="1:7" x14ac:dyDescent="0.35">
      <c r="A271" s="134" t="s">
        <v>468</v>
      </c>
      <c r="B271" s="67">
        <f>_xlfn.XLOOKUP(A271,T_Custos[Produto],T_Custos[Peso])</f>
        <v>1</v>
      </c>
      <c r="C271" s="78" t="str">
        <f>_xlfn.XLOOKUP(A271,T_Custos[Produto],T_Custos[Und])</f>
        <v>kg</v>
      </c>
      <c r="D271" s="89">
        <v>1.5</v>
      </c>
      <c r="E271" s="138">
        <v>3.8</v>
      </c>
      <c r="F271" s="138">
        <v>5.5</v>
      </c>
      <c r="G271" s="138">
        <v>0.2</v>
      </c>
    </row>
    <row r="272" spans="1:7" x14ac:dyDescent="0.35">
      <c r="A272" s="134" t="s">
        <v>467</v>
      </c>
      <c r="B272" s="67">
        <f>_xlfn.XLOOKUP(A272,T_Custos[Produto],T_Custos[Peso])</f>
        <v>18</v>
      </c>
      <c r="C272" s="78" t="str">
        <f>_xlfn.XLOOKUP(A272,T_Custos[Produto],T_Custos[Und])</f>
        <v>kg</v>
      </c>
      <c r="D272" s="89">
        <v>5.5</v>
      </c>
      <c r="E272" s="138">
        <v>3.8</v>
      </c>
      <c r="F272" s="138">
        <v>5.5</v>
      </c>
      <c r="G272" s="138">
        <v>3.95</v>
      </c>
    </row>
    <row r="273" spans="1:7" x14ac:dyDescent="0.35">
      <c r="A273" s="134" t="s">
        <v>133</v>
      </c>
      <c r="B273" s="67">
        <f>_xlfn.XLOOKUP(A273,T_Custos[Produto],T_Custos[Peso])</f>
        <v>9</v>
      </c>
      <c r="C273" s="78" t="str">
        <f>_xlfn.XLOOKUP(A273,T_Custos[Produto],T_Custos[Und])</f>
        <v>kg</v>
      </c>
      <c r="D273" s="72">
        <v>3.5</v>
      </c>
      <c r="E273" s="138">
        <v>3.8</v>
      </c>
      <c r="F273" s="138">
        <v>5.5</v>
      </c>
      <c r="G273" s="138">
        <v>2.8</v>
      </c>
    </row>
    <row r="274" spans="1:7" x14ac:dyDescent="0.35">
      <c r="A274" s="134" t="s">
        <v>388</v>
      </c>
      <c r="B274" s="67">
        <f>_xlfn.XLOOKUP(A274,T_Custos[Produto],T_Custos[Peso])</f>
        <v>1</v>
      </c>
      <c r="C274" s="78" t="str">
        <f>_xlfn.XLOOKUP(A274,T_Custos[Produto],T_Custos[Und])</f>
        <v>und</v>
      </c>
      <c r="D274" s="81">
        <v>0</v>
      </c>
      <c r="E274" s="138">
        <v>0</v>
      </c>
      <c r="F274" s="138">
        <v>0</v>
      </c>
      <c r="G274" s="138">
        <v>0.2</v>
      </c>
    </row>
    <row r="275" spans="1:7" x14ac:dyDescent="0.35">
      <c r="A275" s="134" t="s">
        <v>134</v>
      </c>
      <c r="B275" s="67">
        <f>_xlfn.XLOOKUP(A275,T_Custos[Produto],T_Custos[Peso])</f>
        <v>18</v>
      </c>
      <c r="C275" s="78" t="str">
        <f>_xlfn.XLOOKUP(A275,T_Custos[Produto],T_Custos[Und])</f>
        <v>kg</v>
      </c>
      <c r="D275" s="72">
        <v>5.5</v>
      </c>
      <c r="E275" s="138">
        <v>3.8</v>
      </c>
      <c r="F275" s="138">
        <v>5.5</v>
      </c>
      <c r="G275" s="138">
        <v>3.95</v>
      </c>
    </row>
    <row r="276" spans="1:7" x14ac:dyDescent="0.35">
      <c r="A276" s="134" t="s">
        <v>135</v>
      </c>
      <c r="B276" s="67">
        <f>_xlfn.XLOOKUP(A276,T_Custos[Produto],T_Custos[Peso])</f>
        <v>18</v>
      </c>
      <c r="C276" s="78" t="str">
        <f>_xlfn.XLOOKUP(A276,T_Custos[Produto],T_Custos[Und])</f>
        <v>kg</v>
      </c>
      <c r="D276" s="72">
        <v>5.5</v>
      </c>
      <c r="E276" s="138">
        <v>3.8</v>
      </c>
      <c r="F276" s="138">
        <v>5.5</v>
      </c>
      <c r="G276" s="138">
        <v>3.95</v>
      </c>
    </row>
    <row r="277" spans="1:7" x14ac:dyDescent="0.35">
      <c r="A277" s="134" t="s">
        <v>136</v>
      </c>
      <c r="B277" s="67">
        <f>_xlfn.XLOOKUP(A277,T_Custos[Produto],T_Custos[Peso])</f>
        <v>8</v>
      </c>
      <c r="C277" s="78" t="str">
        <f>_xlfn.XLOOKUP(A277,T_Custos[Produto],T_Custos[Und])</f>
        <v>kg</v>
      </c>
      <c r="D277" s="72">
        <v>3.5</v>
      </c>
      <c r="E277" s="138">
        <v>2.7</v>
      </c>
      <c r="F277" s="138">
        <v>3.5</v>
      </c>
      <c r="G277" s="138">
        <v>2.6</v>
      </c>
    </row>
    <row r="278" spans="1:7" x14ac:dyDescent="0.35">
      <c r="A278" s="134" t="s">
        <v>137</v>
      </c>
      <c r="B278" s="67">
        <f>_xlfn.XLOOKUP(A278,T_Custos[Produto],T_Custos[Peso])</f>
        <v>6</v>
      </c>
      <c r="C278" s="78" t="str">
        <f>_xlfn.XLOOKUP(A278,T_Custos[Produto],T_Custos[Und])</f>
        <v>kg</v>
      </c>
      <c r="D278" s="72">
        <v>3.5</v>
      </c>
      <c r="E278" s="138">
        <v>2.7</v>
      </c>
      <c r="F278" s="138">
        <v>3.5</v>
      </c>
      <c r="G278" s="138">
        <v>2.2000000000000002</v>
      </c>
    </row>
    <row r="279" spans="1:7" x14ac:dyDescent="0.35">
      <c r="A279" s="134" t="s">
        <v>501</v>
      </c>
      <c r="B279" s="67">
        <f>_xlfn.XLOOKUP(A279,T_Custos[Produto],T_Custos[Peso])</f>
        <v>1</v>
      </c>
      <c r="C279" s="78" t="str">
        <f>_xlfn.XLOOKUP(A279,T_Custos[Produto],T_Custos[Und])</f>
        <v>bd</v>
      </c>
      <c r="D279" s="89">
        <v>0</v>
      </c>
      <c r="E279" s="138">
        <v>0</v>
      </c>
      <c r="F279" s="138">
        <v>0</v>
      </c>
      <c r="G279" s="138">
        <v>0.2</v>
      </c>
    </row>
    <row r="280" spans="1:7" x14ac:dyDescent="0.35">
      <c r="A280" s="134" t="s">
        <v>138</v>
      </c>
      <c r="B280" s="67">
        <f>_xlfn.XLOOKUP(A280,T_Custos[Produto],T_Custos[Peso])</f>
        <v>1</v>
      </c>
      <c r="C280" s="78" t="str">
        <f>_xlfn.XLOOKUP(A280,T_Custos[Produto],T_Custos[Und])</f>
        <v>kg</v>
      </c>
      <c r="D280" s="72">
        <v>1.5</v>
      </c>
      <c r="E280" s="138">
        <v>0</v>
      </c>
      <c r="F280" s="138">
        <v>0</v>
      </c>
      <c r="G280" s="138">
        <v>0.2</v>
      </c>
    </row>
    <row r="281" spans="1:7" x14ac:dyDescent="0.35">
      <c r="A281" s="134" t="s">
        <v>139</v>
      </c>
      <c r="B281" s="67">
        <f>_xlfn.XLOOKUP(A281,T_Custos[Produto],T_Custos[Peso])</f>
        <v>1</v>
      </c>
      <c r="C281" s="78" t="str">
        <f>_xlfn.XLOOKUP(A281,T_Custos[Produto],T_Custos[Und])</f>
        <v>kg</v>
      </c>
      <c r="D281" s="72">
        <v>1.5</v>
      </c>
      <c r="E281" s="138">
        <v>0</v>
      </c>
      <c r="F281" s="138">
        <v>0</v>
      </c>
      <c r="G281" s="138">
        <v>0.2</v>
      </c>
    </row>
    <row r="282" spans="1:7" x14ac:dyDescent="0.35">
      <c r="A282" s="134" t="s">
        <v>140</v>
      </c>
      <c r="B282" s="67">
        <f>_xlfn.XLOOKUP(A282,T_Custos[Produto],T_Custos[Peso])</f>
        <v>1</v>
      </c>
      <c r="C282" s="78" t="str">
        <f>_xlfn.XLOOKUP(A282,T_Custos[Produto],T_Custos[Und])</f>
        <v>kg</v>
      </c>
      <c r="D282" s="72">
        <v>1.5</v>
      </c>
      <c r="E282" s="138">
        <v>0</v>
      </c>
      <c r="F282" s="138">
        <v>0</v>
      </c>
      <c r="G282" s="138">
        <v>0.2</v>
      </c>
    </row>
    <row r="283" spans="1:7" x14ac:dyDescent="0.35">
      <c r="A283" s="134" t="s">
        <v>141</v>
      </c>
      <c r="B283" s="67">
        <f>_xlfn.XLOOKUP(A283,T_Custos[Produto],T_Custos[Peso])</f>
        <v>1</v>
      </c>
      <c r="C283" s="78" t="str">
        <f>_xlfn.XLOOKUP(A283,T_Custos[Produto],T_Custos[Und])</f>
        <v>kg</v>
      </c>
      <c r="D283" s="72">
        <v>1.5</v>
      </c>
      <c r="E283" s="138">
        <v>0</v>
      </c>
      <c r="F283" s="138">
        <v>0</v>
      </c>
      <c r="G283" s="138">
        <v>0.2</v>
      </c>
    </row>
    <row r="284" spans="1:7" x14ac:dyDescent="0.35">
      <c r="A284" s="134" t="s">
        <v>429</v>
      </c>
      <c r="B284" s="67">
        <f>_xlfn.XLOOKUP(A284,T_Custos[Produto],T_Custos[Peso])</f>
        <v>1</v>
      </c>
      <c r="C284" s="78" t="str">
        <f>_xlfn.XLOOKUP(A284,T_Custos[Produto],T_Custos[Und])</f>
        <v>bd</v>
      </c>
      <c r="D284" s="72">
        <v>0.14000000000000001</v>
      </c>
      <c r="E284" s="138">
        <v>0</v>
      </c>
      <c r="F284" s="138">
        <v>0</v>
      </c>
      <c r="G284" s="138">
        <v>0.2</v>
      </c>
    </row>
    <row r="285" spans="1:7" x14ac:dyDescent="0.35">
      <c r="A285" s="134" t="s">
        <v>142</v>
      </c>
      <c r="B285" s="67">
        <f>_xlfn.XLOOKUP(A285,T_Custos[Produto],T_Custos[Peso])</f>
        <v>1</v>
      </c>
      <c r="C285" s="78" t="str">
        <f>_xlfn.XLOOKUP(A285,T_Custos[Produto],T_Custos[Und])</f>
        <v>kg</v>
      </c>
      <c r="D285" s="72">
        <v>1.5</v>
      </c>
      <c r="E285" s="138">
        <v>0</v>
      </c>
      <c r="F285" s="138">
        <v>0</v>
      </c>
      <c r="G285" s="138">
        <v>0.2</v>
      </c>
    </row>
    <row r="286" spans="1:7" x14ac:dyDescent="0.35">
      <c r="A286" s="134" t="s">
        <v>430</v>
      </c>
      <c r="B286" s="67">
        <f>_xlfn.XLOOKUP(A286,T_Custos[Produto],T_Custos[Peso])</f>
        <v>1</v>
      </c>
      <c r="C286" s="78" t="str">
        <f>_xlfn.XLOOKUP(A286,T_Custos[Produto],T_Custos[Und])</f>
        <v>bd</v>
      </c>
      <c r="D286" s="72">
        <v>0.14000000000000001</v>
      </c>
      <c r="E286" s="138">
        <v>0</v>
      </c>
      <c r="F286" s="138">
        <v>0</v>
      </c>
      <c r="G286" s="138">
        <v>0.2</v>
      </c>
    </row>
    <row r="287" spans="1:7" x14ac:dyDescent="0.35">
      <c r="A287" s="134" t="s">
        <v>143</v>
      </c>
      <c r="B287" s="67">
        <f>_xlfn.XLOOKUP(A287,T_Custos[Produto],T_Custos[Peso])</f>
        <v>1</v>
      </c>
      <c r="C287" s="78" t="str">
        <f>_xlfn.XLOOKUP(A287,T_Custos[Produto],T_Custos[Und])</f>
        <v>kg</v>
      </c>
      <c r="D287" s="72">
        <v>1.5</v>
      </c>
      <c r="E287" s="138">
        <v>0</v>
      </c>
      <c r="F287" s="138">
        <v>0</v>
      </c>
      <c r="G287" s="138">
        <v>0.2</v>
      </c>
    </row>
    <row r="288" spans="1:7" x14ac:dyDescent="0.35">
      <c r="A288" s="134" t="s">
        <v>144</v>
      </c>
      <c r="B288" s="67">
        <f>_xlfn.XLOOKUP(A288,T_Custos[Produto],T_Custos[Peso])</f>
        <v>1</v>
      </c>
      <c r="C288" s="78" t="str">
        <f>_xlfn.XLOOKUP(A288,T_Custos[Produto],T_Custos[Und])</f>
        <v>kg</v>
      </c>
      <c r="D288" s="72">
        <v>1.5</v>
      </c>
      <c r="E288" s="138">
        <v>0</v>
      </c>
      <c r="F288" s="138">
        <v>0</v>
      </c>
      <c r="G288" s="138">
        <v>0.2</v>
      </c>
    </row>
    <row r="289" spans="1:7" x14ac:dyDescent="0.35">
      <c r="A289" s="134" t="s">
        <v>145</v>
      </c>
      <c r="B289" s="67">
        <f>_xlfn.XLOOKUP(A289,T_Custos[Produto],T_Custos[Peso])</f>
        <v>1</v>
      </c>
      <c r="C289" s="78" t="str">
        <f>_xlfn.XLOOKUP(A289,T_Custos[Produto],T_Custos[Und])</f>
        <v>kg</v>
      </c>
      <c r="D289" s="72">
        <v>1.5</v>
      </c>
      <c r="E289" s="138">
        <v>0</v>
      </c>
      <c r="F289" s="138">
        <v>0</v>
      </c>
      <c r="G289" s="138">
        <v>0.2</v>
      </c>
    </row>
    <row r="290" spans="1:7" x14ac:dyDescent="0.35">
      <c r="A290" s="134" t="s">
        <v>431</v>
      </c>
      <c r="B290" s="67">
        <f>_xlfn.XLOOKUP(A290,T_Custos[Produto],T_Custos[Peso])</f>
        <v>1</v>
      </c>
      <c r="C290" s="78" t="str">
        <f>_xlfn.XLOOKUP(A290,T_Custos[Produto],T_Custos[Und])</f>
        <v>bd</v>
      </c>
      <c r="D290" s="72">
        <v>0.14000000000000001</v>
      </c>
      <c r="E290" s="138">
        <v>0</v>
      </c>
      <c r="F290" s="138">
        <v>0</v>
      </c>
      <c r="G290" s="138">
        <v>0.2</v>
      </c>
    </row>
    <row r="291" spans="1:7" x14ac:dyDescent="0.35">
      <c r="A291" s="134" t="s">
        <v>146</v>
      </c>
      <c r="B291" s="67">
        <f>_xlfn.XLOOKUP(A291,T_Custos[Produto],T_Custos[Peso])</f>
        <v>10</v>
      </c>
      <c r="C291" s="78" t="str">
        <f>_xlfn.XLOOKUP(A291,T_Custos[Produto],T_Custos[Und])</f>
        <v>kg</v>
      </c>
      <c r="D291" s="72">
        <v>3.5</v>
      </c>
      <c r="E291" s="138">
        <v>3.8</v>
      </c>
      <c r="F291" s="138">
        <v>5.5</v>
      </c>
      <c r="G291" s="138">
        <v>3.5</v>
      </c>
    </row>
    <row r="292" spans="1:7" x14ac:dyDescent="0.35">
      <c r="A292" s="134" t="s">
        <v>389</v>
      </c>
      <c r="B292" s="67">
        <f>_xlfn.XLOOKUP(A292,T_Custos[Produto],T_Custos[Peso])</f>
        <v>1</v>
      </c>
      <c r="C292" s="78" t="str">
        <f>_xlfn.XLOOKUP(A292,T_Custos[Produto],T_Custos[Und])</f>
        <v>und</v>
      </c>
      <c r="D292" s="81">
        <v>0</v>
      </c>
      <c r="E292" s="138">
        <v>0</v>
      </c>
      <c r="F292" s="138">
        <v>0</v>
      </c>
      <c r="G292" s="138">
        <v>0.2</v>
      </c>
    </row>
    <row r="293" spans="1:7" x14ac:dyDescent="0.35">
      <c r="A293" s="134" t="s">
        <v>147</v>
      </c>
      <c r="B293" s="67">
        <f>_xlfn.XLOOKUP(A293,T_Custos[Produto],T_Custos[Peso])</f>
        <v>10</v>
      </c>
      <c r="C293" s="78" t="str">
        <f>_xlfn.XLOOKUP(A293,T_Custos[Produto],T_Custos[Und])</f>
        <v>kg</v>
      </c>
      <c r="D293" s="72">
        <v>3.5</v>
      </c>
      <c r="E293" s="138">
        <v>3.8</v>
      </c>
      <c r="F293" s="138">
        <v>5.5</v>
      </c>
      <c r="G293" s="138">
        <v>3.5</v>
      </c>
    </row>
    <row r="294" spans="1:7" x14ac:dyDescent="0.35">
      <c r="A294" s="134" t="s">
        <v>390</v>
      </c>
      <c r="B294" s="67">
        <f>_xlfn.XLOOKUP(A294,T_Custos[Produto],T_Custos[Peso])</f>
        <v>1</v>
      </c>
      <c r="C294" s="78" t="str">
        <f>_xlfn.XLOOKUP(A294,T_Custos[Produto],T_Custos[Und])</f>
        <v>und</v>
      </c>
      <c r="D294" s="81">
        <v>0</v>
      </c>
      <c r="E294" s="138">
        <v>0</v>
      </c>
      <c r="F294" s="138">
        <v>0</v>
      </c>
      <c r="G294" s="138">
        <v>0.2</v>
      </c>
    </row>
    <row r="295" spans="1:7" x14ac:dyDescent="0.35">
      <c r="A295" s="134" t="s">
        <v>148</v>
      </c>
      <c r="B295" s="67">
        <f>_xlfn.XLOOKUP(A295,T_Custos[Produto],T_Custos[Peso])</f>
        <v>10</v>
      </c>
      <c r="C295" s="78" t="str">
        <f>_xlfn.XLOOKUP(A295,T_Custos[Produto],T_Custos[Und])</f>
        <v>kg</v>
      </c>
      <c r="D295" s="72">
        <v>3.5</v>
      </c>
      <c r="E295" s="138">
        <v>3.8</v>
      </c>
      <c r="F295" s="138">
        <v>5.5</v>
      </c>
      <c r="G295" s="138">
        <v>3.5</v>
      </c>
    </row>
    <row r="296" spans="1:7" x14ac:dyDescent="0.35">
      <c r="A296" s="134" t="s">
        <v>391</v>
      </c>
      <c r="B296" s="67">
        <f>_xlfn.XLOOKUP(A296,T_Custos[Produto],T_Custos[Peso])</f>
        <v>1</v>
      </c>
      <c r="C296" s="78" t="str">
        <f>_xlfn.XLOOKUP(A296,T_Custos[Produto],T_Custos[Und])</f>
        <v>und</v>
      </c>
      <c r="D296" s="81">
        <v>0</v>
      </c>
      <c r="E296" s="138">
        <v>0</v>
      </c>
      <c r="F296" s="138">
        <v>0</v>
      </c>
      <c r="G296" s="138">
        <v>0.2</v>
      </c>
    </row>
    <row r="297" spans="1:7" x14ac:dyDescent="0.35">
      <c r="A297" s="134" t="s">
        <v>149</v>
      </c>
      <c r="B297" s="67">
        <f>_xlfn.XLOOKUP(A297,T_Custos[Produto],T_Custos[Peso])</f>
        <v>1</v>
      </c>
      <c r="C297" s="78" t="str">
        <f>_xlfn.XLOOKUP(A297,T_Custos[Produto],T_Custos[Und])</f>
        <v>kg</v>
      </c>
      <c r="D297" s="72">
        <v>1.5</v>
      </c>
      <c r="E297" s="138">
        <v>0</v>
      </c>
      <c r="F297" s="138">
        <v>0</v>
      </c>
      <c r="G297" s="138">
        <v>0.2</v>
      </c>
    </row>
    <row r="298" spans="1:7" x14ac:dyDescent="0.35">
      <c r="A298" s="134" t="s">
        <v>150</v>
      </c>
      <c r="B298" s="67">
        <f>_xlfn.XLOOKUP(A298,T_Custos[Produto],T_Custos[Peso])</f>
        <v>20</v>
      </c>
      <c r="C298" s="78" t="str">
        <f>_xlfn.XLOOKUP(A298,T_Custos[Produto],T_Custos[Und])</f>
        <v>kg</v>
      </c>
      <c r="D298" s="72">
        <v>5.5</v>
      </c>
      <c r="E298" s="138">
        <v>0</v>
      </c>
      <c r="F298" s="138">
        <v>0</v>
      </c>
      <c r="G298" s="138">
        <v>3.95</v>
      </c>
    </row>
    <row r="299" spans="1:7" x14ac:dyDescent="0.35">
      <c r="A299" s="134" t="s">
        <v>497</v>
      </c>
      <c r="B299" s="67">
        <f>_xlfn.XLOOKUP(A299,T_Custos[Produto],T_Custos[Peso])</f>
        <v>4</v>
      </c>
      <c r="C299" s="78" t="str">
        <f>_xlfn.XLOOKUP(A299,T_Custos[Produto],T_Custos[Und])</f>
        <v>kg</v>
      </c>
      <c r="D299" s="72">
        <v>1.5</v>
      </c>
      <c r="E299" s="138">
        <v>0</v>
      </c>
      <c r="F299" s="138">
        <v>0</v>
      </c>
      <c r="G299" s="138">
        <v>1.8</v>
      </c>
    </row>
    <row r="300" spans="1:7" x14ac:dyDescent="0.35">
      <c r="A300" s="134" t="s">
        <v>217</v>
      </c>
      <c r="B300" s="67">
        <f>_xlfn.XLOOKUP(A300,T_Custos[Produto],T_Custos[Peso])</f>
        <v>1</v>
      </c>
      <c r="C300" s="78" t="str">
        <f>_xlfn.XLOOKUP(A300,T_Custos[Produto],T_Custos[Und])</f>
        <v>un</v>
      </c>
      <c r="D300" s="81">
        <v>0</v>
      </c>
      <c r="E300" s="138">
        <v>0</v>
      </c>
      <c r="F300" s="138">
        <v>0</v>
      </c>
      <c r="G300" s="138">
        <v>0.2</v>
      </c>
    </row>
    <row r="301" spans="1:7" x14ac:dyDescent="0.35">
      <c r="A301" s="134" t="s">
        <v>511</v>
      </c>
      <c r="B301" s="67">
        <f>_xlfn.XLOOKUP(A301,T_Custos[Produto],T_Custos[Peso])</f>
        <v>1</v>
      </c>
      <c r="C301" s="78" t="str">
        <f>_xlfn.XLOOKUP(A301,T_Custos[Produto],T_Custos[Und])</f>
        <v>pc</v>
      </c>
      <c r="D301" s="81">
        <v>0</v>
      </c>
      <c r="E301" s="138">
        <v>0</v>
      </c>
      <c r="F301" s="138">
        <v>0</v>
      </c>
      <c r="G301" s="138">
        <v>0.5</v>
      </c>
    </row>
    <row r="302" spans="1:7" x14ac:dyDescent="0.35">
      <c r="A302" s="134" t="s">
        <v>152</v>
      </c>
      <c r="B302" s="67">
        <f>_xlfn.XLOOKUP(A302,T_Custos[Produto],T_Custos[Peso])</f>
        <v>9</v>
      </c>
      <c r="C302" s="78" t="str">
        <f>_xlfn.XLOOKUP(A302,T_Custos[Produto],T_Custos[Und])</f>
        <v>kg</v>
      </c>
      <c r="D302" s="72">
        <v>3.5</v>
      </c>
      <c r="E302" s="138">
        <v>0</v>
      </c>
      <c r="F302" s="138">
        <v>0</v>
      </c>
      <c r="G302" s="138">
        <v>2.8</v>
      </c>
    </row>
    <row r="303" spans="1:7" x14ac:dyDescent="0.35">
      <c r="A303" s="134" t="s">
        <v>461</v>
      </c>
      <c r="B303" s="67">
        <f>_xlfn.XLOOKUP(A303,T_Custos[Produto],T_Custos[Peso])</f>
        <v>16</v>
      </c>
      <c r="C303" s="78" t="str">
        <f>_xlfn.XLOOKUP(A303,T_Custos[Produto],T_Custos[Und])</f>
        <v>kg</v>
      </c>
      <c r="D303" s="72">
        <v>5.5</v>
      </c>
      <c r="E303" s="138">
        <v>0</v>
      </c>
      <c r="F303" s="138">
        <v>0</v>
      </c>
      <c r="G303" s="138">
        <v>3.8</v>
      </c>
    </row>
    <row r="304" spans="1:7" x14ac:dyDescent="0.35">
      <c r="A304" s="134" t="s">
        <v>392</v>
      </c>
      <c r="B304" s="67">
        <f>_xlfn.XLOOKUP(A304,T_Custos[Produto],T_Custos[Peso])</f>
        <v>1</v>
      </c>
      <c r="C304" s="78" t="str">
        <f>_xlfn.XLOOKUP(A304,T_Custos[Produto],T_Custos[Und])</f>
        <v>und</v>
      </c>
      <c r="D304" s="81">
        <v>0</v>
      </c>
      <c r="E304" s="138">
        <v>0</v>
      </c>
      <c r="F304" s="138">
        <v>0</v>
      </c>
      <c r="G304" s="138">
        <v>0.2</v>
      </c>
    </row>
    <row r="305" spans="1:7" x14ac:dyDescent="0.35">
      <c r="A305" s="134" t="s">
        <v>153</v>
      </c>
      <c r="B305" s="67">
        <f>_xlfn.XLOOKUP(A305,T_Custos[Produto],T_Custos[Peso])</f>
        <v>1</v>
      </c>
      <c r="C305" s="78" t="str">
        <f>_xlfn.XLOOKUP(A305,T_Custos[Produto],T_Custos[Und])</f>
        <v>bd</v>
      </c>
      <c r="D305" s="72">
        <v>0.14000000000000001</v>
      </c>
      <c r="E305" s="138">
        <v>0</v>
      </c>
      <c r="F305" s="138">
        <v>0</v>
      </c>
      <c r="G305" s="138">
        <v>0.2</v>
      </c>
    </row>
    <row r="306" spans="1:7" x14ac:dyDescent="0.35">
      <c r="A306" s="134" t="s">
        <v>154</v>
      </c>
      <c r="B306" s="67">
        <f>_xlfn.XLOOKUP(A306,T_Custos[Produto],T_Custos[Peso])</f>
        <v>20</v>
      </c>
      <c r="C306" s="78" t="str">
        <f>_xlfn.XLOOKUP(A306,T_Custos[Produto],T_Custos[Und])</f>
        <v>bd</v>
      </c>
      <c r="D306" s="72">
        <v>5.5</v>
      </c>
      <c r="E306" s="138">
        <v>0</v>
      </c>
      <c r="F306" s="138">
        <v>0</v>
      </c>
      <c r="G306" s="138">
        <v>3.95</v>
      </c>
    </row>
    <row r="307" spans="1:7" x14ac:dyDescent="0.35">
      <c r="A307" s="134" t="s">
        <v>155</v>
      </c>
      <c r="B307" s="67">
        <f>_xlfn.XLOOKUP(A307,T_Custos[Produto],T_Custos[Peso])</f>
        <v>10</v>
      </c>
      <c r="C307" s="78" t="str">
        <f>_xlfn.XLOOKUP(A307,T_Custos[Produto],T_Custos[Und])</f>
        <v>kg</v>
      </c>
      <c r="D307" s="72">
        <v>3.5</v>
      </c>
      <c r="E307" s="138">
        <v>0</v>
      </c>
      <c r="F307" s="138">
        <v>0</v>
      </c>
      <c r="G307" s="138">
        <v>3.5</v>
      </c>
    </row>
    <row r="308" spans="1:7" x14ac:dyDescent="0.35">
      <c r="A308" s="134" t="s">
        <v>208</v>
      </c>
      <c r="B308" s="67">
        <f>_xlfn.XLOOKUP(A308,T_Custos[Produto],T_Custos[Peso])</f>
        <v>1</v>
      </c>
      <c r="C308" s="78" t="str">
        <f>_xlfn.XLOOKUP(A308,T_Custos[Produto],T_Custos[Und])</f>
        <v>un</v>
      </c>
      <c r="D308" s="81">
        <v>0</v>
      </c>
      <c r="E308" s="138">
        <v>0</v>
      </c>
      <c r="F308" s="138">
        <v>0</v>
      </c>
      <c r="G308" s="138">
        <v>0.2</v>
      </c>
    </row>
    <row r="309" spans="1:7" x14ac:dyDescent="0.35">
      <c r="A309" s="134" t="s">
        <v>232</v>
      </c>
      <c r="B309" s="67">
        <f>_xlfn.XLOOKUP(A309,T_Custos[Produto],T_Custos[Peso])</f>
        <v>1</v>
      </c>
      <c r="C309" s="78" t="str">
        <f>_xlfn.XLOOKUP(A309,T_Custos[Produto],T_Custos[Und])</f>
        <v>un</v>
      </c>
      <c r="D309" s="81">
        <v>0</v>
      </c>
      <c r="E309" s="138">
        <v>0</v>
      </c>
      <c r="F309" s="138">
        <v>0</v>
      </c>
      <c r="G309" s="138">
        <v>0.2</v>
      </c>
    </row>
    <row r="310" spans="1:7" x14ac:dyDescent="0.35">
      <c r="A310" s="134" t="s">
        <v>156</v>
      </c>
      <c r="B310" s="67">
        <f>_xlfn.XLOOKUP(A310,T_Custos[Produto],T_Custos[Peso])</f>
        <v>15</v>
      </c>
      <c r="C310" s="78" t="str">
        <f>_xlfn.XLOOKUP(A310,T_Custos[Produto],T_Custos[Und])</f>
        <v>kg</v>
      </c>
      <c r="D310" s="72">
        <v>5.5</v>
      </c>
      <c r="E310" s="138">
        <v>0</v>
      </c>
      <c r="F310" s="138">
        <v>0</v>
      </c>
      <c r="G310" s="138">
        <v>3.8</v>
      </c>
    </row>
    <row r="311" spans="1:7" x14ac:dyDescent="0.35">
      <c r="A311" s="134" t="s">
        <v>157</v>
      </c>
      <c r="B311" s="67">
        <f>_xlfn.XLOOKUP(A311,T_Custos[Produto],T_Custos[Peso])</f>
        <v>15</v>
      </c>
      <c r="C311" s="78" t="str">
        <f>_xlfn.XLOOKUP(A311,T_Custos[Produto],T_Custos[Und])</f>
        <v>kg</v>
      </c>
      <c r="D311" s="72">
        <v>5.5</v>
      </c>
      <c r="E311" s="138">
        <v>0</v>
      </c>
      <c r="F311" s="138">
        <v>0</v>
      </c>
      <c r="G311" s="138">
        <v>3.8</v>
      </c>
    </row>
    <row r="312" spans="1:7" x14ac:dyDescent="0.35">
      <c r="A312" s="134" t="s">
        <v>158</v>
      </c>
      <c r="B312" s="67">
        <f>_xlfn.XLOOKUP(A312,T_Custos[Produto],T_Custos[Peso])</f>
        <v>3</v>
      </c>
      <c r="C312" s="78" t="str">
        <f>_xlfn.XLOOKUP(A312,T_Custos[Produto],T_Custos[Und])</f>
        <v>kg</v>
      </c>
      <c r="D312" s="72">
        <v>1.5</v>
      </c>
      <c r="E312" s="138">
        <v>0</v>
      </c>
      <c r="F312" s="138">
        <v>0</v>
      </c>
      <c r="G312" s="138">
        <v>1.7</v>
      </c>
    </row>
    <row r="313" spans="1:7" x14ac:dyDescent="0.35">
      <c r="A313" s="134" t="s">
        <v>530</v>
      </c>
      <c r="B313" s="67">
        <f>_xlfn.XLOOKUP(A313,T_Custos[Produto],T_Custos[Peso])</f>
        <v>4</v>
      </c>
      <c r="C313" s="78" t="str">
        <f>_xlfn.XLOOKUP(A313,T_Custos[Produto],T_Custos[Und])</f>
        <v>kg</v>
      </c>
      <c r="D313" s="72">
        <v>1.5</v>
      </c>
      <c r="E313" s="138">
        <v>0</v>
      </c>
      <c r="F313" s="138">
        <v>0</v>
      </c>
      <c r="G313" s="138">
        <v>1.8</v>
      </c>
    </row>
    <row r="314" spans="1:7" x14ac:dyDescent="0.35">
      <c r="A314" s="134" t="s">
        <v>209</v>
      </c>
      <c r="B314" s="67">
        <f>_xlfn.XLOOKUP(A314,T_Custos[Produto],T_Custos[Peso])</f>
        <v>1</v>
      </c>
      <c r="C314" s="78" t="str">
        <f>_xlfn.XLOOKUP(A314,T_Custos[Produto],T_Custos[Und])</f>
        <v>un</v>
      </c>
      <c r="D314" s="81">
        <v>0</v>
      </c>
      <c r="E314" s="138">
        <v>0</v>
      </c>
      <c r="F314" s="138">
        <v>0</v>
      </c>
      <c r="G314" s="138">
        <v>0.2</v>
      </c>
    </row>
    <row r="315" spans="1:7" x14ac:dyDescent="0.35">
      <c r="A315" s="134" t="s">
        <v>432</v>
      </c>
      <c r="B315" s="67">
        <f>_xlfn.XLOOKUP(A315,T_Custos[Produto],T_Custos[Peso])</f>
        <v>1</v>
      </c>
      <c r="C315" s="78" t="str">
        <f>_xlfn.XLOOKUP(A315,T_Custos[Produto],T_Custos[Und])</f>
        <v>pc</v>
      </c>
      <c r="D315" s="72">
        <v>0.14000000000000001</v>
      </c>
      <c r="E315" s="138">
        <v>0</v>
      </c>
      <c r="F315" s="138">
        <v>0</v>
      </c>
      <c r="G315" s="138">
        <v>0.5</v>
      </c>
    </row>
    <row r="316" spans="1:7" x14ac:dyDescent="0.35">
      <c r="A316" s="134" t="s">
        <v>222</v>
      </c>
      <c r="B316" s="67">
        <f>_xlfn.XLOOKUP(A316,T_Custos[Produto],T_Custos[Peso])</f>
        <v>1</v>
      </c>
      <c r="C316" s="78" t="str">
        <f>_xlfn.XLOOKUP(A316,T_Custos[Produto],T_Custos[Und])</f>
        <v>un</v>
      </c>
      <c r="D316" s="81">
        <v>0</v>
      </c>
      <c r="E316" s="138">
        <v>0</v>
      </c>
      <c r="F316" s="138">
        <v>0</v>
      </c>
      <c r="G316" s="138">
        <v>0.2</v>
      </c>
    </row>
    <row r="317" spans="1:7" x14ac:dyDescent="0.35">
      <c r="A317" s="134" t="s">
        <v>211</v>
      </c>
      <c r="B317" s="67">
        <f>_xlfn.XLOOKUP(A317,T_Custos[Produto],T_Custos[Peso])</f>
        <v>1</v>
      </c>
      <c r="C317" s="78" t="str">
        <f>_xlfn.XLOOKUP(A317,T_Custos[Produto],T_Custos[Und])</f>
        <v>un</v>
      </c>
      <c r="D317" s="81">
        <v>0</v>
      </c>
      <c r="E317" s="138">
        <v>0</v>
      </c>
      <c r="F317" s="138">
        <v>0</v>
      </c>
      <c r="G317" s="138">
        <v>0.2</v>
      </c>
    </row>
    <row r="318" spans="1:7" x14ac:dyDescent="0.35">
      <c r="A318" s="134" t="s">
        <v>210</v>
      </c>
      <c r="B318" s="67">
        <f>_xlfn.XLOOKUP(A318,T_Custos[Produto],T_Custos[Peso])</f>
        <v>1</v>
      </c>
      <c r="C318" s="78" t="str">
        <f>_xlfn.XLOOKUP(A318,T_Custos[Produto],T_Custos[Und])</f>
        <v>un</v>
      </c>
      <c r="D318" s="81">
        <v>0</v>
      </c>
      <c r="E318" s="138">
        <v>0</v>
      </c>
      <c r="F318" s="138">
        <v>0</v>
      </c>
      <c r="G318" s="138">
        <v>0.2</v>
      </c>
    </row>
    <row r="319" spans="1:7" x14ac:dyDescent="0.35">
      <c r="A319" s="134" t="s">
        <v>212</v>
      </c>
      <c r="B319" s="67">
        <f>_xlfn.XLOOKUP(A319,T_Custos[Produto],T_Custos[Peso])</f>
        <v>1</v>
      </c>
      <c r="C319" s="78" t="str">
        <f>_xlfn.XLOOKUP(A319,T_Custos[Produto],T_Custos[Und])</f>
        <v>un</v>
      </c>
      <c r="D319" s="81">
        <v>0</v>
      </c>
      <c r="E319" s="138">
        <v>0</v>
      </c>
      <c r="F319" s="138">
        <v>0</v>
      </c>
      <c r="G319" s="138">
        <v>0.2</v>
      </c>
    </row>
    <row r="320" spans="1:7" x14ac:dyDescent="0.35">
      <c r="A320" s="134" t="s">
        <v>219</v>
      </c>
      <c r="B320" s="67">
        <f>_xlfn.XLOOKUP(A320,T_Custos[Produto],T_Custos[Peso])</f>
        <v>1</v>
      </c>
      <c r="C320" s="78" t="str">
        <f>_xlfn.XLOOKUP(A320,T_Custos[Produto],T_Custos[Und])</f>
        <v>un</v>
      </c>
      <c r="D320" s="81">
        <v>0</v>
      </c>
      <c r="E320" s="138">
        <v>0</v>
      </c>
      <c r="F320" s="138">
        <v>0</v>
      </c>
      <c r="G320" s="138">
        <v>0.2</v>
      </c>
    </row>
    <row r="321" spans="1:7" x14ac:dyDescent="0.35">
      <c r="A321" s="134" t="s">
        <v>159</v>
      </c>
      <c r="B321" s="67">
        <f>_xlfn.XLOOKUP(A321,T_Custos[Produto],T_Custos[Peso])</f>
        <v>1</v>
      </c>
      <c r="C321" s="78" t="str">
        <f>_xlfn.XLOOKUP(A321,T_Custos[Produto],T_Custos[Und])</f>
        <v>kg</v>
      </c>
      <c r="D321" s="72">
        <v>1.5</v>
      </c>
      <c r="E321" s="138">
        <v>0</v>
      </c>
      <c r="F321" s="138">
        <v>0</v>
      </c>
      <c r="G321" s="138">
        <v>0.2</v>
      </c>
    </row>
    <row r="322" spans="1:7" x14ac:dyDescent="0.35">
      <c r="A322" s="134" t="s">
        <v>160</v>
      </c>
      <c r="B322" s="67">
        <f>_xlfn.XLOOKUP(A322,T_Custos[Produto],T_Custos[Peso])</f>
        <v>9</v>
      </c>
      <c r="C322" s="78" t="str">
        <f>_xlfn.XLOOKUP(A322,T_Custos[Produto],T_Custos[Und])</f>
        <v>kg</v>
      </c>
      <c r="D322" s="72">
        <v>3.5</v>
      </c>
      <c r="E322" s="138">
        <v>2.7</v>
      </c>
      <c r="F322" s="138">
        <v>5.5</v>
      </c>
      <c r="G322" s="138">
        <v>2.8</v>
      </c>
    </row>
    <row r="323" spans="1:7" x14ac:dyDescent="0.35">
      <c r="A323" s="134" t="s">
        <v>477</v>
      </c>
      <c r="B323" s="67">
        <f>_xlfn.XLOOKUP(A323,T_Custos[Produto],T_Custos[Peso])</f>
        <v>9</v>
      </c>
      <c r="C323" s="78" t="str">
        <f>_xlfn.XLOOKUP(A323,T_Custos[Produto],T_Custos[Und])</f>
        <v>kg</v>
      </c>
      <c r="D323" s="72">
        <v>5.5</v>
      </c>
      <c r="E323" s="138">
        <v>2.7</v>
      </c>
      <c r="F323" s="138">
        <v>5.5</v>
      </c>
      <c r="G323" s="138">
        <v>2.8</v>
      </c>
    </row>
    <row r="324" spans="1:7" x14ac:dyDescent="0.35">
      <c r="A324" s="134" t="s">
        <v>161</v>
      </c>
      <c r="B324" s="67">
        <f>_xlfn.XLOOKUP(A324,T_Custos[Produto],T_Custos[Peso])</f>
        <v>20</v>
      </c>
      <c r="C324" s="78" t="str">
        <f>_xlfn.XLOOKUP(A324,T_Custos[Produto],T_Custos[Und])</f>
        <v>kg</v>
      </c>
      <c r="D324" s="72">
        <v>5.5</v>
      </c>
      <c r="E324" s="138">
        <v>2.7</v>
      </c>
      <c r="F324" s="138">
        <v>5.5</v>
      </c>
      <c r="G324" s="138">
        <v>3.95</v>
      </c>
    </row>
    <row r="325" spans="1:7" x14ac:dyDescent="0.35">
      <c r="A325" s="134" t="s">
        <v>162</v>
      </c>
      <c r="B325" s="67">
        <f>_xlfn.XLOOKUP(A325,T_Custos[Produto],T_Custos[Peso])</f>
        <v>20</v>
      </c>
      <c r="C325" s="78" t="str">
        <f>_xlfn.XLOOKUP(A325,T_Custos[Produto],T_Custos[Und])</f>
        <v>kg</v>
      </c>
      <c r="D325" s="72">
        <v>5.5</v>
      </c>
      <c r="E325" s="138">
        <v>3.8</v>
      </c>
      <c r="F325" s="138">
        <v>5.5</v>
      </c>
      <c r="G325" s="138">
        <v>3.95</v>
      </c>
    </row>
    <row r="326" spans="1:7" x14ac:dyDescent="0.35">
      <c r="A326" s="134" t="s">
        <v>163</v>
      </c>
      <c r="B326" s="67">
        <f>_xlfn.XLOOKUP(A326,T_Custos[Produto],T_Custos[Peso])</f>
        <v>20</v>
      </c>
      <c r="C326" s="78" t="str">
        <f>_xlfn.XLOOKUP(A326,T_Custos[Produto],T_Custos[Und])</f>
        <v>kg</v>
      </c>
      <c r="D326" s="72">
        <v>5.5</v>
      </c>
      <c r="E326" s="138">
        <v>0</v>
      </c>
      <c r="F326" s="138">
        <v>0</v>
      </c>
      <c r="G326" s="138">
        <v>3.95</v>
      </c>
    </row>
    <row r="327" spans="1:7" x14ac:dyDescent="0.35">
      <c r="A327" s="134" t="s">
        <v>433</v>
      </c>
      <c r="B327" s="67">
        <f>_xlfn.XLOOKUP(A327,T_Custos[Produto],T_Custos[Peso])</f>
        <v>1</v>
      </c>
      <c r="C327" s="78" t="str">
        <f>_xlfn.XLOOKUP(A327,T_Custos[Produto],T_Custos[Und])</f>
        <v>bd</v>
      </c>
      <c r="D327" s="72">
        <v>0.14000000000000001</v>
      </c>
      <c r="E327" s="138">
        <v>0</v>
      </c>
      <c r="F327" s="138">
        <v>0</v>
      </c>
      <c r="G327" s="138">
        <v>0.2</v>
      </c>
    </row>
    <row r="328" spans="1:7" x14ac:dyDescent="0.35">
      <c r="A328" s="134" t="s">
        <v>164</v>
      </c>
      <c r="B328" s="67">
        <f>_xlfn.XLOOKUP(A328,T_Custos[Produto],T_Custos[Peso])</f>
        <v>1</v>
      </c>
      <c r="C328" s="78" t="str">
        <f>_xlfn.XLOOKUP(A328,T_Custos[Produto],T_Custos[Und])</f>
        <v>kg</v>
      </c>
      <c r="D328" s="72">
        <v>1.5</v>
      </c>
      <c r="E328" s="138">
        <v>0</v>
      </c>
      <c r="F328" s="138">
        <v>0</v>
      </c>
      <c r="G328" s="138">
        <v>0.2</v>
      </c>
    </row>
    <row r="329" spans="1:7" x14ac:dyDescent="0.35">
      <c r="A329" s="134" t="s">
        <v>165</v>
      </c>
      <c r="B329" s="67">
        <f>_xlfn.XLOOKUP(A329,T_Custos[Produto],T_Custos[Peso])</f>
        <v>1</v>
      </c>
      <c r="C329" s="78" t="str">
        <f>_xlfn.XLOOKUP(A329,T_Custos[Produto],T_Custos[Und])</f>
        <v>bd</v>
      </c>
      <c r="D329" s="72">
        <v>0.14000000000000001</v>
      </c>
      <c r="E329" s="138">
        <v>0</v>
      </c>
      <c r="F329" s="138">
        <v>0</v>
      </c>
      <c r="G329" s="138">
        <v>0.2</v>
      </c>
    </row>
    <row r="330" spans="1:7" x14ac:dyDescent="0.35">
      <c r="A330" s="134" t="s">
        <v>166</v>
      </c>
      <c r="B330" s="67">
        <f>_xlfn.XLOOKUP(A330,T_Custos[Produto],T_Custos[Peso])</f>
        <v>1</v>
      </c>
      <c r="C330" s="78" t="str">
        <f>_xlfn.XLOOKUP(A330,T_Custos[Produto],T_Custos[Und])</f>
        <v>bd</v>
      </c>
      <c r="D330" s="72">
        <v>0.14000000000000001</v>
      </c>
      <c r="E330" s="138">
        <v>0</v>
      </c>
      <c r="F330" s="138">
        <v>0</v>
      </c>
      <c r="G330" s="138">
        <v>0.2</v>
      </c>
    </row>
    <row r="331" spans="1:7" x14ac:dyDescent="0.35">
      <c r="A331" s="134" t="s">
        <v>167</v>
      </c>
      <c r="B331" s="67">
        <f>_xlfn.XLOOKUP(A331,T_Custos[Produto],T_Custos[Peso])</f>
        <v>1</v>
      </c>
      <c r="C331" s="78" t="str">
        <f>_xlfn.XLOOKUP(A331,T_Custos[Produto],T_Custos[Und])</f>
        <v>bd</v>
      </c>
      <c r="D331" s="72">
        <v>0.14000000000000001</v>
      </c>
      <c r="E331" s="138">
        <v>0</v>
      </c>
      <c r="F331" s="138">
        <v>0</v>
      </c>
      <c r="G331" s="138">
        <v>0.2</v>
      </c>
    </row>
    <row r="332" spans="1:7" x14ac:dyDescent="0.35">
      <c r="A332" s="134" t="s">
        <v>168</v>
      </c>
      <c r="B332" s="67">
        <f>_xlfn.XLOOKUP(A332,T_Custos[Produto],T_Custos[Peso])</f>
        <v>1</v>
      </c>
      <c r="C332" s="78" t="str">
        <f>_xlfn.XLOOKUP(A332,T_Custos[Produto],T_Custos[Und])</f>
        <v>bd</v>
      </c>
      <c r="D332" s="72">
        <v>0.12</v>
      </c>
      <c r="E332" s="138">
        <v>0</v>
      </c>
      <c r="F332" s="138">
        <v>0</v>
      </c>
      <c r="G332" s="138">
        <v>0.2</v>
      </c>
    </row>
    <row r="333" spans="1:7" x14ac:dyDescent="0.35">
      <c r="A333" s="134" t="s">
        <v>434</v>
      </c>
      <c r="B333" s="67">
        <f>_xlfn.XLOOKUP(A333,T_Custos[Produto],T_Custos[Peso])</f>
        <v>1</v>
      </c>
      <c r="C333" s="78" t="str">
        <f>_xlfn.XLOOKUP(A333,T_Custos[Produto],T_Custos[Und])</f>
        <v>bd</v>
      </c>
      <c r="D333" s="72">
        <v>0.12</v>
      </c>
      <c r="E333" s="138">
        <v>0</v>
      </c>
      <c r="F333" s="138">
        <v>0</v>
      </c>
      <c r="G333" s="138">
        <v>0.2</v>
      </c>
    </row>
    <row r="334" spans="1:7" x14ac:dyDescent="0.35">
      <c r="A334" s="134" t="s">
        <v>435</v>
      </c>
      <c r="B334" s="67">
        <f>_xlfn.XLOOKUP(A334,T_Custos[Produto],T_Custos[Peso])</f>
        <v>1</v>
      </c>
      <c r="C334" s="78" t="str">
        <f>_xlfn.XLOOKUP(A334,T_Custos[Produto],T_Custos[Und])</f>
        <v>bd</v>
      </c>
      <c r="D334" s="72">
        <v>0.12</v>
      </c>
      <c r="E334" s="138">
        <v>0</v>
      </c>
      <c r="F334" s="138">
        <v>0</v>
      </c>
      <c r="G334" s="138">
        <v>0.2</v>
      </c>
    </row>
    <row r="335" spans="1:7" x14ac:dyDescent="0.35">
      <c r="A335" s="134" t="s">
        <v>169</v>
      </c>
      <c r="B335" s="67">
        <f>_xlfn.XLOOKUP(A335,T_Custos[Produto],T_Custos[Peso])</f>
        <v>20</v>
      </c>
      <c r="C335" s="78" t="str">
        <f>_xlfn.XLOOKUP(A335,T_Custos[Produto],T_Custos[Und])</f>
        <v>kg</v>
      </c>
      <c r="D335" s="72">
        <v>5.5</v>
      </c>
      <c r="E335" s="138">
        <v>3.8</v>
      </c>
      <c r="F335" s="138">
        <v>5.5</v>
      </c>
      <c r="G335" s="138">
        <v>3.95</v>
      </c>
    </row>
    <row r="336" spans="1:7" x14ac:dyDescent="0.35">
      <c r="A336" s="134" t="s">
        <v>436</v>
      </c>
      <c r="B336" s="67">
        <f>_xlfn.XLOOKUP(A336,T_Custos[Produto],T_Custos[Peso])</f>
        <v>1</v>
      </c>
      <c r="C336" s="78" t="str">
        <f>_xlfn.XLOOKUP(A336,T_Custos[Produto],T_Custos[Und])</f>
        <v>bd</v>
      </c>
      <c r="D336" s="72">
        <v>0.14000000000000001</v>
      </c>
      <c r="E336" s="138">
        <v>0</v>
      </c>
      <c r="F336" s="138">
        <v>0</v>
      </c>
      <c r="G336" s="138">
        <v>0.2</v>
      </c>
    </row>
    <row r="337" spans="1:7" x14ac:dyDescent="0.35">
      <c r="A337" s="134" t="s">
        <v>394</v>
      </c>
      <c r="B337" s="67">
        <f>_xlfn.XLOOKUP(A337,T_Custos[Produto],T_Custos[Peso])</f>
        <v>1</v>
      </c>
      <c r="C337" s="78" t="str">
        <f>_xlfn.XLOOKUP(A337,T_Custos[Produto],T_Custos[Und])</f>
        <v>und</v>
      </c>
      <c r="D337" s="81">
        <v>0</v>
      </c>
      <c r="E337" s="138">
        <v>0</v>
      </c>
      <c r="F337" s="138">
        <v>0</v>
      </c>
      <c r="G337" s="138">
        <v>0.2</v>
      </c>
    </row>
    <row r="338" spans="1:7" x14ac:dyDescent="0.35">
      <c r="A338" s="134" t="s">
        <v>393</v>
      </c>
      <c r="B338" s="67">
        <f>_xlfn.XLOOKUP(A338,T_Custos[Produto],T_Custos[Peso])</f>
        <v>1</v>
      </c>
      <c r="C338" s="78" t="str">
        <f>_xlfn.XLOOKUP(A338,T_Custos[Produto],T_Custos[Und])</f>
        <v>und</v>
      </c>
      <c r="D338" s="81">
        <v>0</v>
      </c>
      <c r="E338" s="138">
        <v>0</v>
      </c>
      <c r="F338" s="138">
        <v>0</v>
      </c>
      <c r="G338" s="138">
        <v>0.2</v>
      </c>
    </row>
    <row r="339" spans="1:7" x14ac:dyDescent="0.35">
      <c r="A339" s="134" t="s">
        <v>220</v>
      </c>
      <c r="B339" s="67">
        <f>_xlfn.XLOOKUP(A339,T_Custos[Produto],T_Custos[Peso])</f>
        <v>1</v>
      </c>
      <c r="C339" s="78" t="str">
        <f>_xlfn.XLOOKUP(A339,T_Custos[Produto],T_Custos[Und])</f>
        <v>un</v>
      </c>
      <c r="D339" s="81">
        <v>0</v>
      </c>
      <c r="E339" s="138">
        <v>0</v>
      </c>
      <c r="F339" s="138">
        <v>0</v>
      </c>
      <c r="G339" s="138">
        <v>0.2</v>
      </c>
    </row>
    <row r="340" spans="1:7" x14ac:dyDescent="0.35">
      <c r="A340" s="134" t="s">
        <v>170</v>
      </c>
      <c r="B340" s="67">
        <f>_xlfn.XLOOKUP(A340,T_Custos[Produto],T_Custos[Peso])</f>
        <v>10</v>
      </c>
      <c r="C340" s="78" t="str">
        <f>_xlfn.XLOOKUP(A340,T_Custos[Produto],T_Custos[Und])</f>
        <v>bd</v>
      </c>
      <c r="D340" s="72">
        <v>1.5</v>
      </c>
      <c r="E340" s="138">
        <v>2</v>
      </c>
      <c r="F340" s="138">
        <v>3.5</v>
      </c>
      <c r="G340" s="138">
        <v>3</v>
      </c>
    </row>
    <row r="341" spans="1:7" x14ac:dyDescent="0.35">
      <c r="A341" s="134" t="s">
        <v>171</v>
      </c>
      <c r="B341" s="67">
        <f>_xlfn.XLOOKUP(A341,T_Custos[Produto],T_Custos[Peso])</f>
        <v>10</v>
      </c>
      <c r="C341" s="78" t="str">
        <f>_xlfn.XLOOKUP(A341,T_Custos[Produto],T_Custos[Und])</f>
        <v>bd</v>
      </c>
      <c r="D341" s="72">
        <v>1.5</v>
      </c>
      <c r="E341" s="138">
        <v>2</v>
      </c>
      <c r="F341" s="138">
        <v>3.5</v>
      </c>
      <c r="G341" s="138">
        <v>3</v>
      </c>
    </row>
    <row r="342" spans="1:7" x14ac:dyDescent="0.35">
      <c r="A342" s="134" t="s">
        <v>172</v>
      </c>
      <c r="B342" s="67">
        <f>_xlfn.XLOOKUP(A342,T_Custos[Produto],T_Custos[Peso])</f>
        <v>10</v>
      </c>
      <c r="C342" s="78" t="str">
        <f>_xlfn.XLOOKUP(A342,T_Custos[Produto],T_Custos[Und])</f>
        <v>bd</v>
      </c>
      <c r="D342" s="72">
        <v>1.5</v>
      </c>
      <c r="E342" s="138">
        <v>2</v>
      </c>
      <c r="F342" s="138">
        <v>3.5</v>
      </c>
      <c r="G342" s="138">
        <v>3</v>
      </c>
    </row>
    <row r="343" spans="1:7" x14ac:dyDescent="0.35">
      <c r="A343" s="134" t="s">
        <v>173</v>
      </c>
      <c r="B343" s="67">
        <f>_xlfn.XLOOKUP(A343,T_Custos[Produto],T_Custos[Peso])</f>
        <v>10</v>
      </c>
      <c r="C343" s="78" t="str">
        <f>_xlfn.XLOOKUP(A343,T_Custos[Produto],T_Custos[Und])</f>
        <v>bd</v>
      </c>
      <c r="D343" s="72">
        <v>1.5</v>
      </c>
      <c r="E343" s="138">
        <v>2</v>
      </c>
      <c r="F343" s="138">
        <v>3.5</v>
      </c>
      <c r="G343" s="138">
        <v>3</v>
      </c>
    </row>
    <row r="344" spans="1:7" x14ac:dyDescent="0.35">
      <c r="A344" s="134" t="s">
        <v>174</v>
      </c>
      <c r="B344" s="67">
        <f>_xlfn.XLOOKUP(A344,T_Custos[Produto],T_Custos[Peso])</f>
        <v>10</v>
      </c>
      <c r="C344" s="78" t="str">
        <f>_xlfn.XLOOKUP(A344,T_Custos[Produto],T_Custos[Und])</f>
        <v>bd</v>
      </c>
      <c r="D344" s="72">
        <v>1.5</v>
      </c>
      <c r="E344" s="138">
        <v>2</v>
      </c>
      <c r="F344" s="138">
        <v>3.5</v>
      </c>
      <c r="G344" s="138">
        <v>3</v>
      </c>
    </row>
    <row r="345" spans="1:7" x14ac:dyDescent="0.35">
      <c r="A345" s="134" t="s">
        <v>175</v>
      </c>
      <c r="B345" s="67">
        <f>_xlfn.XLOOKUP(A345,T_Custos[Produto],T_Custos[Peso])</f>
        <v>10</v>
      </c>
      <c r="C345" s="78" t="str">
        <f>_xlfn.XLOOKUP(A345,T_Custos[Produto],T_Custos[Und])</f>
        <v>bd</v>
      </c>
      <c r="D345" s="72">
        <v>1.5</v>
      </c>
      <c r="E345" s="138">
        <v>2</v>
      </c>
      <c r="F345" s="138">
        <v>3.5</v>
      </c>
      <c r="G345" s="138">
        <v>3</v>
      </c>
    </row>
    <row r="346" spans="1:7" x14ac:dyDescent="0.35">
      <c r="A346" s="134" t="s">
        <v>176</v>
      </c>
      <c r="B346" s="67">
        <f>_xlfn.XLOOKUP(A346,T_Custos[Produto],T_Custos[Peso])</f>
        <v>10</v>
      </c>
      <c r="C346" s="78" t="str">
        <f>_xlfn.XLOOKUP(A346,T_Custos[Produto],T_Custos[Und])</f>
        <v>bd</v>
      </c>
      <c r="D346" s="72">
        <v>1.5</v>
      </c>
      <c r="E346" s="138">
        <v>2</v>
      </c>
      <c r="F346" s="138">
        <v>3.5</v>
      </c>
      <c r="G346" s="138">
        <v>3</v>
      </c>
    </row>
    <row r="347" spans="1:7" x14ac:dyDescent="0.35">
      <c r="A347" s="134" t="s">
        <v>506</v>
      </c>
      <c r="B347" s="67">
        <f>_xlfn.XLOOKUP(A347,T_Custos[Produto],T_Custos[Peso])</f>
        <v>10</v>
      </c>
      <c r="C347" s="78" t="str">
        <f>_xlfn.XLOOKUP(A347,T_Custos[Produto],T_Custos[Und])</f>
        <v>bd</v>
      </c>
      <c r="D347" s="72">
        <v>1.5</v>
      </c>
      <c r="E347" s="138">
        <v>2</v>
      </c>
      <c r="F347" s="138">
        <v>3.5</v>
      </c>
      <c r="G347" s="138">
        <v>3</v>
      </c>
    </row>
    <row r="348" spans="1:7" x14ac:dyDescent="0.35">
      <c r="A348" s="134" t="s">
        <v>177</v>
      </c>
      <c r="B348" s="67">
        <f>_xlfn.XLOOKUP(A348,T_Custos[Produto],T_Custos[Peso])</f>
        <v>10</v>
      </c>
      <c r="C348" s="78" t="str">
        <f>_xlfn.XLOOKUP(A348,T_Custos[Produto],T_Custos[Und])</f>
        <v>bd</v>
      </c>
      <c r="D348" s="72">
        <v>1.5</v>
      </c>
      <c r="E348" s="138">
        <v>2</v>
      </c>
      <c r="F348" s="138">
        <v>3.5</v>
      </c>
      <c r="G348" s="138">
        <v>3</v>
      </c>
    </row>
    <row r="349" spans="1:7" x14ac:dyDescent="0.35">
      <c r="A349" s="134" t="s">
        <v>179</v>
      </c>
      <c r="B349" s="67">
        <f>_xlfn.XLOOKUP(A349,T_Custos[Produto],T_Custos[Peso])</f>
        <v>10</v>
      </c>
      <c r="C349" s="78" t="str">
        <f>_xlfn.XLOOKUP(A349,T_Custos[Produto],T_Custos[Und])</f>
        <v>bd</v>
      </c>
      <c r="D349" s="72">
        <v>1.5</v>
      </c>
      <c r="E349" s="138">
        <v>0</v>
      </c>
      <c r="F349" s="138">
        <v>0</v>
      </c>
      <c r="G349" s="138">
        <v>3</v>
      </c>
    </row>
    <row r="350" spans="1:7" x14ac:dyDescent="0.35">
      <c r="A350" s="134" t="s">
        <v>180</v>
      </c>
      <c r="B350" s="67">
        <f>_xlfn.XLOOKUP(A350,T_Custos[Produto],T_Custos[Peso])</f>
        <v>10</v>
      </c>
      <c r="C350" s="78" t="str">
        <f>_xlfn.XLOOKUP(A350,T_Custos[Produto],T_Custos[Und])</f>
        <v>bd</v>
      </c>
      <c r="D350" s="72">
        <v>1.5</v>
      </c>
      <c r="E350" s="138">
        <v>0</v>
      </c>
      <c r="F350" s="138">
        <v>0</v>
      </c>
      <c r="G350" s="138">
        <v>3</v>
      </c>
    </row>
    <row r="351" spans="1:7" x14ac:dyDescent="0.35">
      <c r="A351" s="134" t="s">
        <v>181</v>
      </c>
      <c r="B351" s="67">
        <f>_xlfn.XLOOKUP(A351,T_Custos[Produto],T_Custos[Peso])</f>
        <v>10</v>
      </c>
      <c r="C351" s="78" t="str">
        <f>_xlfn.XLOOKUP(A351,T_Custos[Produto],T_Custos[Und])</f>
        <v>bd</v>
      </c>
      <c r="D351" s="72">
        <v>3.5</v>
      </c>
      <c r="E351" s="138">
        <v>0</v>
      </c>
      <c r="F351" s="138">
        <v>0</v>
      </c>
      <c r="G351" s="138">
        <v>3</v>
      </c>
    </row>
    <row r="352" spans="1:7" x14ac:dyDescent="0.35">
      <c r="A352" s="134" t="s">
        <v>182</v>
      </c>
      <c r="B352" s="67">
        <f>_xlfn.XLOOKUP(A352,T_Custos[Produto],T_Custos[Peso])</f>
        <v>10</v>
      </c>
      <c r="C352" s="78" t="str">
        <f>_xlfn.XLOOKUP(A352,T_Custos[Produto],T_Custos[Und])</f>
        <v>bd</v>
      </c>
      <c r="D352" s="72">
        <v>1.5</v>
      </c>
      <c r="E352" s="138">
        <v>0</v>
      </c>
      <c r="F352" s="138">
        <v>0</v>
      </c>
      <c r="G352" s="138">
        <v>3</v>
      </c>
    </row>
    <row r="353" spans="1:7" x14ac:dyDescent="0.35">
      <c r="A353" s="134" t="s">
        <v>178</v>
      </c>
      <c r="B353" s="67">
        <f>_xlfn.XLOOKUP(A353,T_Custos[Produto],T_Custos[Peso])</f>
        <v>10</v>
      </c>
      <c r="C353" s="78" t="str">
        <f>_xlfn.XLOOKUP(A353,T_Custos[Produto],T_Custos[Und])</f>
        <v>bd</v>
      </c>
      <c r="D353" s="72">
        <v>1.5</v>
      </c>
      <c r="E353" s="138">
        <v>2</v>
      </c>
      <c r="F353" s="138">
        <v>3.5</v>
      </c>
      <c r="G353" s="138">
        <v>3.6</v>
      </c>
    </row>
    <row r="354" spans="1:7" x14ac:dyDescent="0.35">
      <c r="A354" s="134" t="s">
        <v>437</v>
      </c>
      <c r="B354" s="67">
        <f>_xlfn.XLOOKUP(A354,T_Custos[Produto],T_Custos[Peso])</f>
        <v>1</v>
      </c>
      <c r="C354" s="78" t="str">
        <f>_xlfn.XLOOKUP(A354,T_Custos[Produto],T_Custos[Und])</f>
        <v>bd</v>
      </c>
      <c r="D354" s="72">
        <v>0.14000000000000001</v>
      </c>
      <c r="E354" s="138">
        <v>0</v>
      </c>
      <c r="F354" s="138">
        <v>0</v>
      </c>
      <c r="G354" s="138">
        <v>0.2</v>
      </c>
    </row>
    <row r="355" spans="1:7" x14ac:dyDescent="0.35">
      <c r="A355" s="134" t="s">
        <v>183</v>
      </c>
      <c r="B355" s="67">
        <f>_xlfn.XLOOKUP(A355,T_Custos[Produto],T_Custos[Peso])</f>
        <v>1</v>
      </c>
      <c r="C355" s="78" t="str">
        <f>_xlfn.XLOOKUP(A355,T_Custos[Produto],T_Custos[Und])</f>
        <v>bd</v>
      </c>
      <c r="D355" s="72">
        <v>0.14000000000000001</v>
      </c>
      <c r="E355" s="138">
        <v>0</v>
      </c>
      <c r="F355" s="138">
        <v>0</v>
      </c>
      <c r="G355" s="138">
        <v>0.2</v>
      </c>
    </row>
    <row r="356" spans="1:7" x14ac:dyDescent="0.35">
      <c r="A356" s="134" t="s">
        <v>184</v>
      </c>
      <c r="B356" s="67">
        <f>_xlfn.XLOOKUP(A356,T_Custos[Produto],T_Custos[Peso])</f>
        <v>12</v>
      </c>
      <c r="C356" s="78" t="str">
        <f>_xlfn.XLOOKUP(A356,T_Custos[Produto],T_Custos[Und])</f>
        <v>kg</v>
      </c>
      <c r="D356" s="72">
        <v>5.5</v>
      </c>
      <c r="E356" s="138">
        <v>3.8</v>
      </c>
      <c r="F356" s="138">
        <v>5.5</v>
      </c>
      <c r="G356" s="138">
        <v>3.95</v>
      </c>
    </row>
    <row r="357" spans="1:7" x14ac:dyDescent="0.35">
      <c r="A357" s="134" t="s">
        <v>185</v>
      </c>
      <c r="B357" s="67">
        <f>_xlfn.XLOOKUP(A357,T_Custos[Produto],T_Custos[Peso])</f>
        <v>12</v>
      </c>
      <c r="C357" s="78" t="str">
        <f>_xlfn.XLOOKUP(A357,T_Custos[Produto],T_Custos[Und])</f>
        <v>kg</v>
      </c>
      <c r="D357" s="72">
        <v>5.5</v>
      </c>
      <c r="E357" s="138">
        <v>3.8</v>
      </c>
      <c r="F357" s="138">
        <v>5.5</v>
      </c>
      <c r="G357" s="138">
        <v>3.95</v>
      </c>
    </row>
    <row r="358" spans="1:7" x14ac:dyDescent="0.35">
      <c r="A358" s="134" t="s">
        <v>438</v>
      </c>
      <c r="B358" s="67">
        <f>_xlfn.XLOOKUP(A358,T_Custos[Produto],T_Custos[Peso])</f>
        <v>1</v>
      </c>
      <c r="C358" s="78" t="str">
        <f>_xlfn.XLOOKUP(A358,T_Custos[Produto],T_Custos[Und])</f>
        <v>bd</v>
      </c>
      <c r="D358" s="72">
        <v>0.14000000000000001</v>
      </c>
      <c r="E358" s="138">
        <v>0</v>
      </c>
      <c r="F358" s="138">
        <v>0</v>
      </c>
      <c r="G358" s="138">
        <v>0.2</v>
      </c>
    </row>
  </sheetData>
  <sheetProtection sheet="1" objects="1" scenarios="1"/>
  <conditionalFormatting sqref="A2:A355">
    <cfRule type="duplicateValues" dxfId="7" priority="4"/>
  </conditionalFormatting>
  <conditionalFormatting sqref="A356">
    <cfRule type="duplicateValues" dxfId="6" priority="21"/>
  </conditionalFormatting>
  <conditionalFormatting sqref="A357">
    <cfRule type="duplicateValues" dxfId="5" priority="2"/>
  </conditionalFormatting>
  <conditionalFormatting sqref="A358">
    <cfRule type="duplicateValues" dxfId="4" priority="1"/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>
    <tabColor rgb="FFFFC000"/>
  </sheetPr>
  <dimension ref="A1:T112"/>
  <sheetViews>
    <sheetView zoomScaleSheetLayoutView="80" workbookViewId="0">
      <pane xSplit="1" topLeftCell="B1" activePane="topRight" state="frozen"/>
      <selection pane="topRight" activeCell="B10" sqref="B10"/>
    </sheetView>
  </sheetViews>
  <sheetFormatPr defaultRowHeight="14.5" x14ac:dyDescent="0.35"/>
  <cols>
    <col min="1" max="1" width="9.453125" style="4" bestFit="1" customWidth="1"/>
    <col min="2" max="2" width="50.54296875" style="3" customWidth="1"/>
    <col min="3" max="3" width="18.1796875" style="4" hidden="1" customWidth="1"/>
    <col min="4" max="4" width="17.81640625" style="4" hidden="1" customWidth="1"/>
    <col min="5" max="5" width="27.81640625" style="5" hidden="1" customWidth="1"/>
    <col min="6" max="6" width="31.1796875" hidden="1" customWidth="1"/>
    <col min="7" max="8" width="16.81640625" style="6" hidden="1" customWidth="1"/>
    <col min="9" max="9" width="18.1796875" style="6" bestFit="1" customWidth="1"/>
    <col min="10" max="12" width="18.1796875" style="6" customWidth="1"/>
    <col min="13" max="13" width="27.1796875" style="7" customWidth="1"/>
    <col min="14" max="14" width="0" hidden="1" customWidth="1"/>
    <col min="15" max="15" width="21" hidden="1" customWidth="1"/>
    <col min="16" max="17" width="14.81640625" customWidth="1"/>
    <col min="19" max="19" width="16.54296875" bestFit="1" customWidth="1"/>
    <col min="20" max="20" width="16.453125" bestFit="1" customWidth="1"/>
  </cols>
  <sheetData>
    <row r="1" spans="1:20" x14ac:dyDescent="0.35">
      <c r="G1" s="6" t="s">
        <v>277</v>
      </c>
      <c r="H1" s="6" t="s">
        <v>278</v>
      </c>
      <c r="I1" s="6" t="s">
        <v>277</v>
      </c>
      <c r="J1" s="6" t="s">
        <v>278</v>
      </c>
      <c r="K1" s="6" t="s">
        <v>277</v>
      </c>
      <c r="L1" s="6" t="s">
        <v>278</v>
      </c>
    </row>
    <row r="2" spans="1:20" x14ac:dyDescent="0.35">
      <c r="A2" s="8" t="s">
        <v>279</v>
      </c>
      <c r="B2" s="8" t="s">
        <v>280</v>
      </c>
      <c r="C2" s="8" t="s">
        <v>281</v>
      </c>
      <c r="D2" s="9" t="s">
        <v>282</v>
      </c>
      <c r="E2" s="10" t="s">
        <v>283</v>
      </c>
      <c r="F2" s="8" t="s">
        <v>284</v>
      </c>
      <c r="G2" s="11" t="s">
        <v>285</v>
      </c>
      <c r="H2" s="11" t="s">
        <v>285</v>
      </c>
      <c r="I2" s="12" t="s">
        <v>286</v>
      </c>
      <c r="J2" s="12" t="s">
        <v>286</v>
      </c>
      <c r="K2" s="13">
        <v>0.2</v>
      </c>
      <c r="L2" s="13">
        <v>0.2</v>
      </c>
      <c r="M2" s="14" t="s">
        <v>284</v>
      </c>
      <c r="P2" s="15" t="s">
        <v>287</v>
      </c>
      <c r="Q2" s="15" t="s">
        <v>287</v>
      </c>
      <c r="S2" s="16" t="s">
        <v>288</v>
      </c>
      <c r="T2" s="16" t="s">
        <v>289</v>
      </c>
    </row>
    <row r="3" spans="1:20" x14ac:dyDescent="0.35">
      <c r="A3" s="17">
        <v>1661</v>
      </c>
      <c r="B3" s="18" t="s">
        <v>0</v>
      </c>
      <c r="C3" s="19"/>
      <c r="D3" s="19"/>
      <c r="E3" s="20"/>
      <c r="F3" s="21"/>
      <c r="G3" s="95">
        <v>9.82</v>
      </c>
      <c r="H3" s="95">
        <v>9.44</v>
      </c>
      <c r="I3" s="22">
        <f>_xlfn.XLOOKUP(A3,T_Custos[BP],T_Custos[Custo])/_xlfn.XLOOKUP(A3,T_Custos[BP],T_Custos[Peso])*(1+Margens!$B$5)+_xlfn.XLOOKUP(A3,T_Custos[BP],T_Custos[Frete])/_xlfn.XLOOKUP(A3,T_Custos[BP],T_Custos[Peso])</f>
        <v>5.6</v>
      </c>
      <c r="J3" s="23">
        <f t="shared" ref="J3:J66" si="0">I3/1.3*1.25</f>
        <v>5.3846153846153841</v>
      </c>
      <c r="K3" s="22">
        <f>IFERROR(IF(G3=0,I3,IF(G3&gt;I3/1.35*1.25,G3,I3/1.35*1.2)),"EM FALTA")</f>
        <v>9.82</v>
      </c>
      <c r="L3" s="22">
        <f>IFERROR(IF(H3=0,J3,IF(H3&gt;J3/1.35*1.25,H3,J3/1.35*1.2)),"EM FALTA")</f>
        <v>9.44</v>
      </c>
      <c r="M3" s="24"/>
      <c r="P3" s="25">
        <f t="shared" ref="P3:Q20" si="1">(I3-G3)/G3</f>
        <v>-0.429735234215886</v>
      </c>
      <c r="Q3" s="25">
        <f t="shared" si="1"/>
        <v>-0.42959582790091266</v>
      </c>
      <c r="S3" s="16">
        <f>IF(I3=0,G3,I3)</f>
        <v>5.6</v>
      </c>
      <c r="T3" s="26">
        <v>8.9</v>
      </c>
    </row>
    <row r="4" spans="1:20" x14ac:dyDescent="0.35">
      <c r="A4" s="17">
        <v>1662</v>
      </c>
      <c r="B4" s="18" t="s">
        <v>290</v>
      </c>
      <c r="C4" s="27"/>
      <c r="D4" s="28"/>
      <c r="E4" s="29"/>
      <c r="F4" s="30"/>
      <c r="G4" s="96"/>
      <c r="H4" s="97"/>
      <c r="I4" s="22" t="e">
        <f>_xlfn.XLOOKUP(A4,T_Custos[BP],T_Custos[Custo])/_xlfn.XLOOKUP(A4,T_Custos[BP],T_Custos[Peso])*(1+Margens!$B$5)+_xlfn.XLOOKUP(A4,T_Custos[BP],T_Custos[Frete])/_xlfn.XLOOKUP(A4,T_Custos[BP],T_Custos[Peso])</f>
        <v>#N/A</v>
      </c>
      <c r="J4" s="23" t="e">
        <f t="shared" si="0"/>
        <v>#N/A</v>
      </c>
      <c r="K4" s="22" t="str">
        <f t="shared" ref="K4:K67" si="2">IFERROR(IF(G4=0,I4,IF(G4&gt;I4/1.35*1.25,G4,I4/1.35*1.2)),"EM FALTA")</f>
        <v>EM FALTA</v>
      </c>
      <c r="L4" s="22" t="str">
        <f t="shared" ref="L4:L67" si="3">IFERROR(IF(H4=0,J4,IF(H4&gt;J4/1.35*1.25,H4,J4/1.35*1.2)),"EM FALTA")</f>
        <v>EM FALTA</v>
      </c>
      <c r="M4" s="24"/>
      <c r="O4" s="2"/>
      <c r="P4" s="25" t="e">
        <f t="shared" si="1"/>
        <v>#N/A</v>
      </c>
      <c r="Q4" s="25" t="e">
        <f t="shared" si="1"/>
        <v>#N/A</v>
      </c>
    </row>
    <row r="5" spans="1:20" x14ac:dyDescent="0.35">
      <c r="A5" s="17">
        <v>18786</v>
      </c>
      <c r="B5" s="18" t="s">
        <v>333</v>
      </c>
      <c r="C5" s="31"/>
      <c r="D5" s="32"/>
      <c r="E5" s="29"/>
      <c r="F5" s="21"/>
      <c r="G5" s="98">
        <v>7.5</v>
      </c>
      <c r="H5" s="98">
        <v>7.21</v>
      </c>
      <c r="I5" s="22">
        <f>_xlfn.XLOOKUP(A5,T_Custos[BP],T_Custos[Custo])/_xlfn.XLOOKUP(A5,T_Custos[BP],T_Custos[Peso])*(1+Margens!$B$5)+_xlfn.XLOOKUP(A5,T_Custos[BP],T_Custos[Frete])/_xlfn.XLOOKUP(A5,T_Custos[BP],T_Custos[Peso])</f>
        <v>7.9859999999999998</v>
      </c>
      <c r="J5" s="23">
        <f t="shared" si="0"/>
        <v>7.6788461538461537</v>
      </c>
      <c r="K5" s="22">
        <f t="shared" si="2"/>
        <v>7.5</v>
      </c>
      <c r="L5" s="22">
        <f t="shared" si="3"/>
        <v>7.21</v>
      </c>
      <c r="M5" s="24"/>
      <c r="P5" s="25">
        <f t="shared" si="1"/>
        <v>6.4799999999999969E-2</v>
      </c>
      <c r="Q5" s="25">
        <f t="shared" si="1"/>
        <v>6.5027205803904808E-2</v>
      </c>
    </row>
    <row r="6" spans="1:20" x14ac:dyDescent="0.35">
      <c r="A6" s="17">
        <v>1663</v>
      </c>
      <c r="B6" s="18" t="s">
        <v>291</v>
      </c>
      <c r="C6" s="31"/>
      <c r="D6" s="32"/>
      <c r="E6" s="29"/>
      <c r="F6" s="21"/>
      <c r="G6" s="96">
        <v>2.59</v>
      </c>
      <c r="H6" s="96">
        <v>2.4900000000000002</v>
      </c>
      <c r="I6" s="22">
        <f>_xlfn.XLOOKUP(A6,T_Custos[BP],T_Custos[Custo])/_xlfn.XLOOKUP(A6,T_Custos[BP],T_Custos[Peso])*(1+Margens!$B$5)+_xlfn.XLOOKUP(A6,T_Custos[BP],T_Custos[Frete])/_xlfn.XLOOKUP(A6,T_Custos[BP],T_Custos[Peso])</f>
        <v>2.6385000000000001</v>
      </c>
      <c r="J6" s="23">
        <f t="shared" si="0"/>
        <v>2.5370192307692307</v>
      </c>
      <c r="K6" s="22">
        <f t="shared" si="2"/>
        <v>2.59</v>
      </c>
      <c r="L6" s="22">
        <f t="shared" si="3"/>
        <v>2.4900000000000002</v>
      </c>
      <c r="M6" s="24"/>
      <c r="P6" s="25">
        <f t="shared" si="1"/>
        <v>1.8725868725868809E-2</v>
      </c>
      <c r="Q6" s="25">
        <f t="shared" si="1"/>
        <v>1.8883225208526318E-2</v>
      </c>
    </row>
    <row r="7" spans="1:20" x14ac:dyDescent="0.35">
      <c r="A7" s="17">
        <v>9910</v>
      </c>
      <c r="B7" s="18" t="s">
        <v>7</v>
      </c>
      <c r="C7" s="31"/>
      <c r="D7" s="32"/>
      <c r="E7" s="33"/>
      <c r="F7" s="34"/>
      <c r="G7" s="98">
        <v>2.23</v>
      </c>
      <c r="H7" s="98">
        <v>2.14</v>
      </c>
      <c r="I7" s="22">
        <f>_xlfn.XLOOKUP(A7,T_Custos[BP],T_Custos[Custo])/_xlfn.XLOOKUP(A7,T_Custos[BP],T_Custos[Peso])*(1+Margens!$B$5)+_xlfn.XLOOKUP(A7,T_Custos[BP],T_Custos[Frete])/_xlfn.XLOOKUP(A7,T_Custos[BP],T_Custos[Peso])</f>
        <v>1.8334999999999999</v>
      </c>
      <c r="J7" s="23">
        <f t="shared" si="0"/>
        <v>1.7629807692307691</v>
      </c>
      <c r="K7" s="22">
        <f t="shared" si="2"/>
        <v>2.23</v>
      </c>
      <c r="L7" s="22">
        <f t="shared" si="3"/>
        <v>2.14</v>
      </c>
      <c r="M7" s="24"/>
      <c r="P7" s="25">
        <f t="shared" si="1"/>
        <v>-0.17780269058295967</v>
      </c>
      <c r="Q7" s="25">
        <f t="shared" si="1"/>
        <v>-0.17617721063982758</v>
      </c>
    </row>
    <row r="8" spans="1:20" x14ac:dyDescent="0.35">
      <c r="A8" s="17">
        <v>34960</v>
      </c>
      <c r="B8" s="18" t="s">
        <v>9</v>
      </c>
      <c r="C8" s="31"/>
      <c r="D8" s="32"/>
      <c r="E8" s="33"/>
      <c r="F8" s="34"/>
      <c r="G8" s="98"/>
      <c r="H8" s="98"/>
      <c r="I8" s="22">
        <f>_xlfn.XLOOKUP(A8,T_Custos[BP],T_Custos[Custo])/_xlfn.XLOOKUP(A8,T_Custos[BP],T_Custos[Peso])*(1+Margens!$B$5)+_xlfn.XLOOKUP(A8,T_Custos[BP],T_Custos[Frete])/_xlfn.XLOOKUP(A8,T_Custos[BP],T_Custos[Peso])</f>
        <v>2.8299999999999996</v>
      </c>
      <c r="J8" s="23">
        <f t="shared" si="0"/>
        <v>2.7211538461538458</v>
      </c>
      <c r="K8" s="22">
        <f t="shared" si="2"/>
        <v>2.8299999999999996</v>
      </c>
      <c r="L8" s="22">
        <f t="shared" si="3"/>
        <v>2.7211538461538458</v>
      </c>
      <c r="M8" s="24"/>
      <c r="P8" s="25" t="e">
        <f t="shared" si="1"/>
        <v>#DIV/0!</v>
      </c>
      <c r="Q8" s="25" t="e">
        <f t="shared" si="1"/>
        <v>#DIV/0!</v>
      </c>
    </row>
    <row r="9" spans="1:20" x14ac:dyDescent="0.35">
      <c r="A9" s="17">
        <v>1664</v>
      </c>
      <c r="B9" s="18" t="s">
        <v>10</v>
      </c>
      <c r="C9" s="31"/>
      <c r="D9" s="32"/>
      <c r="E9" s="29"/>
      <c r="F9" s="21"/>
      <c r="G9" s="99">
        <v>2.6</v>
      </c>
      <c r="H9" s="99">
        <v>2.5</v>
      </c>
      <c r="I9" s="22">
        <f>_xlfn.XLOOKUP(A9,T_Custos[BP],T_Custos[Custo])/_xlfn.XLOOKUP(A9,T_Custos[BP],T_Custos[Peso])*(1+Margens!$B$5)+_xlfn.XLOOKUP(A9,T_Custos[BP],T_Custos[Frete])/_xlfn.XLOOKUP(A9,T_Custos[BP],T_Custos[Peso])</f>
        <v>3.0639999999999996</v>
      </c>
      <c r="J9" s="23">
        <f t="shared" si="0"/>
        <v>2.9461538461538455</v>
      </c>
      <c r="K9" s="22">
        <f t="shared" si="2"/>
        <v>2.7235555555555546</v>
      </c>
      <c r="L9" s="22">
        <f t="shared" si="3"/>
        <v>2.6188034188034179</v>
      </c>
      <c r="M9" s="24"/>
      <c r="P9" s="25">
        <f t="shared" si="1"/>
        <v>0.17846153846153828</v>
      </c>
      <c r="Q9" s="25">
        <f t="shared" si="1"/>
        <v>0.17846153846153817</v>
      </c>
    </row>
    <row r="10" spans="1:20" x14ac:dyDescent="0.35">
      <c r="A10" s="17">
        <v>1665</v>
      </c>
      <c r="B10" s="18" t="s">
        <v>292</v>
      </c>
      <c r="C10" s="31"/>
      <c r="D10" s="32"/>
      <c r="E10" s="33"/>
      <c r="F10" s="34"/>
      <c r="G10" s="100">
        <v>2.4</v>
      </c>
      <c r="H10" s="100">
        <v>1.97</v>
      </c>
      <c r="I10" s="22">
        <f>_xlfn.XLOOKUP(A10,T_Custos[BP],T_Custos[Custo])/_xlfn.XLOOKUP(A10,T_Custos[BP],T_Custos[Peso])*(1+Margens!$B$5)+_xlfn.XLOOKUP(A10,T_Custos[BP],T_Custos[Frete])/_xlfn.XLOOKUP(A10,T_Custos[BP],T_Custos[Peso])</f>
        <v>6.2941176470588234</v>
      </c>
      <c r="J10" s="23">
        <f t="shared" si="0"/>
        <v>6.0520361990950224</v>
      </c>
      <c r="K10" s="22">
        <f t="shared" si="2"/>
        <v>5.594771241830065</v>
      </c>
      <c r="L10" s="22">
        <f t="shared" si="3"/>
        <v>5.3795877325289085</v>
      </c>
      <c r="M10" s="24"/>
      <c r="P10" s="25">
        <f t="shared" si="1"/>
        <v>1.6225490196078431</v>
      </c>
      <c r="Q10" s="25">
        <f t="shared" si="1"/>
        <v>2.0720995934492503</v>
      </c>
    </row>
    <row r="11" spans="1:20" x14ac:dyDescent="0.35">
      <c r="A11" s="17">
        <v>31547</v>
      </c>
      <c r="B11" s="18" t="s">
        <v>339</v>
      </c>
      <c r="C11" s="31"/>
      <c r="D11" s="32"/>
      <c r="E11" s="33"/>
      <c r="F11" s="34"/>
      <c r="G11" s="98"/>
      <c r="H11" s="98"/>
      <c r="I11" s="22" t="e">
        <f>_xlfn.XLOOKUP(A11,T_Custos[BP],T_Custos[Custo])/_xlfn.XLOOKUP(A11,T_Custos[BP],T_Custos[Peso])*(1+Margens!$B$5)+_xlfn.XLOOKUP(A11,T_Custos[BP],T_Custos[Frete])/_xlfn.XLOOKUP(A11,T_Custos[BP],T_Custos[Peso])</f>
        <v>#N/A</v>
      </c>
      <c r="J11" s="23" t="e">
        <f t="shared" si="0"/>
        <v>#N/A</v>
      </c>
      <c r="K11" s="22" t="str">
        <f t="shared" si="2"/>
        <v>EM FALTA</v>
      </c>
      <c r="L11" s="22" t="str">
        <f t="shared" si="3"/>
        <v>EM FALTA</v>
      </c>
      <c r="M11" s="24"/>
      <c r="P11" s="25" t="e">
        <f t="shared" si="1"/>
        <v>#N/A</v>
      </c>
      <c r="Q11" s="25" t="e">
        <f t="shared" si="1"/>
        <v>#N/A</v>
      </c>
    </row>
    <row r="12" spans="1:20" x14ac:dyDescent="0.35">
      <c r="A12" s="17">
        <v>1668</v>
      </c>
      <c r="B12" s="18" t="s">
        <v>293</v>
      </c>
      <c r="C12" s="31"/>
      <c r="D12" s="32"/>
      <c r="E12" s="29"/>
      <c r="F12" s="21"/>
      <c r="G12" s="95">
        <v>1.92</v>
      </c>
      <c r="H12" s="99">
        <v>1.85</v>
      </c>
      <c r="I12" s="22">
        <f>_xlfn.XLOOKUP(A12,T_Custos[BP],T_Custos[Custo])/_xlfn.XLOOKUP(A12,T_Custos[BP],T_Custos[Peso])*(1+Margens!$B$5)+_xlfn.XLOOKUP(A12,T_Custos[BP],T_Custos[Frete])/_xlfn.XLOOKUP(A12,T_Custos[BP],T_Custos[Peso])</f>
        <v>1.9</v>
      </c>
      <c r="J12" s="23">
        <f t="shared" si="0"/>
        <v>1.8269230769230769</v>
      </c>
      <c r="K12" s="22">
        <f t="shared" si="2"/>
        <v>1.92</v>
      </c>
      <c r="L12" s="22">
        <f t="shared" si="3"/>
        <v>1.85</v>
      </c>
      <c r="M12" s="24"/>
      <c r="P12" s="25">
        <f t="shared" si="1"/>
        <v>-1.0416666666666676E-2</v>
      </c>
      <c r="Q12" s="25">
        <f t="shared" si="1"/>
        <v>-1.2474012474012549E-2</v>
      </c>
    </row>
    <row r="13" spans="1:20" x14ac:dyDescent="0.35">
      <c r="A13" s="17">
        <v>1677</v>
      </c>
      <c r="B13" s="18" t="s">
        <v>294</v>
      </c>
      <c r="C13" s="31"/>
      <c r="D13" s="32"/>
      <c r="E13" s="29"/>
      <c r="F13" s="21"/>
      <c r="G13" s="99">
        <v>27.85</v>
      </c>
      <c r="H13" s="101">
        <v>26.78</v>
      </c>
      <c r="I13" s="22">
        <f>_xlfn.XLOOKUP(A13,T_Custos[BP],T_Custos[Custo])/_xlfn.XLOOKUP(A13,T_Custos[BP],T_Custos[Peso])*(1+Margens!$B$5)+_xlfn.XLOOKUP(A13,T_Custos[BP],T_Custos[Frete])/_xlfn.XLOOKUP(A13,T_Custos[BP],T_Custos[Peso])</f>
        <v>29.099999999999998</v>
      </c>
      <c r="J13" s="23">
        <f t="shared" si="0"/>
        <v>27.98076923076923</v>
      </c>
      <c r="K13" s="22">
        <f t="shared" si="2"/>
        <v>27.85</v>
      </c>
      <c r="L13" s="22">
        <f t="shared" si="3"/>
        <v>26.78</v>
      </c>
      <c r="M13" s="24"/>
      <c r="P13" s="25">
        <f t="shared" si="1"/>
        <v>4.4883303411130927E-2</v>
      </c>
      <c r="Q13" s="25">
        <f t="shared" si="1"/>
        <v>4.4838283449187034E-2</v>
      </c>
    </row>
    <row r="14" spans="1:20" x14ac:dyDescent="0.35">
      <c r="A14" s="17">
        <v>26655</v>
      </c>
      <c r="B14" s="18" t="s">
        <v>336</v>
      </c>
      <c r="C14" s="31"/>
      <c r="D14" s="32"/>
      <c r="E14" s="29"/>
      <c r="F14" s="35"/>
      <c r="G14" s="100"/>
      <c r="H14" s="100"/>
      <c r="I14" s="22">
        <f>_xlfn.XLOOKUP(A14,T_Custos[BP],T_Custos[Custo])/_xlfn.XLOOKUP(A14,T_Custos[BP],T_Custos[Peso])*(1+Margens!$B$5)+_xlfn.XLOOKUP(A14,T_Custos[BP],T_Custos[Frete])/_xlfn.XLOOKUP(A14,T_Custos[BP],T_Custos[Peso])</f>
        <v>24.5</v>
      </c>
      <c r="J14" s="23">
        <f t="shared" si="0"/>
        <v>23.557692307692307</v>
      </c>
      <c r="K14" s="22">
        <f t="shared" si="2"/>
        <v>24.5</v>
      </c>
      <c r="L14" s="22">
        <f t="shared" si="3"/>
        <v>23.557692307692307</v>
      </c>
      <c r="M14" s="24"/>
      <c r="O14" s="2"/>
      <c r="P14" s="25" t="e">
        <f t="shared" si="1"/>
        <v>#DIV/0!</v>
      </c>
      <c r="Q14" s="25" t="e">
        <f t="shared" si="1"/>
        <v>#DIV/0!</v>
      </c>
    </row>
    <row r="15" spans="1:20" x14ac:dyDescent="0.35">
      <c r="A15" s="17">
        <v>1678</v>
      </c>
      <c r="B15" s="18" t="s">
        <v>295</v>
      </c>
      <c r="C15" s="31"/>
      <c r="D15" s="32"/>
      <c r="E15" s="29"/>
      <c r="F15" s="21"/>
      <c r="G15" s="98"/>
      <c r="H15" s="98"/>
      <c r="I15" s="22">
        <f>_xlfn.XLOOKUP(A15,T_Custos[BP],T_Custos[Custo])/_xlfn.XLOOKUP(A15,T_Custos[BP],T_Custos[Peso])*(1+Margens!$B$5)+_xlfn.XLOOKUP(A15,T_Custos[BP],T_Custos[Frete])/_xlfn.XLOOKUP(A15,T_Custos[BP],T_Custos[Peso])</f>
        <v>3.2749999999999999</v>
      </c>
      <c r="J15" s="23">
        <f t="shared" si="0"/>
        <v>3.1490384615384617</v>
      </c>
      <c r="K15" s="22">
        <f t="shared" si="2"/>
        <v>3.2749999999999999</v>
      </c>
      <c r="L15" s="22">
        <f t="shared" si="3"/>
        <v>3.1490384615384617</v>
      </c>
      <c r="M15" s="24"/>
      <c r="P15" s="25" t="e">
        <f t="shared" si="1"/>
        <v>#DIV/0!</v>
      </c>
      <c r="Q15" s="25" t="e">
        <f t="shared" si="1"/>
        <v>#DIV/0!</v>
      </c>
    </row>
    <row r="16" spans="1:20" x14ac:dyDescent="0.35">
      <c r="A16" s="17">
        <v>1679</v>
      </c>
      <c r="B16" s="18" t="s">
        <v>296</v>
      </c>
      <c r="C16" s="31"/>
      <c r="D16" s="32"/>
      <c r="E16" s="29"/>
      <c r="F16" s="34"/>
      <c r="G16" s="102"/>
      <c r="H16" s="102"/>
      <c r="I16" s="22" t="e">
        <f>_xlfn.XLOOKUP(A16,T_Custos[BP],T_Custos[Custo])/_xlfn.XLOOKUP(A16,T_Custos[BP],T_Custos[Peso])*(1+Margens!$B$5)+_xlfn.XLOOKUP(A16,T_Custos[BP],T_Custos[Frete])/_xlfn.XLOOKUP(A16,T_Custos[BP],T_Custos[Peso])</f>
        <v>#N/A</v>
      </c>
      <c r="J16" s="23" t="e">
        <f t="shared" si="0"/>
        <v>#N/A</v>
      </c>
      <c r="K16" s="22" t="str">
        <f t="shared" si="2"/>
        <v>EM FALTA</v>
      </c>
      <c r="L16" s="22" t="str">
        <f t="shared" si="3"/>
        <v>EM FALTA</v>
      </c>
      <c r="M16" s="24"/>
      <c r="O16" s="2"/>
      <c r="P16" s="25" t="e">
        <f t="shared" si="1"/>
        <v>#N/A</v>
      </c>
      <c r="Q16" s="25" t="e">
        <f t="shared" si="1"/>
        <v>#N/A</v>
      </c>
    </row>
    <row r="17" spans="1:17" x14ac:dyDescent="0.35">
      <c r="A17" s="17">
        <v>24700</v>
      </c>
      <c r="B17" s="18" t="s">
        <v>17</v>
      </c>
      <c r="C17" s="31"/>
      <c r="D17" s="32"/>
      <c r="E17" s="29"/>
      <c r="F17" s="21"/>
      <c r="G17" s="98">
        <v>20.89</v>
      </c>
      <c r="H17" s="98">
        <v>20.09</v>
      </c>
      <c r="I17" s="22">
        <f>_xlfn.XLOOKUP(A17,T_Custos[BP],T_Custos[Custo])/_xlfn.XLOOKUP(A17,T_Custos[BP],T_Custos[Peso])*(1+Margens!$B$5)+_xlfn.XLOOKUP(A17,T_Custos[BP],T_Custos[Frete])/_xlfn.XLOOKUP(A17,T_Custos[BP],T_Custos[Peso])</f>
        <v>10.466666666666665</v>
      </c>
      <c r="J17" s="23">
        <f t="shared" si="0"/>
        <v>10.064102564102562</v>
      </c>
      <c r="K17" s="22">
        <f t="shared" si="2"/>
        <v>20.89</v>
      </c>
      <c r="L17" s="22">
        <f t="shared" si="3"/>
        <v>20.09</v>
      </c>
      <c r="M17" s="24"/>
      <c r="P17" s="25">
        <f t="shared" si="1"/>
        <v>-0.49896282112653589</v>
      </c>
      <c r="Q17" s="25">
        <f t="shared" si="1"/>
        <v>-0.49904915061709498</v>
      </c>
    </row>
    <row r="18" spans="1:17" x14ac:dyDescent="0.35">
      <c r="A18" s="17">
        <v>1680</v>
      </c>
      <c r="B18" s="18" t="s">
        <v>297</v>
      </c>
      <c r="C18" s="31"/>
      <c r="D18" s="32"/>
      <c r="E18" s="29"/>
      <c r="F18" s="34"/>
      <c r="G18" s="99">
        <v>65.7</v>
      </c>
      <c r="H18" s="99">
        <v>63.17</v>
      </c>
      <c r="I18" s="22">
        <f>_xlfn.XLOOKUP(A18,T_Custos[BP],T_Custos[Custo])/_xlfn.XLOOKUP(A18,T_Custos[BP],T_Custos[Peso])*(1+Margens!$B$5)+_xlfn.XLOOKUP(A18,T_Custos[BP],T_Custos[Frete])/_xlfn.XLOOKUP(A18,T_Custos[BP],T_Custos[Peso])</f>
        <v>58.199999999999996</v>
      </c>
      <c r="J18" s="23">
        <f t="shared" si="0"/>
        <v>55.96153846153846</v>
      </c>
      <c r="K18" s="22">
        <f t="shared" si="2"/>
        <v>65.7</v>
      </c>
      <c r="L18" s="22">
        <f t="shared" si="3"/>
        <v>63.17</v>
      </c>
      <c r="M18" s="24"/>
      <c r="P18" s="25">
        <f t="shared" si="1"/>
        <v>-0.11415525114155262</v>
      </c>
      <c r="Q18" s="25">
        <f t="shared" si="1"/>
        <v>-0.11411210287259049</v>
      </c>
    </row>
    <row r="19" spans="1:17" x14ac:dyDescent="0.35">
      <c r="A19" s="17">
        <v>3054</v>
      </c>
      <c r="B19" s="18" t="s">
        <v>23</v>
      </c>
      <c r="C19" s="31"/>
      <c r="D19" s="32"/>
      <c r="E19" s="29"/>
      <c r="F19" s="21"/>
      <c r="G19" s="100">
        <v>9.41</v>
      </c>
      <c r="H19" s="100">
        <v>9.0500000000000007</v>
      </c>
      <c r="I19" s="22">
        <f>_xlfn.XLOOKUP(A19,T_Custos[BP],T_Custos[Custo])/_xlfn.XLOOKUP(A19,T_Custos[BP],T_Custos[Peso])*(1+Margens!$B$5)+_xlfn.XLOOKUP(A19,T_Custos[BP],T_Custos[Frete])/_xlfn.XLOOKUP(A19,T_Custos[BP],T_Custos[Peso])</f>
        <v>7.1466666666666665</v>
      </c>
      <c r="J19" s="23">
        <f t="shared" si="0"/>
        <v>6.8717948717948723</v>
      </c>
      <c r="K19" s="22">
        <f t="shared" si="2"/>
        <v>9.41</v>
      </c>
      <c r="L19" s="22">
        <f t="shared" si="3"/>
        <v>9.0500000000000007</v>
      </c>
      <c r="M19" s="24"/>
      <c r="P19" s="25">
        <f t="shared" si="1"/>
        <v>-0.24052426496634788</v>
      </c>
      <c r="Q19" s="25">
        <f t="shared" si="1"/>
        <v>-0.24068564952542854</v>
      </c>
    </row>
    <row r="20" spans="1:17" x14ac:dyDescent="0.35">
      <c r="A20" s="17">
        <v>1681</v>
      </c>
      <c r="B20" s="18" t="s">
        <v>298</v>
      </c>
      <c r="C20" s="31"/>
      <c r="D20" s="32"/>
      <c r="E20" s="29"/>
      <c r="F20" s="21"/>
      <c r="G20" s="100">
        <v>5.4</v>
      </c>
      <c r="H20" s="100">
        <v>5.19</v>
      </c>
      <c r="I20" s="22">
        <f>_xlfn.XLOOKUP(A20,T_Custos[BP],T_Custos[Custo])/_xlfn.XLOOKUP(A20,T_Custos[BP],T_Custos[Peso])*(1+Margens!$B$5)+_xlfn.XLOOKUP(A20,T_Custos[BP],T_Custos[Frete])/_xlfn.XLOOKUP(A20,T_Custos[BP],T_Custos[Peso])</f>
        <v>3.6249999999999996</v>
      </c>
      <c r="J20" s="23">
        <f t="shared" si="0"/>
        <v>3.4855769230769225</v>
      </c>
      <c r="K20" s="22">
        <f t="shared" si="2"/>
        <v>5.4</v>
      </c>
      <c r="L20" s="22">
        <f t="shared" si="3"/>
        <v>5.19</v>
      </c>
      <c r="M20" s="24"/>
      <c r="P20" s="25">
        <f t="shared" si="1"/>
        <v>-0.32870370370370383</v>
      </c>
      <c r="Q20" s="25">
        <f t="shared" si="1"/>
        <v>-0.32840521713354098</v>
      </c>
    </row>
    <row r="21" spans="1:17" x14ac:dyDescent="0.35">
      <c r="A21" s="17">
        <v>33702</v>
      </c>
      <c r="B21" s="18" t="s">
        <v>340</v>
      </c>
      <c r="C21" s="31"/>
      <c r="D21" s="32"/>
      <c r="E21" s="29"/>
      <c r="F21" s="21"/>
      <c r="G21" s="98"/>
      <c r="H21" s="98"/>
      <c r="I21" s="22">
        <f>_xlfn.XLOOKUP(A21,T_Custos[BP],T_Custos[Custo])/_xlfn.XLOOKUP(A21,T_Custos[BP],T_Custos[Peso])*(1+Margens!$B$5)+_xlfn.XLOOKUP(A21,T_Custos[BP],T_Custos[Frete])/_xlfn.XLOOKUP(A21,T_Custos[BP],T_Custos[Peso])</f>
        <v>6.5099999999999989</v>
      </c>
      <c r="J21" s="23">
        <f t="shared" si="0"/>
        <v>6.2596153846153832</v>
      </c>
      <c r="K21" s="22">
        <f t="shared" si="2"/>
        <v>6.5099999999999989</v>
      </c>
      <c r="L21" s="22">
        <f t="shared" si="3"/>
        <v>6.2596153846153832</v>
      </c>
      <c r="M21" s="24"/>
      <c r="P21" s="25"/>
      <c r="Q21" s="25"/>
    </row>
    <row r="22" spans="1:17" x14ac:dyDescent="0.35">
      <c r="A22" s="17">
        <v>61046</v>
      </c>
      <c r="B22" s="18" t="s">
        <v>344</v>
      </c>
      <c r="C22" s="31"/>
      <c r="D22" s="32"/>
      <c r="E22" s="29"/>
      <c r="F22" s="21"/>
      <c r="G22" s="98"/>
      <c r="H22" s="98"/>
      <c r="I22" s="22" t="e">
        <f>_xlfn.XLOOKUP(A22,T_Custos[BP],T_Custos[Custo])/_xlfn.XLOOKUP(A22,T_Custos[BP],T_Custos[Peso])*(1+Margens!$B$5)+_xlfn.XLOOKUP(A22,T_Custos[BP],T_Custos[Frete])/_xlfn.XLOOKUP(A22,T_Custos[BP],T_Custos[Peso])</f>
        <v>#N/A</v>
      </c>
      <c r="J22" s="23" t="e">
        <f t="shared" si="0"/>
        <v>#N/A</v>
      </c>
      <c r="K22" s="22" t="str">
        <f t="shared" si="2"/>
        <v>EM FALTA</v>
      </c>
      <c r="L22" s="22" t="str">
        <f t="shared" si="3"/>
        <v>EM FALTA</v>
      </c>
      <c r="M22" s="24"/>
      <c r="P22" s="25" t="e">
        <f t="shared" ref="P22:Q53" si="4">(I22-G22)/G22</f>
        <v>#N/A</v>
      </c>
      <c r="Q22" s="25" t="e">
        <f t="shared" si="4"/>
        <v>#N/A</v>
      </c>
    </row>
    <row r="23" spans="1:17" x14ac:dyDescent="0.35">
      <c r="A23" s="17">
        <v>1682</v>
      </c>
      <c r="B23" s="18" t="s">
        <v>299</v>
      </c>
      <c r="C23" s="31"/>
      <c r="D23" s="32"/>
      <c r="E23" s="33"/>
      <c r="F23" s="34"/>
      <c r="G23" s="99">
        <v>7.36</v>
      </c>
      <c r="H23" s="99">
        <v>7.08</v>
      </c>
      <c r="I23" s="22">
        <f>_xlfn.XLOOKUP(A23,T_Custos[BP],T_Custos[Custo])/_xlfn.XLOOKUP(A23,T_Custos[BP],T_Custos[Peso])*(1+Margens!$B$5)+_xlfn.XLOOKUP(A23,T_Custos[BP],T_Custos[Frete])/_xlfn.XLOOKUP(A23,T_Custos[BP],T_Custos[Peso])</f>
        <v>5.35</v>
      </c>
      <c r="J23" s="23">
        <f t="shared" si="0"/>
        <v>5.1442307692307683</v>
      </c>
      <c r="K23" s="22">
        <f t="shared" si="2"/>
        <v>7.36</v>
      </c>
      <c r="L23" s="22">
        <f t="shared" si="3"/>
        <v>7.08</v>
      </c>
      <c r="M23" s="24"/>
      <c r="P23" s="25">
        <f t="shared" si="4"/>
        <v>-0.2730978260869566</v>
      </c>
      <c r="Q23" s="25">
        <f t="shared" si="4"/>
        <v>-0.27341373315949602</v>
      </c>
    </row>
    <row r="24" spans="1:17" x14ac:dyDescent="0.35">
      <c r="A24" s="17">
        <v>17459</v>
      </c>
      <c r="B24" s="18" t="s">
        <v>28</v>
      </c>
      <c r="C24" s="31"/>
      <c r="D24" s="32"/>
      <c r="E24" s="29"/>
      <c r="F24" s="21"/>
      <c r="G24" s="98">
        <v>4.83</v>
      </c>
      <c r="H24" s="98">
        <v>4.6500000000000004</v>
      </c>
      <c r="I24" s="22">
        <f>_xlfn.XLOOKUP(A24,T_Custos[BP],T_Custos[Custo])/_xlfn.XLOOKUP(A24,T_Custos[BP],T_Custos[Peso])*(1+Margens!$B$5)+_xlfn.XLOOKUP(A24,T_Custos[BP],T_Custos[Frete])/_xlfn.XLOOKUP(A24,T_Custos[BP],T_Custos[Peso])</f>
        <v>2.541666666666667</v>
      </c>
      <c r="J24" s="23">
        <f t="shared" si="0"/>
        <v>2.4439102564102564</v>
      </c>
      <c r="K24" s="22">
        <f t="shared" si="2"/>
        <v>4.83</v>
      </c>
      <c r="L24" s="22">
        <f t="shared" si="3"/>
        <v>4.6500000000000004</v>
      </c>
      <c r="M24" s="24"/>
      <c r="O24" s="2"/>
      <c r="P24" s="25">
        <f t="shared" si="4"/>
        <v>-0.47377501725327809</v>
      </c>
      <c r="Q24" s="25">
        <f t="shared" si="4"/>
        <v>-0.47442790184725675</v>
      </c>
    </row>
    <row r="25" spans="1:17" x14ac:dyDescent="0.35">
      <c r="A25" s="17">
        <v>4751</v>
      </c>
      <c r="B25" s="18" t="s">
        <v>29</v>
      </c>
      <c r="C25" s="31"/>
      <c r="D25" s="32"/>
      <c r="E25" s="29"/>
      <c r="F25" s="34"/>
      <c r="G25" s="103">
        <v>18.3</v>
      </c>
      <c r="H25" s="103">
        <v>17.600000000000001</v>
      </c>
      <c r="I25" s="22">
        <f>_xlfn.XLOOKUP(A25,T_Custos[BP],T_Custos[Custo])/_xlfn.XLOOKUP(A25,T_Custos[BP],T_Custos[Peso])*(1+Margens!$B$5)+_xlfn.XLOOKUP(A25,T_Custos[BP],T_Custos[Frete])/_xlfn.XLOOKUP(A25,T_Custos[BP],T_Custos[Peso])</f>
        <v>9.9499999999999993</v>
      </c>
      <c r="J25" s="23">
        <f t="shared" si="0"/>
        <v>9.5673076923076916</v>
      </c>
      <c r="K25" s="22">
        <f t="shared" si="2"/>
        <v>18.3</v>
      </c>
      <c r="L25" s="22">
        <f t="shared" si="3"/>
        <v>17.600000000000001</v>
      </c>
      <c r="M25" s="24"/>
      <c r="O25" s="2"/>
      <c r="P25" s="25">
        <f t="shared" si="4"/>
        <v>-0.45628415300546454</v>
      </c>
      <c r="Q25" s="25">
        <f t="shared" si="4"/>
        <v>-0.45640297202797209</v>
      </c>
    </row>
    <row r="26" spans="1:17" x14ac:dyDescent="0.35">
      <c r="A26" s="17">
        <v>1683</v>
      </c>
      <c r="B26" s="18" t="s">
        <v>31</v>
      </c>
      <c r="C26" s="31"/>
      <c r="D26" s="32"/>
      <c r="E26" s="36"/>
      <c r="F26" s="21"/>
      <c r="G26" s="100">
        <v>3.93</v>
      </c>
      <c r="H26" s="100">
        <v>3.77</v>
      </c>
      <c r="I26" s="22">
        <f>_xlfn.XLOOKUP(A26,T_Custos[BP],T_Custos[Custo])/_xlfn.XLOOKUP(A26,T_Custos[BP],T_Custos[Peso])*(1+Margens!$B$5)+_xlfn.XLOOKUP(A26,T_Custos[BP],T_Custos[Frete])/_xlfn.XLOOKUP(A26,T_Custos[BP],T_Custos[Peso])</f>
        <v>2.7624999999999997</v>
      </c>
      <c r="J26" s="23">
        <f t="shared" si="0"/>
        <v>2.6562499999999996</v>
      </c>
      <c r="K26" s="22">
        <f t="shared" si="2"/>
        <v>3.93</v>
      </c>
      <c r="L26" s="22">
        <f t="shared" si="3"/>
        <v>3.77</v>
      </c>
      <c r="M26" s="24"/>
      <c r="O26" s="2"/>
      <c r="P26" s="25">
        <f t="shared" si="4"/>
        <v>-0.29707379134860062</v>
      </c>
      <c r="Q26" s="25">
        <f t="shared" si="4"/>
        <v>-0.29542440318302399</v>
      </c>
    </row>
    <row r="27" spans="1:17" x14ac:dyDescent="0.35">
      <c r="A27" s="17">
        <v>25970</v>
      </c>
      <c r="B27" s="18" t="s">
        <v>33</v>
      </c>
      <c r="C27" s="31"/>
      <c r="D27" s="32"/>
      <c r="E27" s="29"/>
      <c r="F27" s="21"/>
      <c r="G27" s="98"/>
      <c r="H27" s="98"/>
      <c r="I27" s="22" t="e">
        <f>_xlfn.XLOOKUP(A27,T_Custos[BP],T_Custos[Custo])/_xlfn.XLOOKUP(A27,T_Custos[BP],T_Custos[Peso])*(1+Margens!$B$5)+_xlfn.XLOOKUP(A27,T_Custos[BP],T_Custos[Frete])/_xlfn.XLOOKUP(A27,T_Custos[BP],T_Custos[Peso])</f>
        <v>#VALUE!</v>
      </c>
      <c r="J27" s="23" t="e">
        <f t="shared" si="0"/>
        <v>#VALUE!</v>
      </c>
      <c r="K27" s="22" t="str">
        <f t="shared" si="2"/>
        <v>EM FALTA</v>
      </c>
      <c r="L27" s="22" t="str">
        <f t="shared" si="3"/>
        <v>EM FALTA</v>
      </c>
      <c r="M27" s="24"/>
      <c r="P27" s="25" t="e">
        <f t="shared" si="4"/>
        <v>#VALUE!</v>
      </c>
      <c r="Q27" s="25" t="e">
        <f t="shared" si="4"/>
        <v>#VALUE!</v>
      </c>
    </row>
    <row r="28" spans="1:17" x14ac:dyDescent="0.35">
      <c r="A28" s="17">
        <v>1684</v>
      </c>
      <c r="B28" s="18" t="s">
        <v>300</v>
      </c>
      <c r="C28" s="31"/>
      <c r="D28" s="32"/>
      <c r="E28" s="29"/>
      <c r="F28" s="21"/>
      <c r="G28" s="100">
        <v>5.09</v>
      </c>
      <c r="H28" s="100">
        <v>4.9000000000000004</v>
      </c>
      <c r="I28" s="22">
        <f>_xlfn.XLOOKUP(A28,T_Custos[BP],T_Custos[Custo])/_xlfn.XLOOKUP(A28,T_Custos[BP],T_Custos[Peso])*(1+Margens!$B$5)+_xlfn.XLOOKUP(A28,T_Custos[BP],T_Custos[Frete])/_xlfn.XLOOKUP(A28,T_Custos[BP],T_Custos[Peso])</f>
        <v>3.9791666666666665</v>
      </c>
      <c r="J28" s="23">
        <f t="shared" si="0"/>
        <v>3.8261217948717947</v>
      </c>
      <c r="K28" s="22">
        <f t="shared" si="2"/>
        <v>5.09</v>
      </c>
      <c r="L28" s="22">
        <f t="shared" si="3"/>
        <v>4.9000000000000004</v>
      </c>
      <c r="M28" s="24"/>
      <c r="P28" s="25">
        <f t="shared" si="4"/>
        <v>-0.21823837590045841</v>
      </c>
      <c r="Q28" s="25">
        <f t="shared" si="4"/>
        <v>-0.21915881737310317</v>
      </c>
    </row>
    <row r="29" spans="1:17" x14ac:dyDescent="0.35">
      <c r="A29" s="17">
        <v>1685</v>
      </c>
      <c r="B29" s="18" t="s">
        <v>37</v>
      </c>
      <c r="C29" s="31"/>
      <c r="D29" s="32"/>
      <c r="E29" s="29"/>
      <c r="F29" s="21"/>
      <c r="G29" s="99">
        <v>4.0999999999999996</v>
      </c>
      <c r="H29" s="99">
        <v>3.94</v>
      </c>
      <c r="I29" s="22">
        <f>_xlfn.XLOOKUP(A29,T_Custos[BP],T_Custos[Custo])/_xlfn.XLOOKUP(A29,T_Custos[BP],T_Custos[Peso])*(1+Margens!$B$5)+_xlfn.XLOOKUP(A29,T_Custos[BP],T_Custos[Frete])/_xlfn.XLOOKUP(A29,T_Custos[BP],T_Custos[Peso])</f>
        <v>3.2250000000000001</v>
      </c>
      <c r="J29" s="23">
        <f t="shared" si="0"/>
        <v>3.1009615384615383</v>
      </c>
      <c r="K29" s="22">
        <f t="shared" si="2"/>
        <v>4.0999999999999996</v>
      </c>
      <c r="L29" s="22">
        <f t="shared" si="3"/>
        <v>3.94</v>
      </c>
      <c r="M29" s="24"/>
      <c r="P29" s="25">
        <f t="shared" si="4"/>
        <v>-0.21341463414634138</v>
      </c>
      <c r="Q29" s="25">
        <f t="shared" si="4"/>
        <v>-0.2129539242483405</v>
      </c>
    </row>
    <row r="30" spans="1:17" x14ac:dyDescent="0.35">
      <c r="A30" s="17">
        <v>1686</v>
      </c>
      <c r="B30" s="18" t="s">
        <v>39</v>
      </c>
      <c r="C30" s="31"/>
      <c r="D30" s="32"/>
      <c r="E30" s="29"/>
      <c r="F30" s="21"/>
      <c r="G30" s="104">
        <v>3.3</v>
      </c>
      <c r="H30" s="104">
        <v>3.17</v>
      </c>
      <c r="I30" s="22">
        <f>_xlfn.XLOOKUP(A30,T_Custos[BP],T_Custos[Custo])/_xlfn.XLOOKUP(A30,T_Custos[BP],T_Custos[Peso])*(1+Margens!$B$5)+_xlfn.XLOOKUP(A30,T_Custos[BP],T_Custos[Frete])/_xlfn.XLOOKUP(A30,T_Custos[BP],T_Custos[Peso])</f>
        <v>2.1874999999999996</v>
      </c>
      <c r="J30" s="23">
        <f t="shared" si="0"/>
        <v>2.1033653846153841</v>
      </c>
      <c r="K30" s="22">
        <f t="shared" si="2"/>
        <v>3.3</v>
      </c>
      <c r="L30" s="22">
        <f t="shared" si="3"/>
        <v>3.17</v>
      </c>
      <c r="M30" s="24"/>
      <c r="P30" s="25">
        <f t="shared" si="4"/>
        <v>-0.33712121212121221</v>
      </c>
      <c r="Q30" s="25">
        <f t="shared" si="4"/>
        <v>-0.33647779665129834</v>
      </c>
    </row>
    <row r="31" spans="1:17" ht="13.25" customHeight="1" x14ac:dyDescent="0.35">
      <c r="A31" s="17">
        <v>1689</v>
      </c>
      <c r="B31" s="18" t="s">
        <v>301</v>
      </c>
      <c r="C31" s="31"/>
      <c r="D31" s="32"/>
      <c r="E31" s="29"/>
      <c r="F31" s="21"/>
      <c r="G31" s="98">
        <v>25.75</v>
      </c>
      <c r="H31" s="98">
        <v>24.76</v>
      </c>
      <c r="I31" s="22">
        <f>_xlfn.XLOOKUP(A31,T_Custos[BP],T_Custos[Custo])/_xlfn.XLOOKUP(A31,T_Custos[BP],T_Custos[Peso])*(1+Margens!$B$5)+_xlfn.XLOOKUP(A31,T_Custos[BP],T_Custos[Frete])/_xlfn.XLOOKUP(A31,T_Custos[BP],T_Custos[Peso])</f>
        <v>24.25</v>
      </c>
      <c r="J31" s="23">
        <f t="shared" si="0"/>
        <v>23.317307692307693</v>
      </c>
      <c r="K31" s="22">
        <f t="shared" si="2"/>
        <v>25.75</v>
      </c>
      <c r="L31" s="22">
        <f t="shared" si="3"/>
        <v>24.76</v>
      </c>
      <c r="M31" s="24"/>
      <c r="P31" s="25">
        <f t="shared" si="4"/>
        <v>-5.8252427184466021E-2</v>
      </c>
      <c r="Q31" s="25">
        <f t="shared" si="4"/>
        <v>-5.8267056045731347E-2</v>
      </c>
    </row>
    <row r="32" spans="1:17" x14ac:dyDescent="0.35">
      <c r="A32" s="17">
        <v>3566</v>
      </c>
      <c r="B32" s="18" t="s">
        <v>43</v>
      </c>
      <c r="C32" s="31"/>
      <c r="D32" s="32"/>
      <c r="E32" s="29"/>
      <c r="F32" s="21"/>
      <c r="G32" s="98">
        <v>9.4</v>
      </c>
      <c r="H32" s="98">
        <v>9.0399999999999991</v>
      </c>
      <c r="I32" s="22">
        <f>_xlfn.XLOOKUP(A32,T_Custos[BP],T_Custos[Custo])/_xlfn.XLOOKUP(A32,T_Custos[BP],T_Custos[Peso])*(1+Margens!$B$5)+_xlfn.XLOOKUP(A32,T_Custos[BP],T_Custos[Frete])/_xlfn.XLOOKUP(A32,T_Custos[BP],T_Custos[Peso])</f>
        <v>7.5166666666666657</v>
      </c>
      <c r="J32" s="23">
        <f t="shared" si="0"/>
        <v>7.2275641025641013</v>
      </c>
      <c r="K32" s="22">
        <f t="shared" si="2"/>
        <v>9.4</v>
      </c>
      <c r="L32" s="22">
        <f t="shared" si="3"/>
        <v>9.0399999999999991</v>
      </c>
      <c r="M32" s="24"/>
      <c r="P32" s="25">
        <f t="shared" si="4"/>
        <v>-0.20035460992907814</v>
      </c>
      <c r="Q32" s="25">
        <f t="shared" si="4"/>
        <v>-0.20049069661901528</v>
      </c>
    </row>
    <row r="33" spans="1:17" x14ac:dyDescent="0.35">
      <c r="A33" s="17">
        <v>1692</v>
      </c>
      <c r="B33" s="18" t="s">
        <v>302</v>
      </c>
      <c r="C33" s="31"/>
      <c r="D33" s="32"/>
      <c r="E33" s="29"/>
      <c r="F33" s="21"/>
      <c r="G33" s="98">
        <v>5</v>
      </c>
      <c r="H33" s="98">
        <v>4.8099999999999996</v>
      </c>
      <c r="I33" s="22">
        <f>_xlfn.XLOOKUP(A33,T_Custos[BP],T_Custos[Custo])/_xlfn.XLOOKUP(A33,T_Custos[BP],T_Custos[Peso])*(1+Margens!$B$5)+_xlfn.XLOOKUP(A33,T_Custos[BP],T_Custos[Frete])/_xlfn.XLOOKUP(A33,T_Custos[BP],T_Custos[Peso])</f>
        <v>2.3026315789473681</v>
      </c>
      <c r="J33" s="23">
        <f t="shared" si="0"/>
        <v>2.2140688259109309</v>
      </c>
      <c r="K33" s="22">
        <f t="shared" si="2"/>
        <v>5</v>
      </c>
      <c r="L33" s="22">
        <f t="shared" si="3"/>
        <v>4.8099999999999996</v>
      </c>
      <c r="M33" s="24"/>
      <c r="P33" s="25">
        <f t="shared" si="4"/>
        <v>-0.53947368421052633</v>
      </c>
      <c r="Q33" s="25">
        <f t="shared" si="4"/>
        <v>-0.53969463078774826</v>
      </c>
    </row>
    <row r="34" spans="1:17" x14ac:dyDescent="0.35">
      <c r="A34" s="17">
        <v>28037</v>
      </c>
      <c r="B34" s="18" t="s">
        <v>45</v>
      </c>
      <c r="C34" s="31"/>
      <c r="D34" s="32"/>
      <c r="E34" s="29"/>
      <c r="F34" s="21"/>
      <c r="G34" s="98"/>
      <c r="H34" s="98"/>
      <c r="I34" s="22" t="e">
        <f>_xlfn.XLOOKUP(A34,T_Custos[BP],T_Custos[Custo])/_xlfn.XLOOKUP(A34,T_Custos[BP],T_Custos[Peso])*(1+Margens!$B$5)+_xlfn.XLOOKUP(A34,T_Custos[BP],T_Custos[Frete])/_xlfn.XLOOKUP(A34,T_Custos[BP],T_Custos[Peso])</f>
        <v>#VALUE!</v>
      </c>
      <c r="J34" s="23" t="e">
        <f t="shared" si="0"/>
        <v>#VALUE!</v>
      </c>
      <c r="K34" s="22" t="str">
        <f t="shared" si="2"/>
        <v>EM FALTA</v>
      </c>
      <c r="L34" s="22" t="str">
        <f t="shared" si="3"/>
        <v>EM FALTA</v>
      </c>
      <c r="M34" s="24"/>
      <c r="P34" s="25" t="e">
        <f t="shared" si="4"/>
        <v>#VALUE!</v>
      </c>
      <c r="Q34" s="25" t="e">
        <f t="shared" si="4"/>
        <v>#VALUE!</v>
      </c>
    </row>
    <row r="35" spans="1:17" x14ac:dyDescent="0.35">
      <c r="A35" s="17">
        <v>1693</v>
      </c>
      <c r="B35" s="18" t="s">
        <v>48</v>
      </c>
      <c r="C35" s="31"/>
      <c r="D35" s="32"/>
      <c r="E35" s="29"/>
      <c r="F35" s="21"/>
      <c r="G35" s="100">
        <v>7</v>
      </c>
      <c r="H35" s="100">
        <v>6.73</v>
      </c>
      <c r="I35" s="22">
        <f>_xlfn.XLOOKUP(A35,T_Custos[BP],T_Custos[Custo])/_xlfn.XLOOKUP(A35,T_Custos[BP],T_Custos[Peso])*(1+Margens!$B$5)+_xlfn.XLOOKUP(A35,T_Custos[BP],T_Custos[Frete])/_xlfn.XLOOKUP(A35,T_Custos[BP],T_Custos[Peso])</f>
        <v>5.0263157894736832</v>
      </c>
      <c r="J35" s="23">
        <f t="shared" si="0"/>
        <v>4.8329959514170024</v>
      </c>
      <c r="K35" s="22">
        <f t="shared" si="2"/>
        <v>7</v>
      </c>
      <c r="L35" s="22">
        <f t="shared" si="3"/>
        <v>6.73</v>
      </c>
      <c r="M35" s="24"/>
      <c r="P35" s="25">
        <f t="shared" si="4"/>
        <v>-0.28195488721804524</v>
      </c>
      <c r="Q35" s="25">
        <f t="shared" si="4"/>
        <v>-0.28187281553982135</v>
      </c>
    </row>
    <row r="36" spans="1:17" x14ac:dyDescent="0.35">
      <c r="A36" s="17">
        <v>1695</v>
      </c>
      <c r="B36" s="18" t="s">
        <v>303</v>
      </c>
      <c r="C36" s="31"/>
      <c r="D36" s="32"/>
      <c r="E36" s="29"/>
      <c r="F36" s="34"/>
      <c r="G36" s="98">
        <v>2.4900000000000002</v>
      </c>
      <c r="H36" s="98">
        <v>2.39</v>
      </c>
      <c r="I36" s="22">
        <f>_xlfn.XLOOKUP(A36,T_Custos[BP],T_Custos[Custo])/_xlfn.XLOOKUP(A36,T_Custos[BP],T_Custos[Peso])*(1+Margens!$B$5)+_xlfn.XLOOKUP(A36,T_Custos[BP],T_Custos[Frete])/_xlfn.XLOOKUP(A36,T_Custos[BP],T_Custos[Peso])</f>
        <v>2.3887499999999995</v>
      </c>
      <c r="J36" s="23">
        <f t="shared" si="0"/>
        <v>2.2968749999999991</v>
      </c>
      <c r="K36" s="22">
        <f t="shared" si="2"/>
        <v>2.4900000000000002</v>
      </c>
      <c r="L36" s="22">
        <f t="shared" si="3"/>
        <v>2.39</v>
      </c>
      <c r="M36" s="24"/>
      <c r="O36" s="2"/>
      <c r="P36" s="25">
        <f t="shared" si="4"/>
        <v>-4.0662650602409929E-2</v>
      </c>
      <c r="Q36" s="25">
        <f t="shared" si="4"/>
        <v>-3.8964435146443939E-2</v>
      </c>
    </row>
    <row r="37" spans="1:17" x14ac:dyDescent="0.35">
      <c r="A37" s="17">
        <v>1697</v>
      </c>
      <c r="B37" s="18" t="s">
        <v>53</v>
      </c>
      <c r="C37" s="19"/>
      <c r="D37" s="19"/>
      <c r="E37" s="20"/>
      <c r="F37" s="21"/>
      <c r="G37" s="104">
        <v>2.2799999999999998</v>
      </c>
      <c r="H37" s="104">
        <v>2.19</v>
      </c>
      <c r="I37" s="22">
        <f>_xlfn.XLOOKUP(A37,T_Custos[BP],T_Custos[Custo])/_xlfn.XLOOKUP(A37,T_Custos[BP],T_Custos[Peso])*(1+Margens!$B$5)+_xlfn.XLOOKUP(A37,T_Custos[BP],T_Custos[Frete])/_xlfn.XLOOKUP(A37,T_Custos[BP],T_Custos[Peso])</f>
        <v>2.75</v>
      </c>
      <c r="J37" s="23">
        <f t="shared" si="0"/>
        <v>2.6442307692307692</v>
      </c>
      <c r="K37" s="22">
        <f t="shared" si="2"/>
        <v>2.4444444444444442</v>
      </c>
      <c r="L37" s="22">
        <f t="shared" si="3"/>
        <v>2.3504273504273501</v>
      </c>
      <c r="M37" s="24"/>
      <c r="P37" s="25">
        <f t="shared" si="4"/>
        <v>0.2061403508771931</v>
      </c>
      <c r="Q37" s="25">
        <f t="shared" si="4"/>
        <v>0.20741131015103617</v>
      </c>
    </row>
    <row r="38" spans="1:17" x14ac:dyDescent="0.35">
      <c r="A38" s="17">
        <v>1699</v>
      </c>
      <c r="B38" s="18" t="s">
        <v>305</v>
      </c>
      <c r="C38" s="19"/>
      <c r="D38" s="19"/>
      <c r="E38" s="20"/>
      <c r="F38" s="21"/>
      <c r="G38" s="98">
        <v>6.91</v>
      </c>
      <c r="H38" s="98">
        <v>6.65</v>
      </c>
      <c r="I38" s="22">
        <f>_xlfn.XLOOKUP(A38,T_Custos[BP],T_Custos[Custo])/_xlfn.XLOOKUP(A38,T_Custos[BP],T_Custos[Peso])*(1+Margens!$B$5)+_xlfn.XLOOKUP(A38,T_Custos[BP],T_Custos[Frete])/_xlfn.XLOOKUP(A38,T_Custos[BP],T_Custos[Peso])</f>
        <v>6.38</v>
      </c>
      <c r="J38" s="23">
        <f t="shared" si="0"/>
        <v>6.1346153846153841</v>
      </c>
      <c r="K38" s="22">
        <f t="shared" si="2"/>
        <v>6.91</v>
      </c>
      <c r="L38" s="22">
        <f t="shared" si="3"/>
        <v>6.65</v>
      </c>
      <c r="M38" s="24"/>
      <c r="P38" s="25">
        <f t="shared" si="4"/>
        <v>-7.6700434153400901E-2</v>
      </c>
      <c r="Q38" s="25">
        <f t="shared" si="4"/>
        <v>-7.7501445922498677E-2</v>
      </c>
    </row>
    <row r="39" spans="1:17" x14ac:dyDescent="0.35">
      <c r="A39" s="17">
        <v>35342</v>
      </c>
      <c r="B39" s="18" t="s">
        <v>55</v>
      </c>
      <c r="C39" s="19"/>
      <c r="D39" s="19"/>
      <c r="E39" s="20"/>
      <c r="F39" s="21"/>
      <c r="G39" s="98">
        <v>6.8</v>
      </c>
      <c r="H39" s="98">
        <v>6.54</v>
      </c>
      <c r="I39" s="22" t="e">
        <f>_xlfn.XLOOKUP(A39,T_Custos[BP],T_Custos[Custo])/_xlfn.XLOOKUP(A39,T_Custos[BP],T_Custos[Peso])*(1+Margens!$B$5)+_xlfn.XLOOKUP(A39,T_Custos[BP],T_Custos[Frete])/_xlfn.XLOOKUP(A39,T_Custos[BP],T_Custos[Peso])</f>
        <v>#N/A</v>
      </c>
      <c r="J39" s="23" t="e">
        <f t="shared" si="0"/>
        <v>#N/A</v>
      </c>
      <c r="K39" s="22" t="str">
        <f t="shared" si="2"/>
        <v>EM FALTA</v>
      </c>
      <c r="L39" s="22" t="str">
        <f t="shared" si="3"/>
        <v>EM FALTA</v>
      </c>
      <c r="M39" s="37"/>
      <c r="P39" s="25" t="e">
        <f t="shared" si="4"/>
        <v>#N/A</v>
      </c>
      <c r="Q39" s="25" t="e">
        <f t="shared" si="4"/>
        <v>#N/A</v>
      </c>
    </row>
    <row r="40" spans="1:17" x14ac:dyDescent="0.35">
      <c r="A40" s="17">
        <v>1698</v>
      </c>
      <c r="B40" s="18" t="s">
        <v>304</v>
      </c>
      <c r="C40" s="19"/>
      <c r="D40" s="19"/>
      <c r="E40" s="20"/>
      <c r="F40" s="21"/>
      <c r="G40" s="98">
        <v>3.24</v>
      </c>
      <c r="H40" s="98">
        <v>3.11</v>
      </c>
      <c r="I40" s="22">
        <f>_xlfn.XLOOKUP(A40,T_Custos[BP],T_Custos[Custo])/_xlfn.XLOOKUP(A40,T_Custos[BP],T_Custos[Peso])*(1+Margens!$B$5)+_xlfn.XLOOKUP(A40,T_Custos[BP],T_Custos[Frete])/_xlfn.XLOOKUP(A40,T_Custos[BP],T_Custos[Peso])</f>
        <v>4.0949999999999998</v>
      </c>
      <c r="J40" s="23">
        <f t="shared" si="0"/>
        <v>3.9375</v>
      </c>
      <c r="K40" s="22">
        <f t="shared" si="2"/>
        <v>3.6399999999999992</v>
      </c>
      <c r="L40" s="22">
        <f t="shared" si="3"/>
        <v>3.4999999999999996</v>
      </c>
      <c r="M40" s="24"/>
      <c r="P40" s="25">
        <f t="shared" si="4"/>
        <v>0.26388888888888873</v>
      </c>
      <c r="Q40" s="25">
        <f t="shared" si="4"/>
        <v>0.26607717041800649</v>
      </c>
    </row>
    <row r="41" spans="1:17" x14ac:dyDescent="0.35">
      <c r="A41" s="17">
        <v>33962</v>
      </c>
      <c r="B41" s="18" t="s">
        <v>57</v>
      </c>
      <c r="C41" s="19"/>
      <c r="D41" s="19"/>
      <c r="E41" s="20"/>
      <c r="F41" s="21"/>
      <c r="G41" s="98"/>
      <c r="H41" s="98"/>
      <c r="I41" s="22" t="e">
        <f>_xlfn.XLOOKUP(A41,T_Custos[BP],T_Custos[Custo])/_xlfn.XLOOKUP(A41,T_Custos[BP],T_Custos[Peso])*(1+Margens!$B$5)+_xlfn.XLOOKUP(A41,T_Custos[BP],T_Custos[Frete])/_xlfn.XLOOKUP(A41,T_Custos[BP],T_Custos[Peso])</f>
        <v>#N/A</v>
      </c>
      <c r="J41" s="23" t="e">
        <f t="shared" si="0"/>
        <v>#N/A</v>
      </c>
      <c r="K41" s="22" t="str">
        <f t="shared" si="2"/>
        <v>EM FALTA</v>
      </c>
      <c r="L41" s="22" t="str">
        <f t="shared" si="3"/>
        <v>EM FALTA</v>
      </c>
      <c r="M41" s="24"/>
      <c r="P41" s="25" t="e">
        <f t="shared" si="4"/>
        <v>#N/A</v>
      </c>
      <c r="Q41" s="25" t="e">
        <f t="shared" si="4"/>
        <v>#N/A</v>
      </c>
    </row>
    <row r="42" spans="1:17" x14ac:dyDescent="0.35">
      <c r="A42" s="17">
        <v>1701</v>
      </c>
      <c r="B42" s="18" t="s">
        <v>306</v>
      </c>
      <c r="C42" s="19"/>
      <c r="D42" s="19"/>
      <c r="E42" s="20"/>
      <c r="F42" s="21"/>
      <c r="G42" s="98">
        <v>17.850000000000001</v>
      </c>
      <c r="H42" s="98">
        <v>17.16</v>
      </c>
      <c r="I42" s="22" t="e">
        <f>_xlfn.XLOOKUP(A42,T_Custos[BP],T_Custos[Custo])/_xlfn.XLOOKUP(A42,T_Custos[BP],T_Custos[Peso])*(1+Margens!$B$5)+_xlfn.XLOOKUP(A42,T_Custos[BP],T_Custos[Frete])/_xlfn.XLOOKUP(A42,T_Custos[BP],T_Custos[Peso])</f>
        <v>#N/A</v>
      </c>
      <c r="J42" s="23" t="e">
        <f t="shared" si="0"/>
        <v>#N/A</v>
      </c>
      <c r="K42" s="22" t="str">
        <f t="shared" si="2"/>
        <v>EM FALTA</v>
      </c>
      <c r="L42" s="22" t="str">
        <f t="shared" si="3"/>
        <v>EM FALTA</v>
      </c>
      <c r="M42" s="24"/>
      <c r="P42" s="25" t="e">
        <f t="shared" si="4"/>
        <v>#N/A</v>
      </c>
      <c r="Q42" s="25" t="e">
        <f t="shared" si="4"/>
        <v>#N/A</v>
      </c>
    </row>
    <row r="43" spans="1:17" x14ac:dyDescent="0.35">
      <c r="A43" s="17">
        <v>1704</v>
      </c>
      <c r="B43" s="18" t="s">
        <v>307</v>
      </c>
      <c r="C43" s="19"/>
      <c r="D43" s="19"/>
      <c r="E43" s="20"/>
      <c r="F43" s="21"/>
      <c r="G43" s="98">
        <v>15</v>
      </c>
      <c r="H43" s="98">
        <v>14.42</v>
      </c>
      <c r="I43" s="22">
        <f>_xlfn.XLOOKUP(A43,T_Custos[BP],T_Custos[Custo])/_xlfn.XLOOKUP(A43,T_Custos[BP],T_Custos[Peso])*(1+Margens!$B$5)+_xlfn.XLOOKUP(A43,T_Custos[BP],T_Custos[Frete])/_xlfn.XLOOKUP(A43,T_Custos[BP],T_Custos[Peso])</f>
        <v>25.944444444444443</v>
      </c>
      <c r="J43" s="23">
        <f t="shared" si="0"/>
        <v>24.946581196581192</v>
      </c>
      <c r="K43" s="22">
        <f t="shared" si="2"/>
        <v>23.061728395061724</v>
      </c>
      <c r="L43" s="22">
        <f t="shared" si="3"/>
        <v>22.1747388414055</v>
      </c>
      <c r="M43" s="24"/>
      <c r="P43" s="25">
        <f t="shared" si="4"/>
        <v>0.72962962962962952</v>
      </c>
      <c r="Q43" s="25">
        <f t="shared" si="4"/>
        <v>0.72999869601811318</v>
      </c>
    </row>
    <row r="44" spans="1:17" x14ac:dyDescent="0.35">
      <c r="A44" s="17">
        <v>1706</v>
      </c>
      <c r="B44" s="18" t="s">
        <v>60</v>
      </c>
      <c r="C44" s="19"/>
      <c r="D44" s="19"/>
      <c r="E44" s="20"/>
      <c r="F44" s="21"/>
      <c r="G44" s="98">
        <v>11.75</v>
      </c>
      <c r="H44" s="98">
        <v>11.3</v>
      </c>
      <c r="I44" s="22">
        <f>_xlfn.XLOOKUP(A44,T_Custos[BP],T_Custos[Custo])/_xlfn.XLOOKUP(A44,T_Custos[BP],T_Custos[Peso])*(1+Margens!$B$5)+_xlfn.XLOOKUP(A44,T_Custos[BP],T_Custos[Frete])/_xlfn.XLOOKUP(A44,T_Custos[BP],T_Custos[Peso])</f>
        <v>8.9166666666666661</v>
      </c>
      <c r="J44" s="23">
        <f t="shared" si="0"/>
        <v>8.5737179487179489</v>
      </c>
      <c r="K44" s="22">
        <f t="shared" si="2"/>
        <v>11.75</v>
      </c>
      <c r="L44" s="22">
        <f t="shared" si="3"/>
        <v>11.3</v>
      </c>
      <c r="M44" s="24"/>
      <c r="P44" s="25">
        <f t="shared" si="4"/>
        <v>-0.24113475177304969</v>
      </c>
      <c r="Q44" s="25">
        <f t="shared" si="4"/>
        <v>-0.24126389834354439</v>
      </c>
    </row>
    <row r="45" spans="1:17" x14ac:dyDescent="0.35">
      <c r="A45" s="17">
        <v>1707</v>
      </c>
      <c r="B45" s="18" t="s">
        <v>308</v>
      </c>
      <c r="C45" s="19"/>
      <c r="D45" s="19"/>
      <c r="E45" s="20"/>
      <c r="F45" s="21"/>
      <c r="G45" s="100">
        <v>11.7</v>
      </c>
      <c r="H45" s="100">
        <v>11.25</v>
      </c>
      <c r="I45" s="22">
        <f>_xlfn.XLOOKUP(A45,T_Custos[BP],T_Custos[Custo])/_xlfn.XLOOKUP(A45,T_Custos[BP],T_Custos[Peso])*(1+Margens!$B$5)+_xlfn.XLOOKUP(A45,T_Custos[BP],T_Custos[Frete])/_xlfn.XLOOKUP(A45,T_Custos[BP],T_Custos[Peso])</f>
        <v>5.9499999999999993</v>
      </c>
      <c r="J45" s="23">
        <f t="shared" si="0"/>
        <v>5.7211538461538458</v>
      </c>
      <c r="K45" s="22">
        <f t="shared" si="2"/>
        <v>11.7</v>
      </c>
      <c r="L45" s="22">
        <f t="shared" si="3"/>
        <v>11.25</v>
      </c>
      <c r="M45" s="24"/>
      <c r="P45" s="25">
        <f t="shared" si="4"/>
        <v>-0.49145299145299148</v>
      </c>
      <c r="Q45" s="25">
        <f t="shared" si="4"/>
        <v>-0.49145299145299148</v>
      </c>
    </row>
    <row r="46" spans="1:17" x14ac:dyDescent="0.35">
      <c r="A46" s="17">
        <v>1708</v>
      </c>
      <c r="B46" s="18" t="s">
        <v>62</v>
      </c>
      <c r="C46" s="19"/>
      <c r="D46" s="19"/>
      <c r="E46" s="20"/>
      <c r="F46" s="21"/>
      <c r="G46" s="98">
        <v>9.1999999999999993</v>
      </c>
      <c r="H46" s="98">
        <v>8.85</v>
      </c>
      <c r="I46" s="22">
        <f>_xlfn.XLOOKUP(A46,T_Custos[BP],T_Custos[Custo])/_xlfn.XLOOKUP(A46,T_Custos[BP],T_Custos[Peso])*(1+Margens!$B$5)+_xlfn.XLOOKUP(A46,T_Custos[BP],T_Custos[Frete])/_xlfn.XLOOKUP(A46,T_Custos[BP],T_Custos[Peso])</f>
        <v>9.6495333333333306</v>
      </c>
      <c r="J46" s="23">
        <f t="shared" si="0"/>
        <v>9.2783974358974337</v>
      </c>
      <c r="K46" s="22">
        <f t="shared" si="2"/>
        <v>9.1999999999999993</v>
      </c>
      <c r="L46" s="22">
        <f t="shared" si="3"/>
        <v>8.85</v>
      </c>
      <c r="M46" s="24" t="s">
        <v>317</v>
      </c>
      <c r="P46" s="25">
        <f t="shared" si="4"/>
        <v>4.8862318840579497E-2</v>
      </c>
      <c r="Q46" s="25">
        <f t="shared" si="4"/>
        <v>4.8406489931913453E-2</v>
      </c>
    </row>
    <row r="47" spans="1:17" x14ac:dyDescent="0.35">
      <c r="A47" s="17">
        <v>1710</v>
      </c>
      <c r="B47" s="18" t="s">
        <v>64</v>
      </c>
      <c r="C47" s="19"/>
      <c r="D47" s="19"/>
      <c r="E47" s="20"/>
      <c r="F47" s="21"/>
      <c r="G47" s="98">
        <v>7.05</v>
      </c>
      <c r="H47" s="98">
        <v>6.78</v>
      </c>
      <c r="I47" s="22">
        <f>_xlfn.XLOOKUP(A47,T_Custos[BP],T_Custos[Custo])/_xlfn.XLOOKUP(A47,T_Custos[BP],T_Custos[Peso])*(1+Margens!$B$5)+_xlfn.XLOOKUP(A47,T_Custos[BP],T_Custos[Frete])/_xlfn.XLOOKUP(A47,T_Custos[BP],T_Custos[Peso])</f>
        <v>3.05</v>
      </c>
      <c r="J47" s="23">
        <f t="shared" si="0"/>
        <v>2.9326923076923075</v>
      </c>
      <c r="K47" s="22">
        <f t="shared" si="2"/>
        <v>7.05</v>
      </c>
      <c r="L47" s="22">
        <f t="shared" si="3"/>
        <v>6.78</v>
      </c>
      <c r="M47" s="24"/>
      <c r="P47" s="25">
        <f t="shared" si="4"/>
        <v>-0.56737588652482274</v>
      </c>
      <c r="Q47" s="25">
        <f t="shared" si="4"/>
        <v>-0.56744951213977768</v>
      </c>
    </row>
    <row r="48" spans="1:17" x14ac:dyDescent="0.35">
      <c r="A48" s="17">
        <v>4865</v>
      </c>
      <c r="B48" s="18" t="s">
        <v>65</v>
      </c>
      <c r="C48" s="19"/>
      <c r="D48" s="19"/>
      <c r="E48" s="20"/>
      <c r="F48" s="21"/>
      <c r="G48" s="98">
        <v>6.07</v>
      </c>
      <c r="H48" s="98">
        <v>5.83</v>
      </c>
      <c r="I48" s="22">
        <f>_xlfn.XLOOKUP(A48,T_Custos[BP],T_Custos[Custo])/_xlfn.XLOOKUP(A48,T_Custos[BP],T_Custos[Peso])*(1+Margens!$B$5)+_xlfn.XLOOKUP(A48,T_Custos[BP],T_Custos[Frete])/_xlfn.XLOOKUP(A48,T_Custos[BP],T_Custos[Peso])</f>
        <v>6.8214285714285712</v>
      </c>
      <c r="J48" s="23">
        <f t="shared" si="0"/>
        <v>6.5590659340659343</v>
      </c>
      <c r="K48" s="22">
        <f t="shared" si="2"/>
        <v>6.0634920634920624</v>
      </c>
      <c r="L48" s="22">
        <f t="shared" si="3"/>
        <v>5.83028083028083</v>
      </c>
      <c r="M48" s="24"/>
      <c r="P48" s="25">
        <f t="shared" si="4"/>
        <v>0.12379383384325714</v>
      </c>
      <c r="Q48" s="25">
        <f t="shared" si="4"/>
        <v>0.12505419109192698</v>
      </c>
    </row>
    <row r="49" spans="1:17" x14ac:dyDescent="0.35">
      <c r="A49" s="17">
        <v>1711</v>
      </c>
      <c r="B49" s="18" t="s">
        <v>309</v>
      </c>
      <c r="C49" s="19"/>
      <c r="D49" s="19"/>
      <c r="E49" s="20"/>
      <c r="F49" s="21"/>
      <c r="G49" s="100">
        <v>21.28</v>
      </c>
      <c r="H49" s="100">
        <v>20.46</v>
      </c>
      <c r="I49" s="22">
        <f>_xlfn.XLOOKUP(A49,T_Custos[BP],T_Custos[Custo])/_xlfn.XLOOKUP(A49,T_Custos[BP],T_Custos[Peso])*(1+Margens!$B$5)+_xlfn.XLOOKUP(A49,T_Custos[BP],T_Custos[Frete])/_xlfn.XLOOKUP(A49,T_Custos[BP],T_Custos[Peso])</f>
        <v>24.666666666666664</v>
      </c>
      <c r="J49" s="23">
        <f t="shared" si="0"/>
        <v>23.717948717948715</v>
      </c>
      <c r="K49" s="22">
        <f t="shared" si="2"/>
        <v>21.92592592592592</v>
      </c>
      <c r="L49" s="22">
        <f t="shared" si="3"/>
        <v>21.082621082621078</v>
      </c>
      <c r="M49" s="37"/>
      <c r="P49" s="25">
        <f t="shared" si="4"/>
        <v>0.15914786967418529</v>
      </c>
      <c r="Q49" s="25">
        <f t="shared" si="4"/>
        <v>0.15923503020277197</v>
      </c>
    </row>
    <row r="50" spans="1:17" x14ac:dyDescent="0.35">
      <c r="A50" s="17">
        <v>25641</v>
      </c>
      <c r="B50" s="18" t="s">
        <v>335</v>
      </c>
      <c r="C50" s="19"/>
      <c r="D50" s="19"/>
      <c r="E50" s="20"/>
      <c r="F50" s="21"/>
      <c r="G50" s="98">
        <v>9.4</v>
      </c>
      <c r="H50" s="98">
        <v>9.0399999999999991</v>
      </c>
      <c r="I50" s="22">
        <f>_xlfn.XLOOKUP(A50,T_Custos[BP],T_Custos[Custo])/_xlfn.XLOOKUP(A50,T_Custos[BP],T_Custos[Peso])*(1+Margens!$B$5)+_xlfn.XLOOKUP(A50,T_Custos[BP],T_Custos[Frete])/_xlfn.XLOOKUP(A50,T_Custos[BP],T_Custos[Peso])</f>
        <v>8.8222999999999985</v>
      </c>
      <c r="J50" s="23">
        <f t="shared" si="0"/>
        <v>8.4829807692307675</v>
      </c>
      <c r="K50" s="22">
        <f t="shared" si="2"/>
        <v>9.4</v>
      </c>
      <c r="L50" s="22">
        <f t="shared" si="3"/>
        <v>9.0399999999999991</v>
      </c>
      <c r="M50" s="24"/>
      <c r="P50" s="25">
        <f t="shared" si="4"/>
        <v>-6.1457446808510834E-2</v>
      </c>
      <c r="Q50" s="25">
        <f t="shared" si="4"/>
        <v>-6.1617171545268995E-2</v>
      </c>
    </row>
    <row r="51" spans="1:17" x14ac:dyDescent="0.35">
      <c r="A51" s="17">
        <v>1713</v>
      </c>
      <c r="B51" s="18" t="s">
        <v>70</v>
      </c>
      <c r="C51" s="19"/>
      <c r="D51" s="19"/>
      <c r="E51" s="20"/>
      <c r="F51" s="21"/>
      <c r="G51" s="103">
        <v>5.44</v>
      </c>
      <c r="H51" s="103">
        <v>5.23</v>
      </c>
      <c r="I51" s="22">
        <f>_xlfn.XLOOKUP(A51,T_Custos[BP],T_Custos[Custo])/_xlfn.XLOOKUP(A51,T_Custos[BP],T_Custos[Peso])*(1+Margens!$B$5)+_xlfn.XLOOKUP(A51,T_Custos[BP],T_Custos[Frete])/_xlfn.XLOOKUP(A51,T_Custos[BP],T_Custos[Peso])</f>
        <v>4.7749999999999995</v>
      </c>
      <c r="J51" s="23">
        <f t="shared" si="0"/>
        <v>4.5913461538461533</v>
      </c>
      <c r="K51" s="22">
        <f t="shared" si="2"/>
        <v>5.44</v>
      </c>
      <c r="L51" s="22">
        <f t="shared" si="3"/>
        <v>5.23</v>
      </c>
      <c r="M51" s="24"/>
      <c r="P51" s="25">
        <f t="shared" si="4"/>
        <v>-0.12224264705882369</v>
      </c>
      <c r="Q51" s="25">
        <f t="shared" si="4"/>
        <v>-0.12211354610972219</v>
      </c>
    </row>
    <row r="52" spans="1:17" x14ac:dyDescent="0.35">
      <c r="A52" s="17">
        <v>1714</v>
      </c>
      <c r="B52" s="18" t="s">
        <v>310</v>
      </c>
      <c r="C52" s="19"/>
      <c r="D52" s="19"/>
      <c r="E52" s="20"/>
      <c r="F52" s="21"/>
      <c r="G52" s="98">
        <v>9.8699999999999992</v>
      </c>
      <c r="H52" s="98">
        <v>9.8699999999999992</v>
      </c>
      <c r="I52" s="22">
        <f>_xlfn.XLOOKUP(A52,T_Custos[BP],T_Custos[Custo])/_xlfn.XLOOKUP(A52,T_Custos[BP],T_Custos[Peso])*(1+Margens!$B$5)+_xlfn.XLOOKUP(A52,T_Custos[BP],T_Custos[Frete])/_xlfn.XLOOKUP(A52,T_Custos[BP],T_Custos[Peso])</f>
        <v>9.0216333333333321</v>
      </c>
      <c r="J52" s="23">
        <f t="shared" si="0"/>
        <v>8.6746474358974339</v>
      </c>
      <c r="K52" s="22">
        <f t="shared" si="2"/>
        <v>9.8699999999999992</v>
      </c>
      <c r="L52" s="22">
        <f t="shared" si="3"/>
        <v>9.8699999999999992</v>
      </c>
      <c r="M52" s="24"/>
      <c r="P52" s="25">
        <f t="shared" si="4"/>
        <v>-8.5954069571090905E-2</v>
      </c>
      <c r="Q52" s="25">
        <f t="shared" si="4"/>
        <v>-0.12110968227989517</v>
      </c>
    </row>
    <row r="53" spans="1:17" x14ac:dyDescent="0.35">
      <c r="A53" s="17">
        <v>61746</v>
      </c>
      <c r="B53" s="18" t="s">
        <v>76</v>
      </c>
      <c r="C53" s="19"/>
      <c r="D53" s="19"/>
      <c r="E53" s="20"/>
      <c r="F53" s="21"/>
      <c r="G53" s="98"/>
      <c r="H53" s="98"/>
      <c r="I53" s="22">
        <f>I52</f>
        <v>9.0216333333333321</v>
      </c>
      <c r="J53" s="23">
        <f t="shared" si="0"/>
        <v>8.6746474358974339</v>
      </c>
      <c r="K53" s="22">
        <f t="shared" si="2"/>
        <v>9.0216333333333321</v>
      </c>
      <c r="L53" s="22">
        <f t="shared" si="3"/>
        <v>8.6746474358974339</v>
      </c>
      <c r="M53" s="24"/>
      <c r="P53" s="25" t="e">
        <f t="shared" si="4"/>
        <v>#DIV/0!</v>
      </c>
      <c r="Q53" s="25" t="e">
        <f t="shared" si="4"/>
        <v>#DIV/0!</v>
      </c>
    </row>
    <row r="54" spans="1:17" x14ac:dyDescent="0.35">
      <c r="A54" s="17">
        <v>1715</v>
      </c>
      <c r="B54" s="18" t="s">
        <v>311</v>
      </c>
      <c r="C54" s="19"/>
      <c r="D54" s="19"/>
      <c r="E54" s="20"/>
      <c r="F54" s="21"/>
      <c r="G54" s="100">
        <v>5.94</v>
      </c>
      <c r="H54" s="100">
        <v>5.71</v>
      </c>
      <c r="I54" s="22">
        <f>_xlfn.XLOOKUP(A54,T_Custos[BP],T_Custos[Custo])/_xlfn.XLOOKUP(A54,T_Custos[BP],T_Custos[Peso])*(1+Margens!$B$5)+_xlfn.XLOOKUP(A54,T_Custos[BP],T_Custos[Frete])/_xlfn.XLOOKUP(A54,T_Custos[BP],T_Custos[Peso])</f>
        <v>2.3599999999999994</v>
      </c>
      <c r="J54" s="23">
        <f t="shared" si="0"/>
        <v>2.2692307692307687</v>
      </c>
      <c r="K54" s="22">
        <f t="shared" si="2"/>
        <v>5.94</v>
      </c>
      <c r="L54" s="22">
        <f t="shared" si="3"/>
        <v>5.71</v>
      </c>
      <c r="M54" s="24"/>
      <c r="P54" s="25">
        <f t="shared" ref="P54:Q85" si="5">(I54-G54)/G54</f>
        <v>-0.60269360269360284</v>
      </c>
      <c r="Q54" s="25">
        <f t="shared" si="5"/>
        <v>-0.60258655530109129</v>
      </c>
    </row>
    <row r="55" spans="1:17" x14ac:dyDescent="0.35">
      <c r="A55" s="17">
        <v>1717</v>
      </c>
      <c r="B55" s="18" t="s">
        <v>312</v>
      </c>
      <c r="C55" s="19"/>
      <c r="D55" s="19"/>
      <c r="E55" s="20"/>
      <c r="F55" s="21"/>
      <c r="G55" s="98">
        <v>13.24</v>
      </c>
      <c r="H55" s="98">
        <v>12.73</v>
      </c>
      <c r="I55" s="22">
        <f>_xlfn.XLOOKUP(A55,T_Custos[BP],T_Custos[Custo])/_xlfn.XLOOKUP(A55,T_Custos[BP],T_Custos[Peso])*(1+Margens!$B$5)+_xlfn.XLOOKUP(A55,T_Custos[BP],T_Custos[Frete])/_xlfn.XLOOKUP(A55,T_Custos[BP],T_Custos[Peso])</f>
        <v>11.994722222222222</v>
      </c>
      <c r="J55" s="23">
        <f t="shared" si="0"/>
        <v>11.533386752136751</v>
      </c>
      <c r="K55" s="22">
        <f t="shared" si="2"/>
        <v>13.24</v>
      </c>
      <c r="L55" s="22">
        <f t="shared" si="3"/>
        <v>12.73</v>
      </c>
      <c r="M55" s="24"/>
      <c r="P55" s="25">
        <f t="shared" si="5"/>
        <v>-9.4054212823095007E-2</v>
      </c>
      <c r="Q55" s="25">
        <f t="shared" si="5"/>
        <v>-9.3999469588629161E-2</v>
      </c>
    </row>
    <row r="56" spans="1:17" x14ac:dyDescent="0.35">
      <c r="A56" s="17">
        <v>5226</v>
      </c>
      <c r="B56" s="18" t="s">
        <v>332</v>
      </c>
      <c r="C56" s="19"/>
      <c r="D56" s="19"/>
      <c r="E56" s="20"/>
      <c r="F56" s="21"/>
      <c r="G56" s="98">
        <v>12.43</v>
      </c>
      <c r="H56" s="98">
        <v>11.95</v>
      </c>
      <c r="I56" s="22">
        <f>_xlfn.XLOOKUP(A56,T_Custos[BP],T_Custos[Custo])/_xlfn.XLOOKUP(A56,T_Custos[BP],T_Custos[Peso])*(1+Margens!$B$5)+_xlfn.XLOOKUP(A56,T_Custos[BP],T_Custos[Frete])/_xlfn.XLOOKUP(A56,T_Custos[BP],T_Custos[Peso])</f>
        <v>12.120583333333332</v>
      </c>
      <c r="J56" s="23">
        <f t="shared" si="0"/>
        <v>11.65440705128205</v>
      </c>
      <c r="K56" s="22">
        <f t="shared" si="2"/>
        <v>12.43</v>
      </c>
      <c r="L56" s="22">
        <f t="shared" si="3"/>
        <v>11.95</v>
      </c>
      <c r="M56" s="37"/>
      <c r="P56" s="25">
        <f t="shared" si="5"/>
        <v>-2.4892732636095524E-2</v>
      </c>
      <c r="Q56" s="25">
        <f t="shared" si="5"/>
        <v>-2.4735811608196621E-2</v>
      </c>
    </row>
    <row r="57" spans="1:17" x14ac:dyDescent="0.35">
      <c r="A57" s="17">
        <v>1718</v>
      </c>
      <c r="B57" s="18" t="s">
        <v>313</v>
      </c>
      <c r="C57" s="19"/>
      <c r="D57" s="19"/>
      <c r="E57" s="20"/>
      <c r="F57" s="21"/>
      <c r="G57" s="98">
        <v>8.44</v>
      </c>
      <c r="H57" s="98">
        <v>8.11</v>
      </c>
      <c r="I57" s="22">
        <f>_xlfn.XLOOKUP(A57,T_Custos[BP],T_Custos[Custo])/_xlfn.XLOOKUP(A57,T_Custos[BP],T_Custos[Peso])*(1+Margens!$B$5)+_xlfn.XLOOKUP(A57,T_Custos[BP],T_Custos[Frete])/_xlfn.XLOOKUP(A57,T_Custos[BP],T_Custos[Peso])</f>
        <v>9.3784722222222214</v>
      </c>
      <c r="J57" s="23">
        <f t="shared" si="0"/>
        <v>9.0177617521367512</v>
      </c>
      <c r="K57" s="22">
        <f t="shared" si="2"/>
        <v>8.3364197530864192</v>
      </c>
      <c r="L57" s="22">
        <f t="shared" si="3"/>
        <v>8.0157882241215557</v>
      </c>
      <c r="M57" s="24"/>
      <c r="P57" s="25">
        <f t="shared" si="5"/>
        <v>0.11119339125855711</v>
      </c>
      <c r="Q57" s="25">
        <f t="shared" si="5"/>
        <v>0.11193116549158469</v>
      </c>
    </row>
    <row r="58" spans="1:17" x14ac:dyDescent="0.35">
      <c r="A58" s="17">
        <v>6115</v>
      </c>
      <c r="B58" s="18" t="s">
        <v>82</v>
      </c>
      <c r="C58" s="19"/>
      <c r="D58" s="19"/>
      <c r="E58" s="20"/>
      <c r="F58" s="21"/>
      <c r="G58" s="98">
        <v>5.65</v>
      </c>
      <c r="H58" s="98">
        <v>5.43</v>
      </c>
      <c r="I58" s="22">
        <f>_xlfn.XLOOKUP(A58,T_Custos[BP],T_Custos[Custo])/_xlfn.XLOOKUP(A58,T_Custos[BP],T_Custos[Peso])*(1+Margens!$B$5)+_xlfn.XLOOKUP(A58,T_Custos[BP],T_Custos[Frete])/_xlfn.XLOOKUP(A58,T_Custos[BP],T_Custos[Peso])</f>
        <v>6.6749999999999989</v>
      </c>
      <c r="J58" s="23">
        <f t="shared" si="0"/>
        <v>6.4182692307692291</v>
      </c>
      <c r="K58" s="22">
        <f t="shared" si="2"/>
        <v>5.9333333333333327</v>
      </c>
      <c r="L58" s="22">
        <f t="shared" si="3"/>
        <v>5.7051282051282026</v>
      </c>
      <c r="M58" s="24"/>
      <c r="P58" s="25">
        <f t="shared" si="5"/>
        <v>0.18141592920353955</v>
      </c>
      <c r="Q58" s="25">
        <f t="shared" si="5"/>
        <v>0.18200169995750082</v>
      </c>
    </row>
    <row r="59" spans="1:17" x14ac:dyDescent="0.35">
      <c r="A59" s="17">
        <v>1719</v>
      </c>
      <c r="B59" s="18" t="s">
        <v>314</v>
      </c>
      <c r="C59" s="19"/>
      <c r="D59" s="19"/>
      <c r="E59" s="20"/>
      <c r="F59" s="21"/>
      <c r="G59" s="98">
        <v>5.2</v>
      </c>
      <c r="H59" s="98">
        <v>5</v>
      </c>
      <c r="I59" s="22">
        <f>_xlfn.XLOOKUP(A59,T_Custos[BP],T_Custos[Custo])/_xlfn.XLOOKUP(A59,T_Custos[BP],T_Custos[Peso])*(1+Margens!$B$5)+_xlfn.XLOOKUP(A59,T_Custos[BP],T_Custos[Frete])/_xlfn.XLOOKUP(A59,T_Custos[BP],T_Custos[Peso])</f>
        <v>10.124999999999998</v>
      </c>
      <c r="J59" s="23">
        <f t="shared" si="0"/>
        <v>9.7355769230769198</v>
      </c>
      <c r="K59" s="22">
        <f t="shared" si="2"/>
        <v>8.9999999999999982</v>
      </c>
      <c r="L59" s="22">
        <f t="shared" si="3"/>
        <v>8.6538461538461497</v>
      </c>
      <c r="M59" s="24" t="s">
        <v>317</v>
      </c>
      <c r="P59" s="25">
        <f t="shared" si="5"/>
        <v>0.94711538461538425</v>
      </c>
      <c r="Q59" s="25">
        <f t="shared" si="5"/>
        <v>0.94711538461538392</v>
      </c>
    </row>
    <row r="60" spans="1:17" x14ac:dyDescent="0.35">
      <c r="A60" s="17">
        <v>21670</v>
      </c>
      <c r="B60" s="18" t="s">
        <v>87</v>
      </c>
      <c r="C60" s="19"/>
      <c r="D60" s="19"/>
      <c r="E60" s="20"/>
      <c r="F60" s="21"/>
      <c r="G60" s="98"/>
      <c r="H60" s="98"/>
      <c r="I60" s="22" t="e">
        <f>_xlfn.XLOOKUP(A60,T_Custos[BP],T_Custos[Custo])/_xlfn.XLOOKUP(A60,T_Custos[BP],T_Custos[Peso])*(1+Margens!$B$5)+_xlfn.XLOOKUP(A60,T_Custos[BP],T_Custos[Frete])/_xlfn.XLOOKUP(A60,T_Custos[BP],T_Custos[Peso])</f>
        <v>#VALUE!</v>
      </c>
      <c r="J60" s="23" t="e">
        <f t="shared" si="0"/>
        <v>#VALUE!</v>
      </c>
      <c r="K60" s="22" t="str">
        <f t="shared" si="2"/>
        <v>EM FALTA</v>
      </c>
      <c r="L60" s="22" t="str">
        <f t="shared" si="3"/>
        <v>EM FALTA</v>
      </c>
      <c r="M60" s="24"/>
      <c r="P60" s="25" t="e">
        <f t="shared" si="5"/>
        <v>#VALUE!</v>
      </c>
      <c r="Q60" s="25" t="e">
        <f t="shared" si="5"/>
        <v>#VALUE!</v>
      </c>
    </row>
    <row r="61" spans="1:17" x14ac:dyDescent="0.35">
      <c r="A61" s="17">
        <v>34294</v>
      </c>
      <c r="B61" s="18" t="s">
        <v>341</v>
      </c>
      <c r="C61" s="19"/>
      <c r="D61" s="19"/>
      <c r="E61" s="20"/>
      <c r="F61" s="21"/>
      <c r="G61" s="98"/>
      <c r="H61" s="98"/>
      <c r="I61" s="22" t="e">
        <f>_xlfn.XLOOKUP(A61,T_Custos[BP],T_Custos[Custo])/_xlfn.XLOOKUP(A61,T_Custos[BP],T_Custos[Peso])*(1+Margens!$B$5)+_xlfn.XLOOKUP(A61,T_Custos[BP],T_Custos[Frete])/_xlfn.XLOOKUP(A61,T_Custos[BP],T_Custos[Peso])</f>
        <v>#N/A</v>
      </c>
      <c r="J61" s="23" t="e">
        <f t="shared" si="0"/>
        <v>#N/A</v>
      </c>
      <c r="K61" s="22" t="str">
        <f t="shared" si="2"/>
        <v>EM FALTA</v>
      </c>
      <c r="L61" s="22" t="str">
        <f t="shared" si="3"/>
        <v>EM FALTA</v>
      </c>
      <c r="M61" s="24"/>
      <c r="P61" s="25" t="e">
        <f t="shared" si="5"/>
        <v>#N/A</v>
      </c>
      <c r="Q61" s="25" t="e">
        <f t="shared" si="5"/>
        <v>#N/A</v>
      </c>
    </row>
    <row r="62" spans="1:17" x14ac:dyDescent="0.35">
      <c r="A62" s="17">
        <v>5</v>
      </c>
      <c r="B62" s="18" t="s">
        <v>89</v>
      </c>
      <c r="C62" s="19"/>
      <c r="D62" s="19"/>
      <c r="E62" s="20"/>
      <c r="F62" s="21"/>
      <c r="G62" s="105">
        <v>8.1</v>
      </c>
      <c r="H62" s="105">
        <v>7.79</v>
      </c>
      <c r="I62" s="22">
        <f>_xlfn.XLOOKUP(A62,T_Custos[BP],T_Custos[Custo])/_xlfn.XLOOKUP(A62,T_Custos[BP],T_Custos[Peso])*(1+Margens!$B$5)+_xlfn.XLOOKUP(A62,T_Custos[BP],T_Custos[Frete])/_xlfn.XLOOKUP(A62,T_Custos[BP],T_Custos[Peso])</f>
        <v>7.6148333333333342</v>
      </c>
      <c r="J62" s="23">
        <f t="shared" si="0"/>
        <v>7.3219551282051292</v>
      </c>
      <c r="K62" s="22">
        <f t="shared" si="2"/>
        <v>8.1</v>
      </c>
      <c r="L62" s="22">
        <f t="shared" si="3"/>
        <v>7.79</v>
      </c>
      <c r="M62" s="24"/>
      <c r="P62" s="25">
        <f t="shared" si="5"/>
        <v>-5.9897119341563637E-2</v>
      </c>
      <c r="Q62" s="25">
        <f t="shared" si="5"/>
        <v>-6.0082782001908967E-2</v>
      </c>
    </row>
    <row r="63" spans="1:17" x14ac:dyDescent="0.35">
      <c r="A63" s="17">
        <v>1722</v>
      </c>
      <c r="B63" s="18" t="s">
        <v>90</v>
      </c>
      <c r="C63" s="19"/>
      <c r="D63" s="19"/>
      <c r="E63" s="20"/>
      <c r="F63" s="21"/>
      <c r="G63" s="105">
        <v>10.78</v>
      </c>
      <c r="H63" s="105">
        <v>10.36</v>
      </c>
      <c r="I63" s="22">
        <f>_xlfn.XLOOKUP(A63,T_Custos[BP],T_Custos[Custo])/_xlfn.XLOOKUP(A63,T_Custos[BP],T_Custos[Peso])*(1+Margens!$B$5)+_xlfn.XLOOKUP(A63,T_Custos[BP],T_Custos[Frete])/_xlfn.XLOOKUP(A63,T_Custos[BP],T_Custos[Peso])</f>
        <v>7.8249999999999993</v>
      </c>
      <c r="J63" s="23">
        <f t="shared" si="0"/>
        <v>7.5240384615384599</v>
      </c>
      <c r="K63" s="22">
        <f t="shared" si="2"/>
        <v>10.78</v>
      </c>
      <c r="L63" s="22">
        <f t="shared" si="3"/>
        <v>10.36</v>
      </c>
      <c r="M63" s="24"/>
      <c r="P63" s="25">
        <f t="shared" si="5"/>
        <v>-0.27411873840445272</v>
      </c>
      <c r="Q63" s="25">
        <f t="shared" si="5"/>
        <v>-0.27374146124146137</v>
      </c>
    </row>
    <row r="64" spans="1:17" x14ac:dyDescent="0.35">
      <c r="A64" s="17">
        <v>3521</v>
      </c>
      <c r="B64" s="18" t="s">
        <v>91</v>
      </c>
      <c r="C64" s="19"/>
      <c r="D64" s="19"/>
      <c r="E64" s="20"/>
      <c r="F64" s="21"/>
      <c r="G64" s="98">
        <v>9.0500000000000007</v>
      </c>
      <c r="H64" s="98">
        <v>8.6999999999999993</v>
      </c>
      <c r="I64" s="22">
        <f>_xlfn.XLOOKUP(A64,T_Custos[BP],T_Custos[Custo])/_xlfn.XLOOKUP(A64,T_Custos[BP],T_Custos[Peso])*(1+Margens!$B$5)+_xlfn.XLOOKUP(A64,T_Custos[BP],T_Custos[Frete])/_xlfn.XLOOKUP(A64,T_Custos[BP],T_Custos[Peso])</f>
        <v>14.149999999999999</v>
      </c>
      <c r="J64" s="23">
        <f t="shared" si="0"/>
        <v>13.60576923076923</v>
      </c>
      <c r="K64" s="22">
        <f t="shared" si="2"/>
        <v>12.577777777777774</v>
      </c>
      <c r="L64" s="22">
        <f t="shared" si="3"/>
        <v>12.094017094017092</v>
      </c>
      <c r="M64" s="24"/>
      <c r="P64" s="25">
        <f t="shared" si="5"/>
        <v>0.56353591160220962</v>
      </c>
      <c r="Q64" s="25">
        <f t="shared" si="5"/>
        <v>0.56388152077807252</v>
      </c>
    </row>
    <row r="65" spans="1:17" x14ac:dyDescent="0.35">
      <c r="A65" s="17">
        <v>1723</v>
      </c>
      <c r="B65" s="18" t="s">
        <v>92</v>
      </c>
      <c r="C65" s="19"/>
      <c r="D65" s="19"/>
      <c r="E65" s="20"/>
      <c r="F65" s="21"/>
      <c r="G65" s="103">
        <v>3.09</v>
      </c>
      <c r="H65" s="103">
        <v>2.97</v>
      </c>
      <c r="I65" s="22">
        <f>_xlfn.XLOOKUP(A65,T_Custos[BP],T_Custos[Custo])/_xlfn.XLOOKUP(A65,T_Custos[BP],T_Custos[Peso])*(1+Margens!$B$5)+_xlfn.XLOOKUP(A65,T_Custos[BP],T_Custos[Frete])/_xlfn.XLOOKUP(A65,T_Custos[BP],T_Custos[Peso])</f>
        <v>3.133</v>
      </c>
      <c r="J65" s="23">
        <f t="shared" si="0"/>
        <v>3.0125000000000002</v>
      </c>
      <c r="K65" s="22">
        <f t="shared" si="2"/>
        <v>3.09</v>
      </c>
      <c r="L65" s="22">
        <f t="shared" si="3"/>
        <v>2.97</v>
      </c>
      <c r="M65" s="24"/>
      <c r="P65" s="25">
        <f t="shared" si="5"/>
        <v>1.3915857605178043E-2</v>
      </c>
      <c r="Q65" s="25">
        <f t="shared" si="5"/>
        <v>1.4309764309764304E-2</v>
      </c>
    </row>
    <row r="66" spans="1:17" x14ac:dyDescent="0.35">
      <c r="A66" s="17">
        <v>1724</v>
      </c>
      <c r="B66" s="18" t="s">
        <v>96</v>
      </c>
      <c r="C66" s="19"/>
      <c r="D66" s="19"/>
      <c r="E66" s="20"/>
      <c r="F66" s="21"/>
      <c r="G66" s="103">
        <v>5.18</v>
      </c>
      <c r="H66" s="103">
        <v>4.9400000000000004</v>
      </c>
      <c r="I66" s="22">
        <f>_xlfn.XLOOKUP(A66,T_Custos[BP],T_Custos[Custo])/_xlfn.XLOOKUP(A66,T_Custos[BP],T_Custos[Peso])*(1+Margens!$B$5)+_xlfn.XLOOKUP(A66,T_Custos[BP],T_Custos[Frete])/_xlfn.XLOOKUP(A66,T_Custos[BP],T_Custos[Peso])</f>
        <v>5.6653846153846148</v>
      </c>
      <c r="J66" s="23">
        <f t="shared" si="0"/>
        <v>5.4474852071005913</v>
      </c>
      <c r="K66" s="22">
        <f t="shared" si="2"/>
        <v>5.0358974358974349</v>
      </c>
      <c r="L66" s="22">
        <f t="shared" si="3"/>
        <v>4.8422090729783029</v>
      </c>
      <c r="M66" s="24"/>
      <c r="P66" s="25">
        <f t="shared" si="5"/>
        <v>9.3703593703593643E-2</v>
      </c>
      <c r="Q66" s="25">
        <f t="shared" si="5"/>
        <v>0.10272979900821677</v>
      </c>
    </row>
    <row r="67" spans="1:17" x14ac:dyDescent="0.35">
      <c r="A67" s="17">
        <v>61937</v>
      </c>
      <c r="B67" s="18" t="s">
        <v>346</v>
      </c>
      <c r="G67" s="98">
        <v>44.05</v>
      </c>
      <c r="H67" s="98">
        <v>42.36</v>
      </c>
      <c r="I67" s="22" t="e">
        <f>_xlfn.XLOOKUP(A67,T_Custos[BP],T_Custos[Custo])/_xlfn.XLOOKUP(A67,T_Custos[BP],T_Custos[Peso])*(1+Margens!$B$5)+_xlfn.XLOOKUP(A67,T_Custos[BP],T_Custos[Frete])/_xlfn.XLOOKUP(A67,T_Custos[BP],T_Custos[Peso])</f>
        <v>#N/A</v>
      </c>
      <c r="J67" s="23" t="e">
        <f t="shared" ref="J67:J112" si="6">I67/1.3*1.25</f>
        <v>#N/A</v>
      </c>
      <c r="K67" s="22" t="str">
        <f t="shared" si="2"/>
        <v>EM FALTA</v>
      </c>
      <c r="L67" s="22" t="str">
        <f t="shared" si="3"/>
        <v>EM FALTA</v>
      </c>
      <c r="M67" s="24"/>
      <c r="P67" s="25" t="e">
        <f t="shared" si="5"/>
        <v>#N/A</v>
      </c>
      <c r="Q67" s="25" t="e">
        <f t="shared" si="5"/>
        <v>#N/A</v>
      </c>
    </row>
    <row r="68" spans="1:17" x14ac:dyDescent="0.35">
      <c r="A68" s="17">
        <v>23996</v>
      </c>
      <c r="B68" s="18" t="s">
        <v>482</v>
      </c>
      <c r="G68" s="98"/>
      <c r="H68" s="98"/>
      <c r="I68" s="22" t="e">
        <f>_xlfn.XLOOKUP(A68,T_Custos[BP],T_Custos[Custo])/_xlfn.XLOOKUP(A68,T_Custos[BP],T_Custos[Peso])*(1+Margens!$B$5)+_xlfn.XLOOKUP(A68,T_Custos[BP],T_Custos[Frete])/_xlfn.XLOOKUP(A68,T_Custos[BP],T_Custos[Peso])</f>
        <v>#N/A</v>
      </c>
      <c r="J68" s="23" t="e">
        <f t="shared" si="6"/>
        <v>#N/A</v>
      </c>
      <c r="K68" s="22" t="str">
        <f t="shared" ref="K68:K112" si="7">IFERROR(IF(G68=0,I68,IF(G68&gt;I68/1.35*1.25,G68,I68/1.35*1.2)),"EM FALTA")</f>
        <v>EM FALTA</v>
      </c>
      <c r="L68" s="22" t="str">
        <f t="shared" ref="L68:L112" si="8">IFERROR(IF(H68=0,J68,IF(H68&gt;J68/1.35*1.25,H68,J68/1.35*1.2)),"EM FALTA")</f>
        <v>EM FALTA</v>
      </c>
      <c r="M68" s="24"/>
      <c r="P68" s="25" t="e">
        <f t="shared" si="5"/>
        <v>#N/A</v>
      </c>
      <c r="Q68" s="25" t="e">
        <f t="shared" si="5"/>
        <v>#N/A</v>
      </c>
    </row>
    <row r="69" spans="1:17" x14ac:dyDescent="0.35">
      <c r="A69" s="17">
        <v>29017</v>
      </c>
      <c r="B69" s="18" t="s">
        <v>99</v>
      </c>
      <c r="G69" s="98">
        <v>8</v>
      </c>
      <c r="H69" s="98">
        <v>7.69</v>
      </c>
      <c r="I69" s="22">
        <f>_xlfn.XLOOKUP(A69,T_Custos[BP],T_Custos[Custo])/_xlfn.XLOOKUP(A69,T_Custos[BP],T_Custos[Peso])*(1+Margens!$B$5)+_xlfn.XLOOKUP(A69,T_Custos[BP],T_Custos[Frete])/_xlfn.XLOOKUP(A69,T_Custos[BP],T_Custos[Peso])</f>
        <v>7.8666666666666654</v>
      </c>
      <c r="J69" s="23">
        <f t="shared" si="6"/>
        <v>7.564102564102563</v>
      </c>
      <c r="K69" s="22">
        <f t="shared" si="7"/>
        <v>8</v>
      </c>
      <c r="L69" s="22">
        <f t="shared" si="8"/>
        <v>7.69</v>
      </c>
      <c r="M69" s="24"/>
      <c r="P69" s="25">
        <f t="shared" si="5"/>
        <v>-1.6666666666666829E-2</v>
      </c>
      <c r="Q69" s="25">
        <f t="shared" si="5"/>
        <v>-1.6371578140108894E-2</v>
      </c>
    </row>
    <row r="70" spans="1:17" x14ac:dyDescent="0.35">
      <c r="A70" s="17">
        <v>1725</v>
      </c>
      <c r="B70" s="18" t="s">
        <v>315</v>
      </c>
      <c r="G70" s="98">
        <v>8.35</v>
      </c>
      <c r="H70" s="98">
        <v>8.0299999999999994</v>
      </c>
      <c r="I70" s="22" t="e">
        <f>_xlfn.XLOOKUP(A70,T_Custos[BP],T_Custos[Custo])/_xlfn.XLOOKUP(A70,T_Custos[BP],T_Custos[Peso])*(1+Margens!$B$5)+_xlfn.XLOOKUP(A70,T_Custos[BP],T_Custos[Frete])/_xlfn.XLOOKUP(A70,T_Custos[BP],T_Custos[Peso])</f>
        <v>#VALUE!</v>
      </c>
      <c r="J70" s="23" t="e">
        <f t="shared" si="6"/>
        <v>#VALUE!</v>
      </c>
      <c r="K70" s="22" t="str">
        <f t="shared" si="7"/>
        <v>EM FALTA</v>
      </c>
      <c r="L70" s="22" t="str">
        <f t="shared" si="8"/>
        <v>EM FALTA</v>
      </c>
      <c r="M70" s="24"/>
      <c r="P70" s="25" t="e">
        <f t="shared" si="5"/>
        <v>#VALUE!</v>
      </c>
      <c r="Q70" s="25" t="e">
        <f t="shared" si="5"/>
        <v>#VALUE!</v>
      </c>
    </row>
    <row r="71" spans="1:17" x14ac:dyDescent="0.35">
      <c r="A71" s="17">
        <v>1726</v>
      </c>
      <c r="B71" s="18" t="s">
        <v>100</v>
      </c>
      <c r="C71" s="38"/>
      <c r="D71" s="39"/>
      <c r="E71" s="40"/>
      <c r="G71" s="98">
        <v>5</v>
      </c>
      <c r="H71" s="98">
        <v>4.8099999999999996</v>
      </c>
      <c r="I71" s="22">
        <f>_xlfn.XLOOKUP(A71,T_Custos[BP],T_Custos[Custo])/_xlfn.XLOOKUP(A71,T_Custos[BP],T_Custos[Peso])*(1+Margens!$B$5)+_xlfn.XLOOKUP(A71,T_Custos[BP],T_Custos[Frete])/_xlfn.XLOOKUP(A71,T_Custos[BP],T_Custos[Peso])</f>
        <v>6.2846153846153845</v>
      </c>
      <c r="J71" s="23">
        <f t="shared" si="6"/>
        <v>6.0428994082840237</v>
      </c>
      <c r="K71" s="22">
        <f t="shared" si="7"/>
        <v>5.586324786324786</v>
      </c>
      <c r="L71" s="22">
        <f t="shared" si="8"/>
        <v>5.37146614069691</v>
      </c>
      <c r="M71" s="24"/>
      <c r="P71" s="25">
        <f t="shared" si="5"/>
        <v>0.25692307692307692</v>
      </c>
      <c r="Q71" s="25">
        <f t="shared" si="5"/>
        <v>0.25632004330229191</v>
      </c>
    </row>
    <row r="72" spans="1:17" x14ac:dyDescent="0.35">
      <c r="A72" s="17">
        <v>36198</v>
      </c>
      <c r="B72" s="18" t="s">
        <v>102</v>
      </c>
      <c r="G72" s="98"/>
      <c r="H72" s="98"/>
      <c r="I72" s="22">
        <f>_xlfn.XLOOKUP(A72,T_Custos[BP],T_Custos[Custo])/_xlfn.XLOOKUP(A72,T_Custos[BP],T_Custos[Peso])*(1+Margens!$B$5)+_xlfn.XLOOKUP(A72,T_Custos[BP],T_Custos[Frete])/_xlfn.XLOOKUP(A72,T_Custos[BP],T_Custos[Peso])</f>
        <v>15.25</v>
      </c>
      <c r="J72" s="23">
        <f t="shared" si="6"/>
        <v>14.663461538461537</v>
      </c>
      <c r="K72" s="22">
        <f t="shared" si="7"/>
        <v>15.25</v>
      </c>
      <c r="L72" s="22">
        <f t="shared" si="8"/>
        <v>14.663461538461537</v>
      </c>
      <c r="M72" s="24"/>
      <c r="P72" s="25" t="e">
        <f t="shared" si="5"/>
        <v>#DIV/0!</v>
      </c>
      <c r="Q72" s="25" t="e">
        <f t="shared" si="5"/>
        <v>#DIV/0!</v>
      </c>
    </row>
    <row r="73" spans="1:17" x14ac:dyDescent="0.35">
      <c r="A73" s="17">
        <v>1727</v>
      </c>
      <c r="B73" s="18" t="s">
        <v>316</v>
      </c>
      <c r="C73" s="38"/>
      <c r="D73" s="39"/>
      <c r="E73" s="41"/>
      <c r="G73" s="98">
        <v>7.8</v>
      </c>
      <c r="H73" s="98">
        <v>7.5</v>
      </c>
      <c r="I73" s="22">
        <f>_xlfn.XLOOKUP(A73,T_Custos[BP],T_Custos[Custo])/_xlfn.XLOOKUP(A73,T_Custos[BP],T_Custos[Peso])*(1+Margens!$B$5)+_xlfn.XLOOKUP(A73,T_Custos[BP],T_Custos[Frete])/_xlfn.XLOOKUP(A73,T_Custos[BP],T_Custos[Peso])</f>
        <v>7.1999999999999993</v>
      </c>
      <c r="J73" s="23">
        <f t="shared" si="6"/>
        <v>6.9230769230769216</v>
      </c>
      <c r="K73" s="22">
        <f t="shared" si="7"/>
        <v>7.8</v>
      </c>
      <c r="L73" s="22">
        <f t="shared" si="8"/>
        <v>7.5</v>
      </c>
      <c r="M73" s="24"/>
      <c r="O73" s="2"/>
      <c r="P73" s="25">
        <f t="shared" si="5"/>
        <v>-7.6923076923076997E-2</v>
      </c>
      <c r="Q73" s="25">
        <f t="shared" si="5"/>
        <v>-7.6923076923077122E-2</v>
      </c>
    </row>
    <row r="74" spans="1:17" x14ac:dyDescent="0.35">
      <c r="A74" s="17">
        <v>3756</v>
      </c>
      <c r="B74" s="18" t="s">
        <v>483</v>
      </c>
      <c r="G74" s="100"/>
      <c r="H74" s="100"/>
      <c r="I74" s="22" t="e">
        <f>_xlfn.XLOOKUP(A74,T_Custos[BP],T_Custos[Custo])/_xlfn.XLOOKUP(A74,T_Custos[BP],T_Custos[Peso])*(1+Margens!$B$5)+_xlfn.XLOOKUP(A74,T_Custos[BP],T_Custos[Frete])/_xlfn.XLOOKUP(A74,T_Custos[BP],T_Custos[Peso])</f>
        <v>#N/A</v>
      </c>
      <c r="J74" s="23" t="e">
        <f t="shared" si="6"/>
        <v>#N/A</v>
      </c>
      <c r="K74" s="22" t="str">
        <f t="shared" si="7"/>
        <v>EM FALTA</v>
      </c>
      <c r="L74" s="22" t="str">
        <f t="shared" si="8"/>
        <v>EM FALTA</v>
      </c>
      <c r="M74" s="24"/>
      <c r="P74" s="25" t="e">
        <f t="shared" si="5"/>
        <v>#N/A</v>
      </c>
      <c r="Q74" s="25" t="e">
        <f t="shared" si="5"/>
        <v>#N/A</v>
      </c>
    </row>
    <row r="75" spans="1:17" x14ac:dyDescent="0.35">
      <c r="A75" s="17">
        <v>1728</v>
      </c>
      <c r="B75" s="18" t="s">
        <v>318</v>
      </c>
      <c r="G75" s="103">
        <v>24.1</v>
      </c>
      <c r="H75" s="103">
        <v>23.17</v>
      </c>
      <c r="I75" s="22">
        <f>I76*4</f>
        <v>28.999999999999996</v>
      </c>
      <c r="J75" s="23">
        <f t="shared" si="6"/>
        <v>27.88461538461538</v>
      </c>
      <c r="K75" s="22">
        <f t="shared" si="7"/>
        <v>25.777777777777771</v>
      </c>
      <c r="L75" s="22">
        <f t="shared" si="8"/>
        <v>24.78632478632478</v>
      </c>
      <c r="M75" s="24"/>
      <c r="P75" s="25">
        <f t="shared" si="5"/>
        <v>0.20331950207468857</v>
      </c>
      <c r="Q75" s="25">
        <f t="shared" si="5"/>
        <v>0.20347930015603702</v>
      </c>
    </row>
    <row r="76" spans="1:17" x14ac:dyDescent="0.35">
      <c r="A76" s="17">
        <v>4130</v>
      </c>
      <c r="B76" s="18" t="s">
        <v>331</v>
      </c>
      <c r="C76" s="38"/>
      <c r="D76" s="39"/>
      <c r="E76" s="41"/>
      <c r="F76" s="42"/>
      <c r="G76" s="98">
        <v>6.02</v>
      </c>
      <c r="H76" s="98">
        <v>5.79</v>
      </c>
      <c r="I76" s="22">
        <f>_xlfn.XLOOKUP(A76,T_Custos[BP],T_Custos[Custo])/_xlfn.XLOOKUP(A76,T_Custos[BP],T_Custos[Peso])*(1+Margens!$B$5)+_xlfn.XLOOKUP(A76,T_Custos[BP],T_Custos[Frete])/_xlfn.XLOOKUP(A76,T_Custos[BP],T_Custos[Peso])</f>
        <v>7.2499999999999991</v>
      </c>
      <c r="J76" s="23">
        <f t="shared" si="6"/>
        <v>6.9711538461538449</v>
      </c>
      <c r="K76" s="22">
        <f t="shared" si="7"/>
        <v>6.4444444444444429</v>
      </c>
      <c r="L76" s="22">
        <f t="shared" si="8"/>
        <v>6.196581196581195</v>
      </c>
      <c r="M76" s="24"/>
      <c r="P76" s="25">
        <f t="shared" si="5"/>
        <v>0.20431893687707636</v>
      </c>
      <c r="Q76" s="25">
        <f t="shared" si="5"/>
        <v>0.20399893715955869</v>
      </c>
    </row>
    <row r="77" spans="1:17" x14ac:dyDescent="0.35">
      <c r="A77" s="17">
        <v>1730</v>
      </c>
      <c r="B77" s="18" t="s">
        <v>319</v>
      </c>
      <c r="C77" s="38"/>
      <c r="D77" s="39"/>
      <c r="E77" s="41"/>
      <c r="G77" s="98">
        <v>12.38</v>
      </c>
      <c r="H77" s="98">
        <v>11.9</v>
      </c>
      <c r="I77" s="22">
        <f>_xlfn.XLOOKUP(A77,T_Custos[BP],T_Custos[Custo])/_xlfn.XLOOKUP(A77,T_Custos[BP],T_Custos[Peso])*(1+Margens!$B$5)+_xlfn.XLOOKUP(A77,T_Custos[BP],T_Custos[Frete])/_xlfn.XLOOKUP(A77,T_Custos[BP],T_Custos[Peso])</f>
        <v>6.9249999999999998</v>
      </c>
      <c r="J77" s="23">
        <f t="shared" si="6"/>
        <v>6.6586538461538458</v>
      </c>
      <c r="K77" s="22">
        <f t="shared" si="7"/>
        <v>12.38</v>
      </c>
      <c r="L77" s="22">
        <f t="shared" si="8"/>
        <v>11.9</v>
      </c>
      <c r="M77" s="24"/>
      <c r="P77" s="25">
        <f t="shared" si="5"/>
        <v>-0.4406300484652666</v>
      </c>
      <c r="Q77" s="25">
        <f t="shared" si="5"/>
        <v>-0.44044925662572726</v>
      </c>
    </row>
    <row r="78" spans="1:17" x14ac:dyDescent="0.35">
      <c r="A78" s="17">
        <v>59154</v>
      </c>
      <c r="B78" s="18" t="s">
        <v>110</v>
      </c>
      <c r="G78" s="98"/>
      <c r="H78" s="98"/>
      <c r="I78" s="22">
        <f>_xlfn.XLOOKUP(A78,T_Custos[BP],T_Custos[Custo])/_xlfn.XLOOKUP(A78,T_Custos[BP],T_Custos[Peso])*(1+Margens!$B$5)+_xlfn.XLOOKUP(A78,T_Custos[BP],T_Custos[Frete])/_xlfn.XLOOKUP(A78,T_Custos[BP],T_Custos[Peso])</f>
        <v>4.8999999999999995</v>
      </c>
      <c r="J78" s="23">
        <f t="shared" si="6"/>
        <v>4.7115384615384608</v>
      </c>
      <c r="K78" s="22">
        <f t="shared" si="7"/>
        <v>4.8999999999999995</v>
      </c>
      <c r="L78" s="22">
        <f t="shared" si="8"/>
        <v>4.7115384615384608</v>
      </c>
      <c r="M78" s="24"/>
      <c r="P78" s="25" t="e">
        <f t="shared" si="5"/>
        <v>#DIV/0!</v>
      </c>
      <c r="Q78" s="25" t="e">
        <f t="shared" si="5"/>
        <v>#DIV/0!</v>
      </c>
    </row>
    <row r="79" spans="1:17" x14ac:dyDescent="0.35">
      <c r="A79" s="17">
        <v>1732</v>
      </c>
      <c r="B79" s="18" t="s">
        <v>112</v>
      </c>
      <c r="G79" s="98"/>
      <c r="H79" s="98"/>
      <c r="I79" s="22" t="e">
        <f>_xlfn.XLOOKUP(A79,T_Custos[BP],T_Custos[Custo])/_xlfn.XLOOKUP(A79,T_Custos[BP],T_Custos[Peso])*(1+Margens!$B$5)+_xlfn.XLOOKUP(A79,T_Custos[BP],T_Custos[Frete])/_xlfn.XLOOKUP(A79,T_Custos[BP],T_Custos[Peso])</f>
        <v>#VALUE!</v>
      </c>
      <c r="J79" s="23" t="e">
        <f t="shared" si="6"/>
        <v>#VALUE!</v>
      </c>
      <c r="K79" s="22" t="str">
        <f t="shared" si="7"/>
        <v>EM FALTA</v>
      </c>
      <c r="L79" s="22" t="str">
        <f t="shared" si="8"/>
        <v>EM FALTA</v>
      </c>
      <c r="M79" s="24"/>
      <c r="P79" s="25" t="e">
        <f t="shared" si="5"/>
        <v>#VALUE!</v>
      </c>
      <c r="Q79" s="25" t="e">
        <f t="shared" si="5"/>
        <v>#VALUE!</v>
      </c>
    </row>
    <row r="80" spans="1:17" x14ac:dyDescent="0.35">
      <c r="A80" s="17">
        <v>60272</v>
      </c>
      <c r="B80" s="18" t="s">
        <v>484</v>
      </c>
      <c r="C80" s="38"/>
      <c r="D80" s="39"/>
      <c r="E80" s="41"/>
      <c r="G80" s="98">
        <v>20.3</v>
      </c>
      <c r="H80" s="98">
        <v>19.52</v>
      </c>
      <c r="I80" s="22" t="e">
        <f>_xlfn.XLOOKUP(A80,T_Custos[BP],T_Custos[Custo])/_xlfn.XLOOKUP(A80,T_Custos[BP],T_Custos[Peso])*(1+Margens!$B$5)+_xlfn.XLOOKUP(A80,T_Custos[BP],T_Custos[Frete])/_xlfn.XLOOKUP(A80,T_Custos[BP],T_Custos[Peso])</f>
        <v>#N/A</v>
      </c>
      <c r="J80" s="23" t="e">
        <f t="shared" si="6"/>
        <v>#N/A</v>
      </c>
      <c r="K80" s="22" t="str">
        <f t="shared" si="7"/>
        <v>EM FALTA</v>
      </c>
      <c r="L80" s="22" t="str">
        <f t="shared" si="8"/>
        <v>EM FALTA</v>
      </c>
      <c r="M80" s="24"/>
      <c r="P80" s="25" t="e">
        <f t="shared" si="5"/>
        <v>#N/A</v>
      </c>
      <c r="Q80" s="25" t="e">
        <f t="shared" si="5"/>
        <v>#N/A</v>
      </c>
    </row>
    <row r="81" spans="1:17" x14ac:dyDescent="0.35">
      <c r="A81" s="17">
        <v>31043</v>
      </c>
      <c r="B81" s="18" t="s">
        <v>338</v>
      </c>
      <c r="G81" s="106">
        <v>6.82</v>
      </c>
      <c r="H81" s="106">
        <v>6.55</v>
      </c>
      <c r="I81" s="22">
        <f>_xlfn.XLOOKUP(A81,T_Custos[BP],T_Custos[Custo])/_xlfn.XLOOKUP(A81,T_Custos[BP],T_Custos[Peso])*(1+Margens!$B$5)+_xlfn.XLOOKUP(A81,T_Custos[BP],T_Custos[Frete])/_xlfn.XLOOKUP(A81,T_Custos[BP],T_Custos[Peso])</f>
        <v>8.9733333333333309</v>
      </c>
      <c r="J81" s="23">
        <f t="shared" si="6"/>
        <v>8.628205128205126</v>
      </c>
      <c r="K81" s="22">
        <f t="shared" si="7"/>
        <v>7.9762962962962938</v>
      </c>
      <c r="L81" s="22">
        <f t="shared" si="8"/>
        <v>7.6695156695156665</v>
      </c>
      <c r="M81" s="24"/>
      <c r="P81" s="25">
        <f t="shared" si="5"/>
        <v>0.31573802541544438</v>
      </c>
      <c r="Q81" s="25">
        <f t="shared" si="5"/>
        <v>0.31728322568017192</v>
      </c>
    </row>
    <row r="82" spans="1:17" x14ac:dyDescent="0.35">
      <c r="A82" s="17">
        <v>61355</v>
      </c>
      <c r="B82" s="18" t="s">
        <v>345</v>
      </c>
      <c r="C82" s="38"/>
      <c r="D82" s="39"/>
      <c r="E82" s="40"/>
      <c r="G82" s="98"/>
      <c r="H82" s="98"/>
      <c r="I82" s="22">
        <f>_xlfn.XLOOKUP(A82,T_Custos[BP],T_Custos[Custo])/_xlfn.XLOOKUP(A82,T_Custos[BP],T_Custos[Peso])*(1+Margens!$B$5)+_xlfn.XLOOKUP(A82,T_Custos[BP],T_Custos[Frete])/_xlfn.XLOOKUP(A82,T_Custos[BP],T_Custos[Peso])</f>
        <v>15.25</v>
      </c>
      <c r="J82" s="23">
        <f t="shared" si="6"/>
        <v>14.663461538461537</v>
      </c>
      <c r="K82" s="22">
        <f t="shared" si="7"/>
        <v>15.25</v>
      </c>
      <c r="L82" s="22">
        <f t="shared" si="8"/>
        <v>14.663461538461537</v>
      </c>
      <c r="M82" s="24"/>
      <c r="P82" s="25" t="e">
        <f t="shared" si="5"/>
        <v>#DIV/0!</v>
      </c>
      <c r="Q82" s="25" t="e">
        <f t="shared" si="5"/>
        <v>#DIV/0!</v>
      </c>
    </row>
    <row r="83" spans="1:17" x14ac:dyDescent="0.35">
      <c r="A83" s="17">
        <v>1734</v>
      </c>
      <c r="B83" s="18" t="s">
        <v>130</v>
      </c>
      <c r="C83" s="38"/>
      <c r="D83" s="39"/>
      <c r="E83" s="41"/>
      <c r="G83" s="98">
        <v>5.75</v>
      </c>
      <c r="H83" s="98">
        <v>5.53</v>
      </c>
      <c r="I83" s="22">
        <f>_xlfn.XLOOKUP(A83,T_Custos[BP],T_Custos[Custo])/_xlfn.XLOOKUP(A83,T_Custos[BP],T_Custos[Peso])*(1+Margens!$B$5)+_xlfn.XLOOKUP(A83,T_Custos[BP],T_Custos[Frete])/_xlfn.XLOOKUP(A83,T_Custos[BP],T_Custos[Peso])</f>
        <v>1.4722222222222221</v>
      </c>
      <c r="J83" s="23">
        <f t="shared" si="6"/>
        <v>1.4155982905982905</v>
      </c>
      <c r="K83" s="22">
        <f t="shared" si="7"/>
        <v>5.75</v>
      </c>
      <c r="L83" s="22">
        <f t="shared" si="8"/>
        <v>5.53</v>
      </c>
      <c r="M83" s="24"/>
      <c r="P83" s="25">
        <f t="shared" si="5"/>
        <v>-0.7439613526570048</v>
      </c>
      <c r="Q83" s="25">
        <f t="shared" si="5"/>
        <v>-0.74401477566034535</v>
      </c>
    </row>
    <row r="84" spans="1:17" x14ac:dyDescent="0.35">
      <c r="A84" s="17">
        <v>4270</v>
      </c>
      <c r="B84" s="18" t="s">
        <v>131</v>
      </c>
      <c r="G84" s="98">
        <v>5.75</v>
      </c>
      <c r="H84" s="98">
        <v>5.53</v>
      </c>
      <c r="I84" s="22">
        <f>_xlfn.XLOOKUP(A84,T_Custos[BP],T_Custos[Custo])/_xlfn.XLOOKUP(A84,T_Custos[BP],T_Custos[Peso])*(1+Margens!$B$5)+_xlfn.XLOOKUP(A84,T_Custos[BP],T_Custos[Frete])/_xlfn.XLOOKUP(A84,T_Custos[BP],T_Custos[Peso])</f>
        <v>3.0694444444444446</v>
      </c>
      <c r="J84" s="23">
        <f t="shared" si="6"/>
        <v>2.9513888888888888</v>
      </c>
      <c r="K84" s="22">
        <f t="shared" si="7"/>
        <v>5.75</v>
      </c>
      <c r="L84" s="22">
        <f t="shared" si="8"/>
        <v>5.53</v>
      </c>
      <c r="M84" s="24"/>
      <c r="P84" s="25">
        <f t="shared" si="5"/>
        <v>-0.46618357487922701</v>
      </c>
      <c r="Q84" s="25">
        <f t="shared" si="5"/>
        <v>-0.46629495680128596</v>
      </c>
    </row>
    <row r="85" spans="1:17" x14ac:dyDescent="0.35">
      <c r="A85" s="43">
        <v>31517</v>
      </c>
      <c r="B85" s="18" t="s">
        <v>132</v>
      </c>
      <c r="C85" s="44">
        <v>34.1</v>
      </c>
      <c r="D85" s="44">
        <v>32.4</v>
      </c>
      <c r="E85" s="43">
        <v>22999</v>
      </c>
      <c r="F85" s="43" t="s">
        <v>334</v>
      </c>
      <c r="G85" s="98"/>
      <c r="H85" s="98"/>
      <c r="I85" s="22" t="e">
        <f>_xlfn.XLOOKUP(A85,T_Custos[BP],T_Custos[Custo])/_xlfn.XLOOKUP(A85,T_Custos[BP],T_Custos[Peso])*(1+Margens!$B$5)+_xlfn.XLOOKUP(A85,T_Custos[BP],T_Custos[Frete])/_xlfn.XLOOKUP(A85,T_Custos[BP],T_Custos[Peso])</f>
        <v>#VALUE!</v>
      </c>
      <c r="J85" s="23" t="e">
        <f t="shared" si="6"/>
        <v>#VALUE!</v>
      </c>
      <c r="K85" s="22" t="str">
        <f t="shared" si="7"/>
        <v>EM FALTA</v>
      </c>
      <c r="L85" s="22" t="str">
        <f t="shared" si="8"/>
        <v>EM FALTA</v>
      </c>
      <c r="M85" s="24"/>
      <c r="P85" s="25" t="e">
        <f t="shared" si="5"/>
        <v>#VALUE!</v>
      </c>
      <c r="Q85" s="25" t="e">
        <f t="shared" si="5"/>
        <v>#VALUE!</v>
      </c>
    </row>
    <row r="86" spans="1:17" x14ac:dyDescent="0.35">
      <c r="A86" s="17">
        <v>1735</v>
      </c>
      <c r="B86" s="18" t="s">
        <v>133</v>
      </c>
      <c r="C86" s="38"/>
      <c r="D86" s="39"/>
      <c r="E86" s="41"/>
      <c r="G86" s="98">
        <v>22.46</v>
      </c>
      <c r="H86" s="98">
        <v>21.59</v>
      </c>
      <c r="I86" s="22">
        <f>_xlfn.XLOOKUP(A86,T_Custos[BP],T_Custos[Custo])/_xlfn.XLOOKUP(A86,T_Custos[BP],T_Custos[Peso])*(1+Margens!$B$5)+_xlfn.XLOOKUP(A86,T_Custos[BP],T_Custos[Frete])/_xlfn.XLOOKUP(A86,T_Custos[BP],T_Custos[Peso])</f>
        <v>18.280666666666669</v>
      </c>
      <c r="J86" s="23">
        <f t="shared" si="6"/>
        <v>17.577564102564104</v>
      </c>
      <c r="K86" s="22">
        <f t="shared" si="7"/>
        <v>22.46</v>
      </c>
      <c r="L86" s="22">
        <f t="shared" si="8"/>
        <v>21.59</v>
      </c>
      <c r="M86" s="24"/>
      <c r="P86" s="25">
        <f t="shared" ref="P86:Q104" si="9">(I86-G86)/G86</f>
        <v>-0.18607895517957845</v>
      </c>
      <c r="Q86" s="25">
        <f t="shared" si="9"/>
        <v>-0.18584696143751256</v>
      </c>
    </row>
    <row r="87" spans="1:17" x14ac:dyDescent="0.35">
      <c r="A87" s="17">
        <v>1736</v>
      </c>
      <c r="B87" s="18" t="s">
        <v>320</v>
      </c>
      <c r="C87" s="38"/>
      <c r="D87" s="39"/>
      <c r="E87" s="41"/>
      <c r="G87" s="98">
        <v>9.23</v>
      </c>
      <c r="H87" s="98">
        <v>8.8699999999999992</v>
      </c>
      <c r="I87" s="22">
        <f>_xlfn.XLOOKUP(A87,T_Custos[BP],T_Custos[Custo])/_xlfn.XLOOKUP(A87,T_Custos[BP],T_Custos[Peso])*(1+Margens!$B$5)+_xlfn.XLOOKUP(A87,T_Custos[BP],T_Custos[Frete])/_xlfn.XLOOKUP(A87,T_Custos[BP],T_Custos[Peso])</f>
        <v>7.988888888888888</v>
      </c>
      <c r="J87" s="23">
        <f t="shared" si="6"/>
        <v>7.681623931623931</v>
      </c>
      <c r="K87" s="22">
        <f t="shared" si="7"/>
        <v>9.23</v>
      </c>
      <c r="L87" s="22">
        <f t="shared" si="8"/>
        <v>8.8699999999999992</v>
      </c>
      <c r="M87" s="24"/>
      <c r="P87" s="25">
        <f t="shared" si="9"/>
        <v>-0.13446490911279657</v>
      </c>
      <c r="Q87" s="25">
        <f t="shared" si="9"/>
        <v>-0.13397700883608438</v>
      </c>
    </row>
    <row r="88" spans="1:17" x14ac:dyDescent="0.35">
      <c r="A88" s="17">
        <v>1737</v>
      </c>
      <c r="B88" s="18" t="s">
        <v>321</v>
      </c>
      <c r="G88" s="98">
        <v>23</v>
      </c>
      <c r="H88" s="98">
        <v>22.12</v>
      </c>
      <c r="I88" s="22" t="e">
        <f>_xlfn.XLOOKUP(A88,T_Custos[BP],T_Custos[Custo])/_xlfn.XLOOKUP(A88,T_Custos[BP],T_Custos[Peso])*(1+Margens!$B$5)+_xlfn.XLOOKUP(A88,T_Custos[BP],T_Custos[Frete])/_xlfn.XLOOKUP(A88,T_Custos[BP],T_Custos[Peso])</f>
        <v>#VALUE!</v>
      </c>
      <c r="J88" s="23" t="e">
        <f t="shared" si="6"/>
        <v>#VALUE!</v>
      </c>
      <c r="K88" s="22" t="str">
        <f t="shared" si="7"/>
        <v>EM FALTA</v>
      </c>
      <c r="L88" s="22" t="str">
        <f t="shared" si="8"/>
        <v>EM FALTA</v>
      </c>
      <c r="M88" s="24"/>
      <c r="P88" s="25" t="e">
        <f t="shared" si="9"/>
        <v>#VALUE!</v>
      </c>
      <c r="Q88" s="25" t="e">
        <f t="shared" si="9"/>
        <v>#VALUE!</v>
      </c>
    </row>
    <row r="89" spans="1:17" x14ac:dyDescent="0.35">
      <c r="A89" s="17">
        <v>25944</v>
      </c>
      <c r="B89" s="18" t="s">
        <v>136</v>
      </c>
      <c r="C89" s="38"/>
      <c r="D89" s="39"/>
      <c r="E89" s="41"/>
      <c r="G89" s="98">
        <v>23</v>
      </c>
      <c r="H89" s="98">
        <v>22.12</v>
      </c>
      <c r="I89" s="22" t="e">
        <f>_xlfn.XLOOKUP(A89,T_Custos[BP],T_Custos[Custo])/_xlfn.XLOOKUP(A89,T_Custos[BP],T_Custos[Peso])*(1+Margens!$B$5)+_xlfn.XLOOKUP(A89,T_Custos[BP],T_Custos[Frete])/_xlfn.XLOOKUP(A89,T_Custos[BP],T_Custos[Peso])</f>
        <v>#VALUE!</v>
      </c>
      <c r="J89" s="23" t="e">
        <f t="shared" si="6"/>
        <v>#VALUE!</v>
      </c>
      <c r="K89" s="22" t="str">
        <f t="shared" si="7"/>
        <v>EM FALTA</v>
      </c>
      <c r="L89" s="22" t="str">
        <f t="shared" si="8"/>
        <v>EM FALTA</v>
      </c>
      <c r="M89" s="24"/>
      <c r="P89" s="25" t="e">
        <f t="shared" si="9"/>
        <v>#VALUE!</v>
      </c>
      <c r="Q89" s="25" t="e">
        <f t="shared" si="9"/>
        <v>#VALUE!</v>
      </c>
    </row>
    <row r="90" spans="1:17" x14ac:dyDescent="0.35">
      <c r="A90" s="43">
        <v>49976</v>
      </c>
      <c r="B90" s="18" t="s">
        <v>141</v>
      </c>
      <c r="C90" s="44">
        <v>26</v>
      </c>
      <c r="D90" s="44">
        <v>24.7</v>
      </c>
      <c r="E90" s="43">
        <v>26655</v>
      </c>
      <c r="F90" s="43" t="s">
        <v>337</v>
      </c>
      <c r="G90" s="98">
        <v>27.8</v>
      </c>
      <c r="H90" s="98">
        <v>26.73</v>
      </c>
      <c r="I90" s="22">
        <f>_xlfn.XLOOKUP(A90,T_Custos[BP],T_Custos[Custo])/_xlfn.XLOOKUP(A90,T_Custos[BP],T_Custos[Peso])*(1+Margens!$B$5)+_xlfn.XLOOKUP(A90,T_Custos[BP],T_Custos[Frete])/_xlfn.XLOOKUP(A90,T_Custos[BP],T_Custos[Peso])</f>
        <v>23.3</v>
      </c>
      <c r="J90" s="23">
        <f t="shared" si="6"/>
        <v>22.403846153846153</v>
      </c>
      <c r="K90" s="22">
        <f t="shared" si="7"/>
        <v>27.8</v>
      </c>
      <c r="L90" s="22">
        <f t="shared" si="8"/>
        <v>26.73</v>
      </c>
      <c r="M90" s="24"/>
      <c r="P90" s="25">
        <f t="shared" si="9"/>
        <v>-0.16187050359712229</v>
      </c>
      <c r="Q90" s="25">
        <f t="shared" si="9"/>
        <v>-0.16184638406860632</v>
      </c>
    </row>
    <row r="91" spans="1:17" x14ac:dyDescent="0.35">
      <c r="A91" s="17">
        <v>65099</v>
      </c>
      <c r="B91" s="18" t="s">
        <v>143</v>
      </c>
      <c r="C91" s="38"/>
      <c r="D91" s="39"/>
      <c r="E91" s="41"/>
      <c r="G91" s="98">
        <v>44.05</v>
      </c>
      <c r="H91" s="98">
        <v>42.36</v>
      </c>
      <c r="I91" s="22">
        <f>_xlfn.XLOOKUP(A91,T_Custos[BP],T_Custos[Custo])/_xlfn.XLOOKUP(A91,T_Custos[BP],T_Custos[Peso])*(1+Margens!$B$5)+_xlfn.XLOOKUP(A91,T_Custos[BP],T_Custos[Frete])/_xlfn.XLOOKUP(A91,T_Custos[BP],T_Custos[Peso])</f>
        <v>40.549999999999997</v>
      </c>
      <c r="J91" s="23">
        <f t="shared" si="6"/>
        <v>38.990384615384613</v>
      </c>
      <c r="K91" s="22">
        <f t="shared" si="7"/>
        <v>44.05</v>
      </c>
      <c r="L91" s="22">
        <f t="shared" si="8"/>
        <v>42.36</v>
      </c>
      <c r="M91" s="24"/>
      <c r="P91" s="25">
        <f t="shared" si="9"/>
        <v>-7.9455164585698082E-2</v>
      </c>
      <c r="Q91" s="25">
        <f t="shared" si="9"/>
        <v>-7.9547105396963788E-2</v>
      </c>
    </row>
    <row r="92" spans="1:17" x14ac:dyDescent="0.35">
      <c r="A92" s="17">
        <v>1738</v>
      </c>
      <c r="B92" s="18" t="s">
        <v>485</v>
      </c>
      <c r="G92" s="98">
        <v>15.35</v>
      </c>
      <c r="H92" s="98">
        <v>14.76</v>
      </c>
      <c r="I92" s="22">
        <f>_xlfn.XLOOKUP(A92,T_Custos[BP],T_Custos[Custo])/_xlfn.XLOOKUP(A92,T_Custos[BP],T_Custos[Peso])*(1+Margens!$B$5)+_xlfn.XLOOKUP(A92,T_Custos[BP],T_Custos[Frete])/_xlfn.XLOOKUP(A92,T_Custos[BP],T_Custos[Peso])</f>
        <v>17.600000000000001</v>
      </c>
      <c r="J92" s="23">
        <f t="shared" si="6"/>
        <v>16.923076923076923</v>
      </c>
      <c r="K92" s="22">
        <f t="shared" si="7"/>
        <v>15.644444444444446</v>
      </c>
      <c r="L92" s="22">
        <f t="shared" si="8"/>
        <v>15.042735042735041</v>
      </c>
      <c r="M92" s="24"/>
      <c r="O92" s="2"/>
      <c r="P92" s="25">
        <f t="shared" si="9"/>
        <v>0.14657980456026071</v>
      </c>
      <c r="Q92" s="25">
        <f t="shared" si="9"/>
        <v>0.14654992703773195</v>
      </c>
    </row>
    <row r="93" spans="1:17" x14ac:dyDescent="0.35">
      <c r="A93" s="43">
        <v>1739</v>
      </c>
      <c r="B93" s="18" t="s">
        <v>145</v>
      </c>
      <c r="C93" s="44">
        <v>8.24</v>
      </c>
      <c r="D93" s="44">
        <v>8.24</v>
      </c>
      <c r="E93" s="43">
        <v>31043</v>
      </c>
      <c r="F93" s="43" t="s">
        <v>338</v>
      </c>
      <c r="G93" s="98">
        <v>31.6</v>
      </c>
      <c r="H93" s="107">
        <v>30.38</v>
      </c>
      <c r="I93" s="22">
        <f>_xlfn.XLOOKUP(A93,T_Custos[BP],T_Custos[Custo])/_xlfn.XLOOKUP(A93,T_Custos[BP],T_Custos[Peso])*(1+Margens!$B$5)+_xlfn.XLOOKUP(A93,T_Custos[BP],T_Custos[Frete])/_xlfn.XLOOKUP(A93,T_Custos[BP],T_Custos[Peso])</f>
        <v>29.099999999999998</v>
      </c>
      <c r="J93" s="23">
        <f t="shared" si="6"/>
        <v>27.98076923076923</v>
      </c>
      <c r="K93" s="22">
        <f t="shared" si="7"/>
        <v>31.6</v>
      </c>
      <c r="L93" s="22">
        <f t="shared" si="8"/>
        <v>30.38</v>
      </c>
      <c r="M93" s="24"/>
      <c r="P93" s="25">
        <f t="shared" si="9"/>
        <v>-7.9113924050633014E-2</v>
      </c>
      <c r="Q93" s="25">
        <f t="shared" si="9"/>
        <v>-7.8974021370334727E-2</v>
      </c>
    </row>
    <row r="94" spans="1:17" x14ac:dyDescent="0.35">
      <c r="A94" s="17">
        <v>1740</v>
      </c>
      <c r="B94" s="18" t="s">
        <v>146</v>
      </c>
      <c r="G94" s="98">
        <v>10.35</v>
      </c>
      <c r="H94" s="98">
        <v>9.9499999999999993</v>
      </c>
      <c r="I94" s="22">
        <f>_xlfn.XLOOKUP(A94,T_Custos[BP],T_Custos[Custo])/_xlfn.XLOOKUP(A94,T_Custos[BP],T_Custos[Peso])*(1+Margens!$B$5)+_xlfn.XLOOKUP(A94,T_Custos[BP],T_Custos[Frete])/_xlfn.XLOOKUP(A94,T_Custos[BP],T_Custos[Peso])</f>
        <v>10.7</v>
      </c>
      <c r="J94" s="23">
        <f t="shared" si="6"/>
        <v>10.288461538461537</v>
      </c>
      <c r="K94" s="22">
        <f t="shared" si="7"/>
        <v>10.35</v>
      </c>
      <c r="L94" s="22">
        <f t="shared" si="8"/>
        <v>9.9499999999999993</v>
      </c>
      <c r="M94" s="24"/>
      <c r="P94" s="25">
        <f t="shared" si="9"/>
        <v>3.3816425120772917E-2</v>
      </c>
      <c r="Q94" s="25">
        <f t="shared" si="9"/>
        <v>3.4016235021260027E-2</v>
      </c>
    </row>
    <row r="95" spans="1:17" x14ac:dyDescent="0.35">
      <c r="A95" s="17">
        <v>1741</v>
      </c>
      <c r="B95" s="18" t="s">
        <v>147</v>
      </c>
      <c r="C95" s="38"/>
      <c r="D95" s="39"/>
      <c r="E95" s="41"/>
      <c r="F95" s="42"/>
      <c r="G95" s="98">
        <v>5.98</v>
      </c>
      <c r="H95" s="98">
        <v>5.75</v>
      </c>
      <c r="I95" s="22">
        <f>_xlfn.XLOOKUP(A95,T_Custos[BP],T_Custos[Custo])/_xlfn.XLOOKUP(A95,T_Custos[BP],T_Custos[Peso])*(1+Margens!$B$5)+_xlfn.XLOOKUP(A95,T_Custos[BP],T_Custos[Frete])/_xlfn.XLOOKUP(A95,T_Custos[BP],T_Custos[Peso])</f>
        <v>4.9499999999999993</v>
      </c>
      <c r="J95" s="23">
        <f t="shared" si="6"/>
        <v>4.7596153846153841</v>
      </c>
      <c r="K95" s="22">
        <f t="shared" si="7"/>
        <v>5.98</v>
      </c>
      <c r="L95" s="22">
        <f t="shared" si="8"/>
        <v>5.75</v>
      </c>
      <c r="M95" s="24"/>
      <c r="P95" s="25">
        <f t="shared" si="9"/>
        <v>-0.17224080267558547</v>
      </c>
      <c r="Q95" s="25">
        <f t="shared" si="9"/>
        <v>-0.17224080267558536</v>
      </c>
    </row>
    <row r="96" spans="1:17" x14ac:dyDescent="0.35">
      <c r="A96" s="17">
        <v>1742</v>
      </c>
      <c r="B96" s="18" t="s">
        <v>148</v>
      </c>
      <c r="C96" s="38"/>
      <c r="D96" s="39"/>
      <c r="E96" s="41"/>
      <c r="G96" s="98">
        <v>15.2</v>
      </c>
      <c r="H96" s="98">
        <v>14.62</v>
      </c>
      <c r="I96" s="22">
        <f>_xlfn.XLOOKUP(A96,T_Custos[BP],T_Custos[Custo])/_xlfn.XLOOKUP(A96,T_Custos[BP],T_Custos[Peso])*(1+Margens!$B$5)+_xlfn.XLOOKUP(A96,T_Custos[BP],T_Custos[Frete])/_xlfn.XLOOKUP(A96,T_Custos[BP],T_Custos[Peso])</f>
        <v>10.7</v>
      </c>
      <c r="J96" s="23">
        <f t="shared" si="6"/>
        <v>10.288461538461537</v>
      </c>
      <c r="K96" s="22">
        <f t="shared" si="7"/>
        <v>15.2</v>
      </c>
      <c r="L96" s="22">
        <f t="shared" si="8"/>
        <v>14.62</v>
      </c>
      <c r="M96" s="24"/>
      <c r="P96" s="25">
        <f t="shared" si="9"/>
        <v>-0.2960526315789474</v>
      </c>
      <c r="Q96" s="25">
        <f t="shared" si="9"/>
        <v>-0.2962748605703463</v>
      </c>
    </row>
    <row r="97" spans="1:17" x14ac:dyDescent="0.35">
      <c r="A97" s="17">
        <v>16449</v>
      </c>
      <c r="B97" s="18" t="s">
        <v>151</v>
      </c>
      <c r="C97" s="38"/>
      <c r="D97" s="39"/>
      <c r="E97" s="41"/>
      <c r="G97" s="98">
        <v>41.23</v>
      </c>
      <c r="H97" s="98">
        <v>39.64</v>
      </c>
      <c r="I97" s="22">
        <f>_xlfn.XLOOKUP(A97,T_Custos[BP],T_Custos[Custo])/_xlfn.XLOOKUP(A97,T_Custos[BP],T_Custos[Peso])*(1+Margens!$B$5)+_xlfn.XLOOKUP(A97,T_Custos[BP],T_Custos[Frete])/_xlfn.XLOOKUP(A97,T_Custos[BP],T_Custos[Peso])</f>
        <v>9.1358749999999986</v>
      </c>
      <c r="J97" s="23">
        <f t="shared" si="6"/>
        <v>8.7844951923076913</v>
      </c>
      <c r="K97" s="22">
        <f t="shared" si="7"/>
        <v>41.23</v>
      </c>
      <c r="L97" s="22">
        <f t="shared" si="8"/>
        <v>39.64</v>
      </c>
      <c r="M97" s="24"/>
      <c r="P97" s="25">
        <f t="shared" si="9"/>
        <v>-0.77841680814940584</v>
      </c>
      <c r="Q97" s="25">
        <f t="shared" si="9"/>
        <v>-0.77839315861988667</v>
      </c>
    </row>
    <row r="98" spans="1:17" x14ac:dyDescent="0.35">
      <c r="A98" s="17">
        <v>1743</v>
      </c>
      <c r="B98" s="18" t="s">
        <v>322</v>
      </c>
      <c r="G98" s="98">
        <v>7.1</v>
      </c>
      <c r="H98" s="98">
        <v>6.83</v>
      </c>
      <c r="I98" s="22">
        <f>_xlfn.XLOOKUP(A98,T_Custos[BP],T_Custos[Custo])/_xlfn.XLOOKUP(A98,T_Custos[BP],T_Custos[Peso])*(1+Margens!$B$5)+_xlfn.XLOOKUP(A98,T_Custos[BP],T_Custos[Frete])/_xlfn.XLOOKUP(A98,T_Custos[BP],T_Custos[Peso])</f>
        <v>4.4874999999999998</v>
      </c>
      <c r="J98" s="23">
        <f t="shared" si="6"/>
        <v>4.3149038461538458</v>
      </c>
      <c r="K98" s="22">
        <f t="shared" si="7"/>
        <v>7.1</v>
      </c>
      <c r="L98" s="22">
        <f t="shared" si="8"/>
        <v>6.83</v>
      </c>
      <c r="M98" s="24"/>
      <c r="P98" s="25">
        <f t="shared" si="9"/>
        <v>-0.36795774647887325</v>
      </c>
      <c r="Q98" s="25">
        <f t="shared" si="9"/>
        <v>-0.36824248226151601</v>
      </c>
    </row>
    <row r="99" spans="1:17" x14ac:dyDescent="0.35">
      <c r="A99" s="17">
        <v>1744</v>
      </c>
      <c r="B99" s="18" t="s">
        <v>208</v>
      </c>
      <c r="C99" s="38"/>
      <c r="D99" s="39"/>
      <c r="E99" s="41"/>
      <c r="F99" s="42"/>
      <c r="G99" s="98"/>
      <c r="H99" s="98"/>
      <c r="I99" s="22" t="e">
        <f>_xlfn.XLOOKUP(A99,T_Custos[BP],T_Custos[Custo])/_xlfn.XLOOKUP(A99,T_Custos[BP],T_Custos[Peso])*(1+Margens!$B$5)+_xlfn.XLOOKUP(A99,T_Custos[BP],T_Custos[Frete])/_xlfn.XLOOKUP(A99,T_Custos[BP],T_Custos[Peso])</f>
        <v>#N/A</v>
      </c>
      <c r="J99" s="23" t="e">
        <f t="shared" si="6"/>
        <v>#N/A</v>
      </c>
      <c r="K99" s="22" t="str">
        <f t="shared" si="7"/>
        <v>EM FALTA</v>
      </c>
      <c r="L99" s="22" t="str">
        <f t="shared" si="8"/>
        <v>EM FALTA</v>
      </c>
      <c r="M99" s="24"/>
      <c r="P99" s="25" t="e">
        <f t="shared" si="9"/>
        <v>#N/A</v>
      </c>
      <c r="Q99" s="25" t="e">
        <f t="shared" si="9"/>
        <v>#N/A</v>
      </c>
    </row>
    <row r="100" spans="1:17" x14ac:dyDescent="0.35">
      <c r="A100" s="17">
        <v>1745</v>
      </c>
      <c r="B100" s="18" t="s">
        <v>323</v>
      </c>
      <c r="C100" s="38"/>
      <c r="D100" s="39"/>
      <c r="E100" s="41"/>
      <c r="F100" s="42"/>
      <c r="G100" s="98">
        <v>2.3199999999999998</v>
      </c>
      <c r="H100" s="98">
        <v>2.23</v>
      </c>
      <c r="I100" s="22">
        <f>_xlfn.XLOOKUP(A100,T_Custos[BP],T_Custos[Custo])/_xlfn.XLOOKUP(A100,T_Custos[BP],T_Custos[Peso])*(1+Margens!$B$5)+_xlfn.XLOOKUP(A100,T_Custos[BP],T_Custos[Frete])/_xlfn.XLOOKUP(A100,T_Custos[BP],T_Custos[Peso])</f>
        <v>2.15</v>
      </c>
      <c r="J100" s="23">
        <f t="shared" si="6"/>
        <v>2.0673076923076921</v>
      </c>
      <c r="K100" s="22">
        <f t="shared" si="7"/>
        <v>2.3199999999999998</v>
      </c>
      <c r="L100" s="22">
        <f t="shared" si="8"/>
        <v>2.23</v>
      </c>
      <c r="M100" s="24"/>
      <c r="P100" s="25">
        <f t="shared" si="9"/>
        <v>-7.3275862068965497E-2</v>
      </c>
      <c r="Q100" s="25">
        <f t="shared" si="9"/>
        <v>-7.2956191790272601E-2</v>
      </c>
    </row>
    <row r="101" spans="1:17" x14ac:dyDescent="0.35">
      <c r="A101" s="17">
        <v>1746</v>
      </c>
      <c r="B101" s="18" t="s">
        <v>156</v>
      </c>
      <c r="G101" s="98">
        <v>6.15</v>
      </c>
      <c r="H101" s="98">
        <v>5.91</v>
      </c>
      <c r="I101" s="22">
        <f>_xlfn.XLOOKUP(A101,T_Custos[BP],T_Custos[Custo])/_xlfn.XLOOKUP(A101,T_Custos[BP],T_Custos[Peso])*(1+Margens!$B$5)+_xlfn.XLOOKUP(A101,T_Custos[BP],T_Custos[Frete])/_xlfn.XLOOKUP(A101,T_Custos[BP],T_Custos[Peso])</f>
        <v>4.4499999999999993</v>
      </c>
      <c r="J101" s="23">
        <f t="shared" si="6"/>
        <v>4.2788461538461533</v>
      </c>
      <c r="K101" s="22">
        <f t="shared" si="7"/>
        <v>6.15</v>
      </c>
      <c r="L101" s="22">
        <f t="shared" si="8"/>
        <v>5.91</v>
      </c>
      <c r="M101" s="24"/>
      <c r="P101" s="25">
        <f t="shared" si="9"/>
        <v>-0.27642276422764245</v>
      </c>
      <c r="Q101" s="25">
        <f t="shared" si="9"/>
        <v>-0.27599895874007563</v>
      </c>
    </row>
    <row r="102" spans="1:17" x14ac:dyDescent="0.35">
      <c r="A102" s="17">
        <v>1750</v>
      </c>
      <c r="B102" s="18" t="s">
        <v>324</v>
      </c>
      <c r="G102" s="98"/>
      <c r="H102" s="98"/>
      <c r="I102" s="22">
        <f>_xlfn.XLOOKUP(A102,T_Custos[BP],T_Custos[Custo])/_xlfn.XLOOKUP(A102,T_Custos[BP],T_Custos[Peso])*(1+Margens!$B$5)+_xlfn.XLOOKUP(A102,T_Custos[BP],T_Custos[Frete])/_xlfn.XLOOKUP(A102,T_Custos[BP],T_Custos[Peso])</f>
        <v>6.1</v>
      </c>
      <c r="J102" s="23">
        <f t="shared" si="6"/>
        <v>5.865384615384615</v>
      </c>
      <c r="K102" s="22">
        <f t="shared" si="7"/>
        <v>6.1</v>
      </c>
      <c r="L102" s="22">
        <f t="shared" si="8"/>
        <v>5.865384615384615</v>
      </c>
      <c r="M102" s="24"/>
      <c r="P102" s="25" t="e">
        <f t="shared" si="9"/>
        <v>#DIV/0!</v>
      </c>
      <c r="Q102" s="25" t="e">
        <f t="shared" si="9"/>
        <v>#DIV/0!</v>
      </c>
    </row>
    <row r="103" spans="1:17" x14ac:dyDescent="0.35">
      <c r="A103" s="17">
        <v>1752</v>
      </c>
      <c r="B103" s="18" t="s">
        <v>164</v>
      </c>
      <c r="C103" s="38"/>
      <c r="D103" s="39"/>
      <c r="E103" s="41"/>
      <c r="G103" s="98">
        <v>22</v>
      </c>
      <c r="H103" s="98">
        <v>21.15</v>
      </c>
      <c r="I103" s="22">
        <f>_xlfn.XLOOKUP(A103,T_Custos[BP],T_Custos[Custo])/_xlfn.XLOOKUP(A103,T_Custos[BP],T_Custos[Peso])*(1+Margens!$B$5)+_xlfn.XLOOKUP(A103,T_Custos[BP],T_Custos[Frete])/_xlfn.XLOOKUP(A103,T_Custos[BP],T_Custos[Peso])</f>
        <v>20.399999999999999</v>
      </c>
      <c r="J103" s="23">
        <f t="shared" si="6"/>
        <v>19.615384615384613</v>
      </c>
      <c r="K103" s="22">
        <f t="shared" si="7"/>
        <v>22</v>
      </c>
      <c r="L103" s="22">
        <f t="shared" si="8"/>
        <v>21.15</v>
      </c>
      <c r="M103" s="24"/>
      <c r="P103" s="25">
        <f t="shared" si="9"/>
        <v>-7.2727272727272793E-2</v>
      </c>
      <c r="Q103" s="25">
        <f t="shared" si="9"/>
        <v>-7.2558647026732176E-2</v>
      </c>
    </row>
    <row r="104" spans="1:17" x14ac:dyDescent="0.35">
      <c r="A104" s="17">
        <v>1751</v>
      </c>
      <c r="B104" s="18" t="s">
        <v>325</v>
      </c>
      <c r="G104" s="108">
        <v>4.24</v>
      </c>
      <c r="H104" s="108">
        <v>4.07</v>
      </c>
      <c r="I104" s="22">
        <f>_xlfn.XLOOKUP(A104,T_Custos[BP],T_Custos[Custo])/_xlfn.XLOOKUP(A104,T_Custos[BP],T_Custos[Peso])*(1+Margens!$B$5)+_xlfn.XLOOKUP(A104,T_Custos[BP],T_Custos[Frete])/_xlfn.XLOOKUP(A104,T_Custos[BP],T_Custos[Peso])</f>
        <v>8.8000000000000007</v>
      </c>
      <c r="J104" s="23">
        <f t="shared" si="6"/>
        <v>8.4615384615384617</v>
      </c>
      <c r="K104" s="22">
        <f t="shared" si="7"/>
        <v>7.8222222222222229</v>
      </c>
      <c r="L104" s="22">
        <f t="shared" si="8"/>
        <v>7.5213675213675204</v>
      </c>
      <c r="M104" s="24"/>
      <c r="P104" s="25">
        <f t="shared" si="9"/>
        <v>1.0754716981132075</v>
      </c>
      <c r="Q104" s="25">
        <f t="shared" si="9"/>
        <v>1.0790020790020789</v>
      </c>
    </row>
    <row r="105" spans="1:17" x14ac:dyDescent="0.35">
      <c r="A105" s="17">
        <v>56240</v>
      </c>
      <c r="B105" s="18" t="s">
        <v>171</v>
      </c>
      <c r="G105" s="98"/>
      <c r="H105" s="98"/>
      <c r="I105" s="22">
        <f>_xlfn.XLOOKUP(A105,T_Custos[BP],T_Custos[Custo])/_xlfn.XLOOKUP(A105,T_Custos[BP],T_Custos[Peso])*(1+Margens!$B$5)+_xlfn.XLOOKUP(A105,T_Custos[BP],T_Custos[Frete])/_xlfn.XLOOKUP(A105,T_Custos[BP],T_Custos[Peso])</f>
        <v>8.2349999999999994</v>
      </c>
      <c r="J105" s="23">
        <f t="shared" si="6"/>
        <v>7.9182692307692299</v>
      </c>
      <c r="K105" s="22">
        <f t="shared" si="7"/>
        <v>8.2349999999999994</v>
      </c>
      <c r="L105" s="22">
        <f t="shared" si="8"/>
        <v>7.9182692307692299</v>
      </c>
      <c r="M105" s="24"/>
      <c r="P105" s="25"/>
      <c r="Q105" s="25"/>
    </row>
    <row r="106" spans="1:17" x14ac:dyDescent="0.35">
      <c r="A106" s="17">
        <v>1753</v>
      </c>
      <c r="B106" s="18" t="s">
        <v>326</v>
      </c>
      <c r="G106" s="98">
        <v>14.94</v>
      </c>
      <c r="H106" s="98">
        <v>14.37</v>
      </c>
      <c r="I106" s="22">
        <f>_xlfn.XLOOKUP(A106,T_Custos[BP],T_Custos[Custo])/_xlfn.XLOOKUP(A106,T_Custos[BP],T_Custos[Peso])*(1+Margens!$B$5)+_xlfn.XLOOKUP(A106,T_Custos[BP],T_Custos[Frete])/_xlfn.XLOOKUP(A106,T_Custos[BP],T_Custos[Peso])</f>
        <v>7.1728999999999994</v>
      </c>
      <c r="J106" s="23">
        <f t="shared" si="6"/>
        <v>6.8970192307692297</v>
      </c>
      <c r="K106" s="22">
        <f t="shared" si="7"/>
        <v>14.94</v>
      </c>
      <c r="L106" s="22">
        <f t="shared" si="8"/>
        <v>14.37</v>
      </c>
      <c r="M106" s="24"/>
      <c r="P106" s="25">
        <f t="shared" ref="P106:Q110" si="10">(I106-G106)/G106</f>
        <v>-0.51988621151271752</v>
      </c>
      <c r="Q106" s="25">
        <f t="shared" si="10"/>
        <v>-0.52004041539532153</v>
      </c>
    </row>
    <row r="107" spans="1:17" x14ac:dyDescent="0.35">
      <c r="A107" s="17">
        <v>1755</v>
      </c>
      <c r="B107" s="18" t="s">
        <v>327</v>
      </c>
      <c r="C107" s="38"/>
      <c r="D107" s="39"/>
      <c r="E107" s="40"/>
      <c r="G107" s="98">
        <v>17.600000000000001</v>
      </c>
      <c r="H107" s="98">
        <v>16.920000000000002</v>
      </c>
      <c r="I107" s="22">
        <f>_xlfn.XLOOKUP(A107,T_Custos[BP],T_Custos[Custo])/_xlfn.XLOOKUP(A107,T_Custos[BP],T_Custos[Peso])*(1+Margens!$B$5)+_xlfn.XLOOKUP(A107,T_Custos[BP],T_Custos[Frete])/_xlfn.XLOOKUP(A107,T_Custos[BP],T_Custos[Peso])</f>
        <v>7.6432499999999992</v>
      </c>
      <c r="J107" s="23">
        <f t="shared" si="6"/>
        <v>7.3492788461538447</v>
      </c>
      <c r="K107" s="22">
        <f t="shared" si="7"/>
        <v>17.600000000000001</v>
      </c>
      <c r="L107" s="22">
        <f t="shared" si="8"/>
        <v>16.920000000000002</v>
      </c>
      <c r="M107" s="24"/>
      <c r="P107" s="25">
        <f t="shared" si="10"/>
        <v>-0.56572443181818199</v>
      </c>
      <c r="Q107" s="25">
        <f t="shared" si="10"/>
        <v>-0.56564545826513934</v>
      </c>
    </row>
    <row r="108" spans="1:17" x14ac:dyDescent="0.35">
      <c r="A108" s="17">
        <v>1756</v>
      </c>
      <c r="B108" s="18" t="s">
        <v>328</v>
      </c>
      <c r="G108" s="98"/>
      <c r="H108" s="98"/>
      <c r="I108" s="22" t="e">
        <f>_xlfn.XLOOKUP(A108,T_Custos[BP],T_Custos[Custo])/_xlfn.XLOOKUP(A108,T_Custos[BP],T_Custos[Peso])*(1+Margens!$B$5)+_xlfn.XLOOKUP(A108,T_Custos[BP],T_Custos[Frete])/_xlfn.XLOOKUP(A108,T_Custos[BP],T_Custos[Peso])</f>
        <v>#VALUE!</v>
      </c>
      <c r="J108" s="23" t="e">
        <f t="shared" si="6"/>
        <v>#VALUE!</v>
      </c>
      <c r="K108" s="22" t="str">
        <f t="shared" si="7"/>
        <v>EM FALTA</v>
      </c>
      <c r="L108" s="22" t="str">
        <f t="shared" si="8"/>
        <v>EM FALTA</v>
      </c>
      <c r="M108" s="37"/>
      <c r="P108" s="25" t="e">
        <f t="shared" si="10"/>
        <v>#VALUE!</v>
      </c>
      <c r="Q108" s="25" t="e">
        <f t="shared" si="10"/>
        <v>#VALUE!</v>
      </c>
    </row>
    <row r="109" spans="1:17" x14ac:dyDescent="0.35">
      <c r="A109" s="17">
        <v>62602</v>
      </c>
      <c r="B109" s="18" t="s">
        <v>342</v>
      </c>
      <c r="G109" s="98">
        <v>13.04</v>
      </c>
      <c r="H109" s="98">
        <v>12.54</v>
      </c>
      <c r="I109" s="22">
        <f>I110*2</f>
        <v>14.436799999999998</v>
      </c>
      <c r="J109" s="23">
        <f t="shared" si="6"/>
        <v>13.881538461538458</v>
      </c>
      <c r="K109" s="22">
        <f t="shared" si="7"/>
        <v>12.832711111111109</v>
      </c>
      <c r="L109" s="22">
        <f t="shared" si="8"/>
        <v>12.339145299145294</v>
      </c>
      <c r="M109" s="45"/>
      <c r="P109" s="25">
        <f t="shared" si="10"/>
        <v>0.10711656441717785</v>
      </c>
      <c r="Q109" s="25">
        <f t="shared" si="10"/>
        <v>0.10698073855968572</v>
      </c>
    </row>
    <row r="110" spans="1:17" x14ac:dyDescent="0.35">
      <c r="A110" s="17">
        <v>59155</v>
      </c>
      <c r="B110" s="18" t="s">
        <v>343</v>
      </c>
      <c r="G110" s="98">
        <v>6.52</v>
      </c>
      <c r="H110" s="98">
        <v>6.27</v>
      </c>
      <c r="I110" s="22">
        <f>_xlfn.XLOOKUP(A110,T_Custos[BP],T_Custos[Custo])/_xlfn.XLOOKUP(A110,T_Custos[BP],T_Custos[Peso])*(1+Margens!$B$5)+_xlfn.XLOOKUP(A110,T_Custos[BP],T_Custos[Frete])/_xlfn.XLOOKUP(A110,T_Custos[BP],T_Custos[Peso])</f>
        <v>7.218399999999999</v>
      </c>
      <c r="J110" s="23">
        <f t="shared" si="6"/>
        <v>6.940769230769229</v>
      </c>
      <c r="K110" s="22">
        <f t="shared" si="7"/>
        <v>6.4163555555555547</v>
      </c>
      <c r="L110" s="22">
        <f t="shared" si="8"/>
        <v>6.1695726495726468</v>
      </c>
      <c r="M110" s="46"/>
      <c r="N110" s="21"/>
      <c r="O110" s="21"/>
      <c r="P110" s="25">
        <f t="shared" si="10"/>
        <v>0.10711656441717785</v>
      </c>
      <c r="Q110" s="25">
        <f t="shared" si="10"/>
        <v>0.10698073855968572</v>
      </c>
    </row>
    <row r="111" spans="1:17" x14ac:dyDescent="0.35">
      <c r="A111" s="17">
        <v>1757</v>
      </c>
      <c r="B111" s="18" t="s">
        <v>329</v>
      </c>
      <c r="G111" s="98">
        <v>7.5</v>
      </c>
      <c r="H111" s="98">
        <v>7.21</v>
      </c>
      <c r="I111" s="22">
        <f>_xlfn.XLOOKUP(A111,T_Custos[BP],T_Custos[Custo])/_xlfn.XLOOKUP(A111,T_Custos[BP],T_Custos[Peso])*(1+Margens!$B$5)+_xlfn.XLOOKUP(A111,T_Custos[BP],T_Custos[Frete])/_xlfn.XLOOKUP(A111,T_Custos[BP],T_Custos[Peso])</f>
        <v>6.041666666666667</v>
      </c>
      <c r="J111" s="23">
        <f t="shared" si="6"/>
        <v>5.8092948717948723</v>
      </c>
      <c r="K111" s="22">
        <f t="shared" si="7"/>
        <v>7.5</v>
      </c>
      <c r="L111" s="22">
        <f t="shared" si="8"/>
        <v>7.21</v>
      </c>
      <c r="M111" s="46"/>
      <c r="N111" s="21"/>
      <c r="O111" s="21"/>
      <c r="P111" s="25"/>
      <c r="Q111" s="25"/>
    </row>
    <row r="112" spans="1:17" x14ac:dyDescent="0.35">
      <c r="A112" s="17">
        <v>1759</v>
      </c>
      <c r="B112" s="18" t="s">
        <v>330</v>
      </c>
      <c r="G112" s="98">
        <v>3.13</v>
      </c>
      <c r="H112" s="98">
        <v>3</v>
      </c>
      <c r="I112" s="22">
        <f>_xlfn.XLOOKUP(A112,T_Custos[BP],T_Custos[Custo])/_xlfn.XLOOKUP(A112,T_Custos[BP],T_Custos[Peso])*(1+Margens!$B$5)+_xlfn.XLOOKUP(A112,T_Custos[BP],T_Custos[Frete])/_xlfn.XLOOKUP(A112,T_Custos[BP],T_Custos[Peso])</f>
        <v>2.5999999999999996</v>
      </c>
      <c r="J112" s="23">
        <f t="shared" si="6"/>
        <v>2.4999999999999996</v>
      </c>
      <c r="K112" s="22">
        <f t="shared" si="7"/>
        <v>3.13</v>
      </c>
      <c r="L112" s="22">
        <f t="shared" si="8"/>
        <v>3</v>
      </c>
      <c r="M112" s="46"/>
      <c r="N112" s="21"/>
      <c r="O112" s="21"/>
      <c r="P112" s="25">
        <f>(I112-G112)/G112</f>
        <v>-0.16932907348242821</v>
      </c>
      <c r="Q112" s="25">
        <f>(J112-H112)/H112</f>
        <v>-0.16666666666666682</v>
      </c>
    </row>
  </sheetData>
  <sheetProtection sheet="1" objects="1" scenarios="1"/>
  <autoFilter ref="A2:P112" xr:uid="{00000000-0009-0000-0000-000004000000}">
    <sortState xmlns:xlrd2="http://schemas.microsoft.com/office/spreadsheetml/2017/richdata2" ref="A3:P109">
      <sortCondition ref="A2:A109"/>
    </sortState>
  </autoFilter>
  <conditionalFormatting sqref="P3:Q112">
    <cfRule type="cellIs" dxfId="3" priority="1" operator="greaterThan">
      <formula>0</formula>
    </cfRule>
    <cfRule type="cellIs" dxfId="2" priority="2" operator="lessThan">
      <formula>0</formula>
    </cfRule>
  </conditionalFormatting>
  <pageMargins left="0.511811024" right="0.511811024" top="0.78740157499999996" bottom="0.78740157499999996" header="0.31496062000000002" footer="0.31496062000000002"/>
  <pageSetup paperSize="9" scale="5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4">
    <tabColor rgb="FF00B050"/>
    <pageSetUpPr fitToPage="1"/>
  </sheetPr>
  <dimension ref="A1:L891"/>
  <sheetViews>
    <sheetView showGridLines="0" topLeftCell="A230" zoomScaleNormal="100" workbookViewId="0">
      <selection activeCell="A256" sqref="A256"/>
    </sheetView>
  </sheetViews>
  <sheetFormatPr defaultColWidth="0" defaultRowHeight="14.5" zeroHeight="1" x14ac:dyDescent="0.35"/>
  <cols>
    <col min="1" max="1" width="41.81640625" bestFit="1" customWidth="1"/>
    <col min="2" max="2" width="10" customWidth="1"/>
    <col min="3" max="3" width="9.54296875" customWidth="1"/>
    <col min="4" max="4" width="15.453125" customWidth="1"/>
    <col min="5" max="5" width="14.81640625" bestFit="1" customWidth="1"/>
    <col min="6" max="6" width="8.1796875" bestFit="1" customWidth="1"/>
    <col min="7" max="7" width="8.453125" bestFit="1" customWidth="1"/>
    <col min="8" max="8" width="19.1796875" bestFit="1" customWidth="1"/>
    <col min="9" max="9" width="7.453125" bestFit="1" customWidth="1"/>
    <col min="10" max="10" width="8.453125" hidden="1" customWidth="1"/>
    <col min="11" max="12" width="5.81640625" hidden="1" customWidth="1"/>
    <col min="13" max="16384" width="9.1796875" hidden="1"/>
  </cols>
  <sheetData>
    <row r="1" spans="1:8" s="60" customFormat="1" x14ac:dyDescent="0.35">
      <c r="F1" s="58"/>
    </row>
    <row r="2" spans="1:8" x14ac:dyDescent="0.35">
      <c r="A2" s="50"/>
      <c r="B2" s="51"/>
      <c r="C2" s="51"/>
      <c r="D2" s="52"/>
      <c r="E2" s="52"/>
      <c r="G2" s="61" t="s">
        <v>249</v>
      </c>
      <c r="H2" s="86" t="s">
        <v>591</v>
      </c>
    </row>
    <row r="3" spans="1:8" x14ac:dyDescent="0.35">
      <c r="A3" s="50"/>
      <c r="B3" s="51"/>
      <c r="C3" s="51"/>
      <c r="D3" s="52"/>
      <c r="E3" s="52"/>
      <c r="G3" s="61" t="s">
        <v>250</v>
      </c>
      <c r="H3" s="62">
        <f>_xlfn.XLOOKUP($H$2,T_Margens[Cliente],T_Margens[Margem])</f>
        <v>0.15</v>
      </c>
    </row>
    <row r="4" spans="1:8" x14ac:dyDescent="0.35">
      <c r="A4" s="50"/>
      <c r="B4" s="51"/>
      <c r="C4" s="51"/>
      <c r="D4" s="52"/>
      <c r="E4" s="52"/>
      <c r="G4" s="61" t="s">
        <v>270</v>
      </c>
      <c r="H4" s="62" t="str">
        <f>_xlfn.XLOOKUP($H$2,T_Margens[Cliente],T_Margens[Frete])</f>
        <v>Sim</v>
      </c>
    </row>
    <row r="5" spans="1:8" x14ac:dyDescent="0.35">
      <c r="A5" s="50"/>
      <c r="B5" s="51"/>
      <c r="C5" s="51"/>
      <c r="D5" s="52"/>
      <c r="E5" s="52"/>
    </row>
    <row r="6" spans="1:8" x14ac:dyDescent="0.35">
      <c r="A6" s="50"/>
      <c r="B6" s="51"/>
      <c r="C6" s="51"/>
      <c r="D6" s="52"/>
      <c r="E6" s="52"/>
    </row>
    <row r="7" spans="1:8" x14ac:dyDescent="0.35">
      <c r="A7" s="50"/>
      <c r="B7" s="51"/>
      <c r="C7" s="51"/>
      <c r="D7" s="52"/>
      <c r="E7" s="52"/>
    </row>
    <row r="8" spans="1:8" x14ac:dyDescent="0.35">
      <c r="A8" s="55" t="s">
        <v>234</v>
      </c>
      <c r="B8" s="55" t="s">
        <v>237</v>
      </c>
      <c r="C8" s="55" t="s">
        <v>262</v>
      </c>
      <c r="D8" s="55" t="s">
        <v>272</v>
      </c>
      <c r="E8" s="55" t="s">
        <v>271</v>
      </c>
    </row>
    <row r="9" spans="1:8" ht="15" customHeight="1" x14ac:dyDescent="0.35">
      <c r="A9" s="50" t="str" cm="1">
        <f t="array" ref="A9:C258">_xlfn._xlws.FILTER(T_Prod_Cli[[Produto]:[Und]],(T_Prod_Cli[Coluna1]=Cotação!$H$2)+(T_Prod_Cli[Coluna2]=Cotação!$H$2)+(T_Prod_Cli[Coluna3]=Cotação!$H$2)+(T_Prod_Cli[Coluna4]=Cotação!$H$2)+(T_Prod_Cli[Coluna5]=Cotação!$H$2)+(T_Prod_Cli[Coluna6]=Cotação!$H$2)+(T_Prod_Cli[Coluna7]=Cotação!$H$2)+(T_Prod_Cli[Coluna8]=Cotação!$H$2)+(T_Prod_Cli[Coluna9]=Cotação!$H$2)+(T_Prod_Cli[Coluna10]=Cotação!$H$2)+(T_Prod_Cli[Coluna11]=Cotação!$H$2)+(T_Prod_Cli[Coluna12]=Cotação!$H$2)+(T_Prod_Cli[Coluna13]=Cotação!$H$2)+(T_Prod_Cli[Coluna14]=Cotação!$H$2)+(T_Prod_Cli[Coluna15]=Cotação!$H$2)+(T_Prod_Cli[Coluna16]=Cotação!$H$2)+(T_Prod_Cli[Coluna17]=Cotação!$H$2)+(T_Prod_Cli[Coluna18]=Cotação!$H$2)+(T_Prod_Cli[Coluna19]=Cotação!$H$2)+(T_Prod_Cli[Coluna20]=Cotação!$H$2)+(T_Prod_Cli[Coluna21]=Cotação!$H$2)+(T_Prod_Cli[Coluna22]=Cotação!$H$2)+(T_Prod_Cli[Coluna23]=Cotação!$H$2)+(T_Prod_Cli[Coluna24]=Cotação!$H$2)+(T_Prod_Cli[Coluna25]=Cotação!$H$2)+(T_Prod_Cli[Coluna26]=Cotação!$H$2)+(T_Prod_Cli[Coluna27]=Cotação!$H$2)+(T_Prod_Cli[Coluna28]=Cotação!$H$2)+(T_Prod_Cli[Coluna29]=Cotação!$H$2)+(T_Prod_Cli[Coluna30]=Cotação!$H$2)+(T_Prod_Cli[Coluna31]=Cotação!$H$2)+(T_Prod_Cli[Coluna32]=Cotação!$H$2)+(T_Prod_Cli[Coluna33]=Cotação!$H$2)+(T_Prod_Cli[Coluna34]=Cotação!$H$2)+(T_Prod_Cli[Coluna35]=Cotação!$H$2)+(T_Prod_Cli[Coluna36]=Cotação!$H$2)+(T_Prod_Cli[Coluna37]=Cotação!$H$2)+(T_Prod_Cli[Coluna38]=Cotação!$H$2)+(T_Prod_Cli[Coluna39]=Cotação!$H$2)+(T_Prod_Cli[Coluna40]=Cotação!$H$2))</f>
        <v>ABACATE</v>
      </c>
      <c r="B9" s="51">
        <v>15</v>
      </c>
      <c r="C9" s="51" t="str">
        <v>kg</v>
      </c>
      <c r="D9" s="52" cm="1">
        <f t="array" ref="D9">IF(A9="","",IFERROR(_xlfn.XLOOKUP(A9,T_Custos[Produto],T_Custos[Custo])*(1+$H$3)+IF($H$4="SIM",IF($H$2="Armazém do Grão",_xlfn.XLOOKUP(Cotação!A9,T_Custos[Produto],T_Fretes[Frete Grão]),IF($H$2="GMAP",_xlfn.XLOOKUP(Cotação!A9,T_Fretes[Produto],T_Fretes[Frete GMAP]),IF($H$2="GMAP Nova Friburgo",_xlfn.XLOOKUP(Cotação!A9,T_Fretes[Produto],T_Fretes[Frete GMAP Nova Friburgo]),IF($H$2="Guanabara",_xlfn.XLOOKUP(Cotação!A9,T_Fretes[Produto],T_Fretes[Frete Guanabara]),_xlfn.XLOOKUP(Cotação!A9,T_Custos[Produto],T_Custos[Frete]))))),0)+_xlfn.XLOOKUP(A9,T_Custos[Produto],T_Custos[Embalado])+_xlfn.XLOOKUP(Cotação!A9,T_Custos[Produto],T_Custos[Avaria]),"Em falta"))</f>
        <v>89</v>
      </c>
      <c r="E9" s="52">
        <f t="shared" ref="E9:E72" si="0">IF(A9="","",IFERROR(D9/B9,"Em falta"))</f>
        <v>5.9333333333333336</v>
      </c>
      <c r="G9" s="177" t="str">
        <f>IF(OR($H$2="Padaria Santa Marta",$H$2="Larsson",$H$2="Manoel e Joaquim",$H$2="Gran Parrilla",$H$2="Gaúcho",$H$2="Samir",$H$2="Picanha",$H$2="Bonalat",$H$2="Casa das carnes",$H$2="Forte Fenix",$H$2="Singula",$H$2="RDB"),"O frete é cobrado a parte no valor de R$70,00 por entrega, especificado na nota fiscal.",IF($H$2="Agroup","O frete é cobrado a parte no valor de R$80,00 por entrega, especificado na nota fiscal.",""))</f>
        <v/>
      </c>
      <c r="H9" s="177"/>
    </row>
    <row r="10" spans="1:8" x14ac:dyDescent="0.35">
      <c r="A10" s="53" t="str">
        <v>ABACAXI</v>
      </c>
      <c r="B10" s="51">
        <v>10</v>
      </c>
      <c r="C10" s="51" t="str">
        <v>un</v>
      </c>
      <c r="D10" s="52" cm="1">
        <f t="array" ref="D10">IF(A10="","",IFERROR(_xlfn.XLOOKUP(A10,T_Custos[Produto],T_Custos[Custo])*(1+$H$3)+IF($H$4="SIM",IF($H$2="Armazém do Grão",_xlfn.XLOOKUP(Cotação!A10,T_Custos[Produto],T_Fretes[Frete Grão]),IF($H$2="GMAP",_xlfn.XLOOKUP(Cotação!A10,T_Fretes[Produto],T_Fretes[Frete GMAP]),IF($H$2="GMAP Nova Friburgo",_xlfn.XLOOKUP(Cotação!A10,T_Fretes[Produto],T_Fretes[Frete GMAP Nova Friburgo]),IF($H$2="Guanabara",_xlfn.XLOOKUP(Cotação!A10,T_Fretes[Produto],T_Fretes[Frete Guanabara]),_xlfn.XLOOKUP(Cotação!A10,T_Custos[Produto],T_Custos[Frete]))))),0)+_xlfn.XLOOKUP(A10,T_Custos[Produto],T_Custos[Embalado])+_xlfn.XLOOKUP(Cotação!A10,T_Custos[Produto],T_Custos[Avaria]),"Em falta"))</f>
        <v>79.86</v>
      </c>
      <c r="E10" s="52">
        <f t="shared" si="0"/>
        <v>7.9859999999999998</v>
      </c>
      <c r="G10" s="177"/>
      <c r="H10" s="177"/>
    </row>
    <row r="11" spans="1:8" x14ac:dyDescent="0.35">
      <c r="A11" s="53" t="str">
        <v>ABOBORA BAIANA</v>
      </c>
      <c r="B11" s="51">
        <v>1</v>
      </c>
      <c r="C11" s="51" t="str">
        <v>kg</v>
      </c>
      <c r="D11" s="52" cm="1">
        <f t="array" ref="D11">IF(A11="","",IFERROR(_xlfn.XLOOKUP(A11,T_Custos[Produto],T_Custos[Custo])*(1+$H$3)+IF($H$4="SIM",IF($H$2="Armazém do Grão",_xlfn.XLOOKUP(Cotação!A11,T_Custos[Produto],T_Fretes[Frete Grão]),IF($H$2="GMAP",_xlfn.XLOOKUP(Cotação!A11,T_Fretes[Produto],T_Fretes[Frete GMAP]),IF($H$2="GMAP Nova Friburgo",_xlfn.XLOOKUP(Cotação!A11,T_Fretes[Produto],T_Fretes[Frete GMAP Nova Friburgo]),IF($H$2="Guanabara",_xlfn.XLOOKUP(Cotação!A11,T_Fretes[Produto],T_Fretes[Frete Guanabara]),_xlfn.XLOOKUP(Cotação!A11,T_Custos[Produto],T_Custos[Frete]))))),0)+_xlfn.XLOOKUP(A11,T_Custos[Produto],T_Custos[Embalado])+_xlfn.XLOOKUP(Cotação!A11,T_Custos[Produto],T_Custos[Avaria]),"Em falta"))</f>
        <v>4.6385000000000005</v>
      </c>
      <c r="E11" s="52">
        <f t="shared" si="0"/>
        <v>4.6385000000000005</v>
      </c>
      <c r="G11" s="177"/>
      <c r="H11" s="177"/>
    </row>
    <row r="12" spans="1:8" x14ac:dyDescent="0.35">
      <c r="A12" s="50" t="str">
        <v>ABOBORA BATÃ</v>
      </c>
      <c r="B12" s="51">
        <v>15</v>
      </c>
      <c r="C12" s="51" t="str">
        <v>kg</v>
      </c>
      <c r="D12" s="52" t="str" cm="1">
        <f t="array" ref="D12">IF(A12="","",IFERROR(_xlfn.XLOOKUP(A12,T_Custos[Produto],T_Custos[Custo])*(1+$H$3)+IF($H$4="SIM",IF($H$2="Armazém do Grão",_xlfn.XLOOKUP(Cotação!A12,T_Custos[Produto],T_Fretes[Frete Grão]),IF($H$2="GMAP",_xlfn.XLOOKUP(Cotação!A12,T_Fretes[Produto],T_Fretes[Frete GMAP]),IF($H$2="GMAP Nova Friburgo",_xlfn.XLOOKUP(Cotação!A12,T_Fretes[Produto],T_Fretes[Frete GMAP Nova Friburgo]),IF($H$2="Guanabara",_xlfn.XLOOKUP(Cotação!A12,T_Fretes[Produto],T_Fretes[Frete Guanabara]),_xlfn.XLOOKUP(Cotação!A12,T_Custos[Produto],T_Custos[Frete]))))),0)+_xlfn.XLOOKUP(A12,T_Custos[Produto],T_Custos[Embalado])+_xlfn.XLOOKUP(Cotação!A12,T_Custos[Produto],T_Custos[Avaria]),"Em falta"))</f>
        <v>Em falta</v>
      </c>
      <c r="E12" s="52" t="str">
        <f t="shared" si="0"/>
        <v>Em falta</v>
      </c>
      <c r="G12" s="177"/>
      <c r="H12" s="177"/>
    </row>
    <row r="13" spans="1:8" x14ac:dyDescent="0.35">
      <c r="A13" s="50" t="str">
        <v>ABOBORA BRANCA</v>
      </c>
      <c r="B13" s="51">
        <v>1</v>
      </c>
      <c r="C13" s="51" t="str">
        <v>kg</v>
      </c>
      <c r="D13" s="52" t="str" cm="1">
        <f t="array" ref="D13">IF(A13="","",IFERROR(_xlfn.XLOOKUP(A13,T_Custos[Produto],T_Custos[Custo])*(1+$H$3)+IF($H$4="SIM",IF($H$2="Armazém do Grão",_xlfn.XLOOKUP(Cotação!A13,T_Custos[Produto],T_Fretes[Frete Grão]),IF($H$2="GMAP",_xlfn.XLOOKUP(Cotação!A13,T_Fretes[Produto],T_Fretes[Frete GMAP]),IF($H$2="GMAP Nova Friburgo",_xlfn.XLOOKUP(Cotação!A13,T_Fretes[Produto],T_Fretes[Frete GMAP Nova Friburgo]),IF($H$2="Guanabara",_xlfn.XLOOKUP(Cotação!A13,T_Fretes[Produto],T_Fretes[Frete Guanabara]),_xlfn.XLOOKUP(Cotação!A13,T_Custos[Produto],T_Custos[Frete]))))),0)+_xlfn.XLOOKUP(A13,T_Custos[Produto],T_Custos[Embalado])+_xlfn.XLOOKUP(Cotação!A13,T_Custos[Produto],T_Custos[Avaria]),"Em falta"))</f>
        <v>Em falta</v>
      </c>
      <c r="E13" s="52" t="str">
        <f t="shared" si="0"/>
        <v>Em falta</v>
      </c>
    </row>
    <row r="14" spans="1:8" x14ac:dyDescent="0.35">
      <c r="A14" s="53" t="str">
        <v>ABOBORA JAPONESA</v>
      </c>
      <c r="B14" s="51">
        <v>1</v>
      </c>
      <c r="C14" s="51" t="str">
        <v>kg</v>
      </c>
      <c r="D14" s="52" cm="1">
        <f t="array" ref="D14">IF(A14="","",IFERROR(_xlfn.XLOOKUP(A14,T_Custos[Produto],T_Custos[Custo])*(1+$H$3)+IF($H$4="SIM",IF($H$2="Armazém do Grão",_xlfn.XLOOKUP(Cotação!A14,T_Custos[Produto],T_Fretes[Frete Grão]),IF($H$2="GMAP",_xlfn.XLOOKUP(Cotação!A14,T_Fretes[Produto],T_Fretes[Frete GMAP]),IF($H$2="GMAP Nova Friburgo",_xlfn.XLOOKUP(Cotação!A14,T_Fretes[Produto],T_Fretes[Frete GMAP Nova Friburgo]),IF($H$2="Guanabara",_xlfn.XLOOKUP(Cotação!A14,T_Fretes[Produto],T_Fretes[Frete Guanabara]),_xlfn.XLOOKUP(Cotação!A14,T_Custos[Produto],T_Custos[Frete]))))),0)+_xlfn.XLOOKUP(A14,T_Custos[Produto],T_Custos[Embalado])+_xlfn.XLOOKUP(Cotação!A14,T_Custos[Produto],T_Custos[Avaria]),"Em falta"))</f>
        <v>4.0749999999999993</v>
      </c>
      <c r="E14" s="52">
        <f t="shared" si="0"/>
        <v>4.0749999999999993</v>
      </c>
    </row>
    <row r="15" spans="1:8" x14ac:dyDescent="0.35">
      <c r="A15" s="50" t="str">
        <v>ABOBORA MADURA</v>
      </c>
      <c r="B15" s="51">
        <v>1</v>
      </c>
      <c r="C15" s="51" t="str">
        <v>kg</v>
      </c>
      <c r="D15" s="52" t="str" cm="1">
        <f t="array" ref="D15">IF(A15="","",IFERROR(_xlfn.XLOOKUP(A15,T_Custos[Produto],T_Custos[Custo])*(1+$H$3)+IF($H$4="SIM",IF($H$2="Armazém do Grão",_xlfn.XLOOKUP(Cotação!A15,T_Custos[Produto],T_Fretes[Frete Grão]),IF($H$2="GMAP",_xlfn.XLOOKUP(Cotação!A15,T_Fretes[Produto],T_Fretes[Frete GMAP]),IF($H$2="GMAP Nova Friburgo",_xlfn.XLOOKUP(Cotação!A15,T_Fretes[Produto],T_Fretes[Frete GMAP Nova Friburgo]),IF($H$2="Guanabara",_xlfn.XLOOKUP(Cotação!A15,T_Fretes[Produto],T_Fretes[Frete Guanabara]),_xlfn.XLOOKUP(Cotação!A15,T_Custos[Produto],T_Custos[Frete]))))),0)+_xlfn.XLOOKUP(A15,T_Custos[Produto],T_Custos[Embalado])+_xlfn.XLOOKUP(Cotação!A15,T_Custos[Produto],T_Custos[Avaria]),"Em falta"))</f>
        <v>Em falta</v>
      </c>
      <c r="E15" s="52" t="str">
        <f t="shared" si="0"/>
        <v>Em falta</v>
      </c>
      <c r="G15" t="s">
        <v>499</v>
      </c>
    </row>
    <row r="16" spans="1:8" x14ac:dyDescent="0.35">
      <c r="A16" s="50" t="str">
        <v>ABOBORA MORANGA</v>
      </c>
      <c r="B16" s="51">
        <v>1</v>
      </c>
      <c r="C16" s="51" t="str">
        <v>kg</v>
      </c>
      <c r="D16" s="52" cm="1">
        <f t="array" ref="D16">IF(A16="","",IFERROR(_xlfn.XLOOKUP(A16,T_Custos[Produto],T_Custos[Custo])*(1+$H$3)+IF($H$4="SIM",IF($H$2="Armazém do Grão",_xlfn.XLOOKUP(Cotação!A16,T_Custos[Produto],T_Fretes[Frete Grão]),IF($H$2="GMAP",_xlfn.XLOOKUP(Cotação!A16,T_Fretes[Produto],T_Fretes[Frete GMAP]),IF($H$2="GMAP Nova Friburgo",_xlfn.XLOOKUP(Cotação!A16,T_Fretes[Produto],T_Fretes[Frete GMAP Nova Friburgo]),IF($H$2="Guanabara",_xlfn.XLOOKUP(Cotação!A16,T_Fretes[Produto],T_Fretes[Frete Guanabara]),_xlfn.XLOOKUP(Cotação!A16,T_Custos[Produto],T_Custos[Frete]))))),0)+_xlfn.XLOOKUP(A16,T_Custos[Produto],T_Custos[Embalado])+_xlfn.XLOOKUP(Cotação!A16,T_Custos[Produto],T_Custos[Avaria]),"Em falta"))</f>
        <v>3.8334999999999999</v>
      </c>
      <c r="E16" s="52">
        <f t="shared" si="0"/>
        <v>3.8334999999999999</v>
      </c>
    </row>
    <row r="17" spans="1:5" ht="15.5" x14ac:dyDescent="0.35">
      <c r="A17" s="54" t="str">
        <v>ABOBORA MORANGA BABY</v>
      </c>
      <c r="B17" s="51">
        <v>1</v>
      </c>
      <c r="C17" s="51" t="str">
        <v>kg</v>
      </c>
      <c r="D17" s="52" cm="1">
        <f t="array" ref="D17">IF(A17="","",IFERROR(_xlfn.XLOOKUP(A17,T_Custos[Produto],T_Custos[Custo])*(1+$H$3)+IF($H$4="SIM",IF($H$2="Armazém do Grão",_xlfn.XLOOKUP(Cotação!A17,T_Custos[Produto],T_Fretes[Frete Grão]),IF($H$2="GMAP",_xlfn.XLOOKUP(Cotação!A17,T_Fretes[Produto],T_Fretes[Frete GMAP]),IF($H$2="GMAP Nova Friburgo",_xlfn.XLOOKUP(Cotação!A17,T_Fretes[Produto],T_Fretes[Frete GMAP Nova Friburgo]),IF($H$2="Guanabara",_xlfn.XLOOKUP(Cotação!A17,T_Fretes[Produto],T_Fretes[Frete Guanabara]),_xlfn.XLOOKUP(Cotação!A17,T_Custos[Produto],T_Custos[Frete]))))),0)+_xlfn.XLOOKUP(A17,T_Custos[Produto],T_Custos[Embalado])+_xlfn.XLOOKUP(Cotação!A17,T_Custos[Produto],T_Custos[Avaria]),"Em falta"))</f>
        <v>23</v>
      </c>
      <c r="E17" s="52">
        <f t="shared" si="0"/>
        <v>23</v>
      </c>
    </row>
    <row r="18" spans="1:5" x14ac:dyDescent="0.35">
      <c r="A18" s="50" t="str">
        <v>ABOBORA PESCOCO</v>
      </c>
      <c r="B18" s="51">
        <v>1</v>
      </c>
      <c r="C18" s="51" t="str">
        <v>kg</v>
      </c>
      <c r="D18" s="52" cm="1">
        <f t="array" ref="D18">IF(A18="","",IFERROR(_xlfn.XLOOKUP(A18,T_Custos[Produto],T_Custos[Custo])*(1+$H$3)+IF($H$4="SIM",IF($H$2="Armazém do Grão",_xlfn.XLOOKUP(Cotação!A18,T_Custos[Produto],T_Fretes[Frete Grão]),IF($H$2="GMAP",_xlfn.XLOOKUP(Cotação!A18,T_Fretes[Produto],T_Fretes[Frete GMAP]),IF($H$2="GMAP Nova Friburgo",_xlfn.XLOOKUP(Cotação!A18,T_Fretes[Produto],T_Fretes[Frete GMAP Nova Friburgo]),IF($H$2="Guanabara",_xlfn.XLOOKUP(Cotação!A18,T_Fretes[Produto],T_Fretes[Frete Guanabara]),_xlfn.XLOOKUP(Cotação!A18,T_Custos[Produto],T_Custos[Frete]))))),0)+_xlfn.XLOOKUP(A18,T_Custos[Produto],T_Custos[Embalado])+_xlfn.XLOOKUP(Cotação!A18,T_Custos[Produto],T_Custos[Avaria]),"Em falta"))</f>
        <v>4.83</v>
      </c>
      <c r="E18" s="52">
        <f t="shared" si="0"/>
        <v>4.83</v>
      </c>
    </row>
    <row r="19" spans="1:5" x14ac:dyDescent="0.35">
      <c r="A19" s="50" t="str">
        <v>ABOBORA SERGIPANA</v>
      </c>
      <c r="B19" s="51">
        <v>1</v>
      </c>
      <c r="C19" s="51" t="str">
        <v>kg</v>
      </c>
      <c r="D19" s="52" cm="1">
        <f t="array" ref="D19">IF(A19="","",IFERROR(_xlfn.XLOOKUP(A19,T_Custos[Produto],T_Custos[Custo])*(1+$H$3)+IF($H$4="SIM",IF($H$2="Armazém do Grão",_xlfn.XLOOKUP(Cotação!A19,T_Custos[Produto],T_Fretes[Frete Grão]),IF($H$2="GMAP",_xlfn.XLOOKUP(Cotação!A19,T_Fretes[Produto],T_Fretes[Frete GMAP]),IF($H$2="GMAP Nova Friburgo",_xlfn.XLOOKUP(Cotação!A19,T_Fretes[Produto],T_Fretes[Frete GMAP Nova Friburgo]),IF($H$2="Guanabara",_xlfn.XLOOKUP(Cotação!A19,T_Fretes[Produto],T_Fretes[Frete Guanabara]),_xlfn.XLOOKUP(Cotação!A19,T_Custos[Produto],T_Custos[Frete]))))),0)+_xlfn.XLOOKUP(A19,T_Custos[Produto],T_Custos[Embalado])+_xlfn.XLOOKUP(Cotação!A19,T_Custos[Produto],T_Custos[Avaria]),"Em falta"))</f>
        <v>5.0640000000000001</v>
      </c>
      <c r="E19" s="52">
        <f t="shared" si="0"/>
        <v>5.0640000000000001</v>
      </c>
    </row>
    <row r="20" spans="1:5" x14ac:dyDescent="0.35">
      <c r="A20" s="50" t="str">
        <v>ABOBRINHA ITALIANA</v>
      </c>
      <c r="B20" s="51">
        <v>17</v>
      </c>
      <c r="C20" s="51" t="str">
        <v>kg</v>
      </c>
      <c r="D20" s="52" cm="1">
        <f t="array" ref="D20">IF(A20="","",IFERROR(_xlfn.XLOOKUP(A20,T_Custos[Produto],T_Custos[Custo])*(1+$H$3)+IF($H$4="SIM",IF($H$2="Armazém do Grão",_xlfn.XLOOKUP(Cotação!A20,T_Custos[Produto],T_Fretes[Frete Grão]),IF($H$2="GMAP",_xlfn.XLOOKUP(Cotação!A20,T_Fretes[Produto],T_Fretes[Frete GMAP]),IF($H$2="GMAP Nova Friburgo",_xlfn.XLOOKUP(Cotação!A20,T_Fretes[Produto],T_Fretes[Frete GMAP Nova Friburgo]),IF($H$2="Guanabara",_xlfn.XLOOKUP(Cotação!A20,T_Fretes[Produto],T_Fretes[Frete Guanabara]),_xlfn.XLOOKUP(Cotação!A20,T_Custos[Produto],T_Custos[Frete]))))),0)+_xlfn.XLOOKUP(A20,T_Custos[Produto],T_Custos[Embalado])+_xlfn.XLOOKUP(Cotação!A20,T_Custos[Produto],T_Custos[Avaria]),"Em falta"))</f>
        <v>111.99999999999999</v>
      </c>
      <c r="E20" s="52">
        <f t="shared" si="0"/>
        <v>6.5882352941176459</v>
      </c>
    </row>
    <row r="21" spans="1:5" x14ac:dyDescent="0.35">
      <c r="A21" s="50" t="str">
        <v>ABOBRINHA VERDE REDONDA</v>
      </c>
      <c r="B21" s="51">
        <v>18</v>
      </c>
      <c r="C21" s="51" t="str">
        <v>kg</v>
      </c>
      <c r="D21" s="52" t="str" cm="1">
        <f t="array" ref="D21">IF(A21="","",IFERROR(_xlfn.XLOOKUP(A21,T_Custos[Produto],T_Custos[Custo])*(1+$H$3)+IF($H$4="SIM",IF($H$2="Armazém do Grão",_xlfn.XLOOKUP(Cotação!A21,T_Custos[Produto],T_Fretes[Frete Grão]),IF($H$2="GMAP",_xlfn.XLOOKUP(Cotação!A21,T_Fretes[Produto],T_Fretes[Frete GMAP]),IF($H$2="GMAP Nova Friburgo",_xlfn.XLOOKUP(Cotação!A21,T_Fretes[Produto],T_Fretes[Frete GMAP Nova Friburgo]),IF($H$2="Guanabara",_xlfn.XLOOKUP(Cotação!A21,T_Fretes[Produto],T_Fretes[Frete Guanabara]),_xlfn.XLOOKUP(Cotação!A21,T_Custos[Produto],T_Custos[Frete]))))),0)+_xlfn.XLOOKUP(A21,T_Custos[Produto],T_Custos[Embalado])+_xlfn.XLOOKUP(Cotação!A21,T_Custos[Produto],T_Custos[Avaria]),"Em falta"))</f>
        <v>Em falta</v>
      </c>
      <c r="E21" s="52" t="str">
        <f t="shared" si="0"/>
        <v>Em falta</v>
      </c>
    </row>
    <row r="22" spans="1:5" x14ac:dyDescent="0.35">
      <c r="A22" s="50" t="str">
        <v>ACELGA KG</v>
      </c>
      <c r="B22" s="51">
        <v>1</v>
      </c>
      <c r="C22" s="51" t="str">
        <v>kg</v>
      </c>
      <c r="D22" s="52" cm="1">
        <f t="array" ref="D22">IF(A22="","",IFERROR(_xlfn.XLOOKUP(A22,T_Custos[Produto],T_Custos[Custo])*(1+$H$3)+IF($H$4="SIM",IF($H$2="Armazém do Grão",_xlfn.XLOOKUP(Cotação!A22,T_Custos[Produto],T_Fretes[Frete Grão]),IF($H$2="GMAP",_xlfn.XLOOKUP(Cotação!A22,T_Fretes[Produto],T_Fretes[Frete GMAP]),IF($H$2="GMAP Nova Friburgo",_xlfn.XLOOKUP(Cotação!A22,T_Fretes[Produto],T_Fretes[Frete GMAP Nova Friburgo]),IF($H$2="Guanabara",_xlfn.XLOOKUP(Cotação!A22,T_Fretes[Produto],T_Fretes[Frete Guanabara]),_xlfn.XLOOKUP(Cotação!A22,T_Custos[Produto],T_Custos[Frete]))))),0)+_xlfn.XLOOKUP(A22,T_Custos[Produto],T_Custos[Embalado])+_xlfn.XLOOKUP(Cotação!A22,T_Custos[Produto],T_Custos[Avaria]),"Em falta"))</f>
        <v>5</v>
      </c>
      <c r="E22" s="52">
        <f t="shared" si="0"/>
        <v>5</v>
      </c>
    </row>
    <row r="23" spans="1:5" x14ac:dyDescent="0.35">
      <c r="A23" s="50" t="str">
        <v>AGRIAO KG</v>
      </c>
      <c r="B23" s="51">
        <v>1</v>
      </c>
      <c r="C23" s="51" t="str">
        <v>kg</v>
      </c>
      <c r="D23" s="52" cm="1">
        <f t="array" ref="D23">IF(A23="","",IFERROR(_xlfn.XLOOKUP(A23,T_Custos[Produto],T_Custos[Custo])*(1+$H$3)+IF($H$4="SIM",IF($H$2="Armazém do Grão",_xlfn.XLOOKUP(Cotação!A23,T_Custos[Produto],T_Fretes[Frete Grão]),IF($H$2="GMAP",_xlfn.XLOOKUP(Cotação!A23,T_Fretes[Produto],T_Fretes[Frete GMAP]),IF($H$2="GMAP Nova Friburgo",_xlfn.XLOOKUP(Cotação!A23,T_Fretes[Produto],T_Fretes[Frete GMAP Nova Friburgo]),IF($H$2="Guanabara",_xlfn.XLOOKUP(Cotação!A23,T_Fretes[Produto],T_Fretes[Frete Guanabara]),_xlfn.XLOOKUP(Cotação!A23,T_Custos[Produto],T_Custos[Frete]))))),0)+_xlfn.XLOOKUP(A23,T_Custos[Produto],T_Custos[Embalado])+_xlfn.XLOOKUP(Cotação!A23,T_Custos[Produto],T_Custos[Avaria]),"Em falta"))</f>
        <v>6.38</v>
      </c>
      <c r="E23" s="52">
        <f t="shared" si="0"/>
        <v>6.38</v>
      </c>
    </row>
    <row r="24" spans="1:5" x14ac:dyDescent="0.35">
      <c r="A24" s="50" t="str">
        <v>AIPIM CASCA BRANCA</v>
      </c>
      <c r="B24" s="51">
        <v>20</v>
      </c>
      <c r="C24" s="51" t="str">
        <v>kg</v>
      </c>
      <c r="D24" s="52" cm="1">
        <f t="array" ref="D24">IF(A24="","",IFERROR(_xlfn.XLOOKUP(A24,T_Custos[Produto],T_Custos[Custo])*(1+$H$3)+IF($H$4="SIM",IF($H$2="Armazém do Grão",_xlfn.XLOOKUP(Cotação!A24,T_Custos[Produto],T_Fretes[Frete Grão]),IF($H$2="GMAP",_xlfn.XLOOKUP(Cotação!A24,T_Fretes[Produto],T_Fretes[Frete GMAP]),IF($H$2="GMAP Nova Friburgo",_xlfn.XLOOKUP(Cotação!A24,T_Fretes[Produto],T_Fretes[Frete GMAP Nova Friburgo]),IF($H$2="Guanabara",_xlfn.XLOOKUP(Cotação!A24,T_Fretes[Produto],T_Fretes[Frete Guanabara]),_xlfn.XLOOKUP(Cotação!A24,T_Custos[Produto],T_Custos[Frete]))))),0)+_xlfn.XLOOKUP(A24,T_Custos[Produto],T_Custos[Embalado])+_xlfn.XLOOKUP(Cotação!A24,T_Custos[Produto],T_Custos[Avaria]),"Em falta"))</f>
        <v>43</v>
      </c>
      <c r="E24" s="52">
        <f t="shared" si="0"/>
        <v>2.15</v>
      </c>
    </row>
    <row r="25" spans="1:5" x14ac:dyDescent="0.35">
      <c r="A25" s="50" t="str">
        <v>AIPIM CASCA ROSA</v>
      </c>
      <c r="B25" s="51">
        <v>20</v>
      </c>
      <c r="C25" s="51" t="str">
        <v>kg</v>
      </c>
      <c r="D25" s="52" cm="1">
        <f t="array" ref="D25">IF(A25="","",IFERROR(_xlfn.XLOOKUP(A25,T_Custos[Produto],T_Custos[Custo])*(1+$H$3)+IF($H$4="SIM",IF($H$2="Armazém do Grão",_xlfn.XLOOKUP(Cotação!A25,T_Custos[Produto],T_Fretes[Frete Grão]),IF($H$2="GMAP",_xlfn.XLOOKUP(Cotação!A25,T_Fretes[Produto],T_Fretes[Frete GMAP]),IF($H$2="GMAP Nova Friburgo",_xlfn.XLOOKUP(Cotação!A25,T_Fretes[Produto],T_Fretes[Frete GMAP Nova Friburgo]),IF($H$2="Guanabara",_xlfn.XLOOKUP(Cotação!A25,T_Fretes[Produto],T_Fretes[Frete Guanabara]),_xlfn.XLOOKUP(Cotação!A25,T_Custos[Produto],T_Custos[Frete]))))),0)+_xlfn.XLOOKUP(A25,T_Custos[Produto],T_Custos[Embalado])+_xlfn.XLOOKUP(Cotação!A25,T_Custos[Produto],T_Custos[Avaria]),"Em falta"))</f>
        <v>43</v>
      </c>
      <c r="E25" s="52">
        <f t="shared" si="0"/>
        <v>2.15</v>
      </c>
    </row>
    <row r="26" spans="1:5" x14ac:dyDescent="0.35">
      <c r="A26" s="50" t="str">
        <v>AIPIM PARAFINADO</v>
      </c>
      <c r="B26" s="51">
        <v>20</v>
      </c>
      <c r="C26" s="51" t="str">
        <v>kg</v>
      </c>
      <c r="D26" s="52" t="str" cm="1">
        <f t="array" ref="D26">IF(A26="","",IFERROR(_xlfn.XLOOKUP(A26,T_Custos[Produto],T_Custos[Custo])*(1+$H$3)+IF($H$4="SIM",IF($H$2="Armazém do Grão",_xlfn.XLOOKUP(Cotação!A26,T_Custos[Produto],T_Fretes[Frete Grão]),IF($H$2="GMAP",_xlfn.XLOOKUP(Cotação!A26,T_Fretes[Produto],T_Fretes[Frete GMAP]),IF($H$2="GMAP Nova Friburgo",_xlfn.XLOOKUP(Cotação!A26,T_Fretes[Produto],T_Fretes[Frete GMAP Nova Friburgo]),IF($H$2="Guanabara",_xlfn.XLOOKUP(Cotação!A26,T_Fretes[Produto],T_Fretes[Frete Guanabara]),_xlfn.XLOOKUP(Cotação!A26,T_Custos[Produto],T_Custos[Frete]))))),0)+_xlfn.XLOOKUP(A26,T_Custos[Produto],T_Custos[Embalado])+_xlfn.XLOOKUP(Cotação!A26,T_Custos[Produto],T_Custos[Avaria]),"Em falta"))</f>
        <v>Em falta</v>
      </c>
      <c r="E26" s="52" t="str">
        <f t="shared" si="0"/>
        <v>Em falta</v>
      </c>
    </row>
    <row r="27" spans="1:5" ht="15.5" x14ac:dyDescent="0.35">
      <c r="A27" s="54" t="str">
        <v>AIPO / SALSAO KG</v>
      </c>
      <c r="B27" s="51">
        <v>1</v>
      </c>
      <c r="C27" s="51" t="str">
        <v>kg</v>
      </c>
      <c r="D27" s="52" cm="1">
        <f t="array" ref="D27">IF(A27="","",IFERROR(_xlfn.XLOOKUP(A27,T_Custos[Produto],T_Custos[Custo])*(1+$H$3)+IF($H$4="SIM",IF($H$2="Armazém do Grão",_xlfn.XLOOKUP(Cotação!A27,T_Custos[Produto],T_Fretes[Frete Grão]),IF($H$2="GMAP",_xlfn.XLOOKUP(Cotação!A27,T_Fretes[Produto],T_Fretes[Frete GMAP]),IF($H$2="GMAP Nova Friburgo",_xlfn.XLOOKUP(Cotação!A27,T_Fretes[Produto],T_Fretes[Frete GMAP Nova Friburgo]),IF($H$2="Guanabara",_xlfn.XLOOKUP(Cotação!A27,T_Fretes[Produto],T_Fretes[Frete Guanabara]),_xlfn.XLOOKUP(Cotação!A27,T_Custos[Produto],T_Custos[Frete]))))),0)+_xlfn.XLOOKUP(A27,T_Custos[Produto],T_Custos[Embalado])+_xlfn.XLOOKUP(Cotação!A27,T_Custos[Produto],T_Custos[Avaria]),"Em falta"))</f>
        <v>7.3</v>
      </c>
      <c r="E27" s="52">
        <f t="shared" si="0"/>
        <v>7.3</v>
      </c>
    </row>
    <row r="28" spans="1:5" x14ac:dyDescent="0.35">
      <c r="A28" s="50" t="str">
        <v>ALECRIM KG</v>
      </c>
      <c r="B28" s="51">
        <v>1</v>
      </c>
      <c r="C28" s="51" t="str">
        <v>kg</v>
      </c>
      <c r="D28" s="52" cm="1">
        <f t="array" ref="D28">IF(A28="","",IFERROR(_xlfn.XLOOKUP(A28,T_Custos[Produto],T_Custos[Custo])*(1+$H$3)+IF($H$4="SIM",IF($H$2="Armazém do Grão",_xlfn.XLOOKUP(Cotação!A28,T_Custos[Produto],T_Fretes[Frete Grão]),IF($H$2="GMAP",_xlfn.XLOOKUP(Cotação!A28,T_Fretes[Produto],T_Fretes[Frete GMAP]),IF($H$2="GMAP Nova Friburgo",_xlfn.XLOOKUP(Cotação!A28,T_Fretes[Produto],T_Fretes[Frete GMAP Nova Friburgo]),IF($H$2="Guanabara",_xlfn.XLOOKUP(Cotação!A28,T_Fretes[Produto],T_Fretes[Frete Guanabara]),_xlfn.XLOOKUP(Cotação!A28,T_Custos[Produto],T_Custos[Frete]))))),0)+_xlfn.XLOOKUP(A28,T_Custos[Produto],T_Custos[Embalado])+_xlfn.XLOOKUP(Cotação!A28,T_Custos[Produto],T_Custos[Avaria]),"Em falta"))</f>
        <v>29.149999999999995</v>
      </c>
      <c r="E28" s="52">
        <f t="shared" si="0"/>
        <v>29.149999999999995</v>
      </c>
    </row>
    <row r="29" spans="1:5" x14ac:dyDescent="0.35">
      <c r="A29" s="50" t="str">
        <v>ALFACE AMERICANA KG</v>
      </c>
      <c r="B29" s="51">
        <v>1</v>
      </c>
      <c r="C29" s="51" t="str">
        <v>kg</v>
      </c>
      <c r="D29" s="52" cm="1">
        <f t="array" ref="D29">IF(A29="","",IFERROR(_xlfn.XLOOKUP(A29,T_Custos[Produto],T_Custos[Custo])*(1+$H$3)+IF($H$4="SIM",IF($H$2="Armazém do Grão",_xlfn.XLOOKUP(Cotação!A29,T_Custos[Produto],T_Fretes[Frete Grão]),IF($H$2="GMAP",_xlfn.XLOOKUP(Cotação!A29,T_Fretes[Produto],T_Fretes[Frete GMAP]),IF($H$2="GMAP Nova Friburgo",_xlfn.XLOOKUP(Cotação!A29,T_Fretes[Produto],T_Fretes[Frete GMAP Nova Friburgo]),IF($H$2="Guanabara",_xlfn.XLOOKUP(Cotação!A29,T_Fretes[Produto],T_Fretes[Frete Guanabara]),_xlfn.XLOOKUP(Cotação!A29,T_Custos[Produto],T_Custos[Frete]))))),0)+_xlfn.XLOOKUP(A29,T_Custos[Produto],T_Custos[Embalado])+_xlfn.XLOOKUP(Cotação!A29,T_Custos[Produto],T_Custos[Avaria]),"Em falta"))</f>
        <v>7.4149999999999991</v>
      </c>
      <c r="E29" s="52">
        <f t="shared" si="0"/>
        <v>7.4149999999999991</v>
      </c>
    </row>
    <row r="30" spans="1:5" x14ac:dyDescent="0.35">
      <c r="A30" s="50" t="str">
        <v>ALFACE CRESPA KG</v>
      </c>
      <c r="B30" s="51">
        <v>1</v>
      </c>
      <c r="C30" s="51" t="str">
        <v>kg</v>
      </c>
      <c r="D30" s="52" cm="1">
        <f t="array" ref="D30">IF(A30="","",IFERROR(_xlfn.XLOOKUP(A30,T_Custos[Produto],T_Custos[Custo])*(1+$H$3)+IF($H$4="SIM",IF($H$2="Armazém do Grão",_xlfn.XLOOKUP(Cotação!A30,T_Custos[Produto],T_Fretes[Frete Grão]),IF($H$2="GMAP",_xlfn.XLOOKUP(Cotação!A30,T_Fretes[Produto],T_Fretes[Frete GMAP]),IF($H$2="GMAP Nova Friburgo",_xlfn.XLOOKUP(Cotação!A30,T_Fretes[Produto],T_Fretes[Frete GMAP Nova Friburgo]),IF($H$2="Guanabara",_xlfn.XLOOKUP(Cotação!A30,T_Fretes[Produto],T_Fretes[Frete Guanabara]),_xlfn.XLOOKUP(Cotação!A30,T_Custos[Produto],T_Custos[Frete]))))),0)+_xlfn.XLOOKUP(A30,T_Custos[Produto],T_Custos[Embalado])+_xlfn.XLOOKUP(Cotação!A30,T_Custos[Produto],T_Custos[Avaria]),"Em falta"))</f>
        <v>6.7249999999999996</v>
      </c>
      <c r="E30" s="52">
        <f t="shared" si="0"/>
        <v>6.7249999999999996</v>
      </c>
    </row>
    <row r="31" spans="1:5" x14ac:dyDescent="0.35">
      <c r="A31" s="50" t="str">
        <v>ALFACE LISA KG</v>
      </c>
      <c r="B31" s="51">
        <v>1</v>
      </c>
      <c r="C31" s="51" t="str">
        <v>kg</v>
      </c>
      <c r="D31" s="52" cm="1">
        <f t="array" ref="D31">IF(A31="","",IFERROR(_xlfn.XLOOKUP(A31,T_Custos[Produto],T_Custos[Custo])*(1+$H$3)+IF($H$4="SIM",IF($H$2="Armazém do Grão",_xlfn.XLOOKUP(Cotação!A31,T_Custos[Produto],T_Fretes[Frete Grão]),IF($H$2="GMAP",_xlfn.XLOOKUP(Cotação!A31,T_Fretes[Produto],T_Fretes[Frete GMAP]),IF($H$2="GMAP Nova Friburgo",_xlfn.XLOOKUP(Cotação!A31,T_Fretes[Produto],T_Fretes[Frete GMAP Nova Friburgo]),IF($H$2="Guanabara",_xlfn.XLOOKUP(Cotação!A31,T_Fretes[Produto],T_Fretes[Frete Guanabara]),_xlfn.XLOOKUP(Cotação!A31,T_Custos[Produto],T_Custos[Frete]))))),0)+_xlfn.XLOOKUP(A31,T_Custos[Produto],T_Custos[Embalado])+_xlfn.XLOOKUP(Cotação!A31,T_Custos[Produto],T_Custos[Avaria]),"Em falta"))</f>
        <v>7.875</v>
      </c>
      <c r="E31" s="52">
        <f t="shared" si="0"/>
        <v>7.875</v>
      </c>
    </row>
    <row r="32" spans="1:5" ht="15.5" x14ac:dyDescent="0.35">
      <c r="A32" s="54" t="str">
        <v>ALFACE ROXA KG</v>
      </c>
      <c r="B32" s="51">
        <v>1</v>
      </c>
      <c r="C32" s="51" t="str">
        <v>kg</v>
      </c>
      <c r="D32" s="52" cm="1">
        <f t="array" ref="D32">IF(A32="","",IFERROR(_xlfn.XLOOKUP(A32,T_Custos[Produto],T_Custos[Custo])*(1+$H$3)+IF($H$4="SIM",IF($H$2="Armazém do Grão",_xlfn.XLOOKUP(Cotação!A32,T_Custos[Produto],T_Fretes[Frete Grão]),IF($H$2="GMAP",_xlfn.XLOOKUP(Cotação!A32,T_Fretes[Produto],T_Fretes[Frete GMAP]),IF($H$2="GMAP Nova Friburgo",_xlfn.XLOOKUP(Cotação!A32,T_Fretes[Produto],T_Fretes[Frete GMAP Nova Friburgo]),IF($H$2="Guanabara",_xlfn.XLOOKUP(Cotação!A32,T_Fretes[Produto],T_Fretes[Frete Guanabara]),_xlfn.XLOOKUP(Cotação!A32,T_Custos[Produto],T_Custos[Frete]))))),0)+_xlfn.XLOOKUP(A32,T_Custos[Produto],T_Custos[Embalado])+_xlfn.XLOOKUP(Cotação!A32,T_Custos[Produto],T_Custos[Avaria]),"Em falta"))</f>
        <v>9.6</v>
      </c>
      <c r="E32" s="52">
        <f t="shared" si="0"/>
        <v>9.6</v>
      </c>
    </row>
    <row r="33" spans="1:5" x14ac:dyDescent="0.35">
      <c r="A33" s="50" t="str">
        <v>ALHO BRANCO</v>
      </c>
      <c r="B33" s="51">
        <v>10</v>
      </c>
      <c r="C33" s="51" t="str">
        <v>kg</v>
      </c>
      <c r="D33" s="52" cm="1">
        <f t="array" ref="D33">IF(A33="","",IFERROR(_xlfn.XLOOKUP(A33,T_Custos[Produto],T_Custos[Custo])*(1+$H$3)+IF($H$4="SIM",IF($H$2="Armazém do Grão",_xlfn.XLOOKUP(Cotação!A33,T_Custos[Produto],T_Fretes[Frete Grão]),IF($H$2="GMAP",_xlfn.XLOOKUP(Cotação!A33,T_Fretes[Produto],T_Fretes[Frete GMAP]),IF($H$2="GMAP Nova Friburgo",_xlfn.XLOOKUP(Cotação!A33,T_Fretes[Produto],T_Fretes[Frete GMAP Nova Friburgo]),IF($H$2="Guanabara",_xlfn.XLOOKUP(Cotação!A33,T_Fretes[Produto],T_Fretes[Frete Guanabara]),_xlfn.XLOOKUP(Cotação!A33,T_Custos[Produto],T_Custos[Frete]))))),0)+_xlfn.XLOOKUP(A33,T_Custos[Produto],T_Custos[Embalado])+_xlfn.XLOOKUP(Cotação!A33,T_Custos[Produto],T_Custos[Avaria]),"Em falta"))</f>
        <v>317</v>
      </c>
      <c r="E33" s="52">
        <f t="shared" si="0"/>
        <v>31.7</v>
      </c>
    </row>
    <row r="34" spans="1:5" ht="15.5" x14ac:dyDescent="0.35">
      <c r="A34" s="54" t="str">
        <v>ALHO DESCASCADO</v>
      </c>
      <c r="B34" s="51">
        <v>1</v>
      </c>
      <c r="C34" s="51" t="str">
        <v>kg</v>
      </c>
      <c r="D34" s="52" cm="1">
        <f t="array" ref="D34">IF(A34="","",IFERROR(_xlfn.XLOOKUP(A34,T_Custos[Produto],T_Custos[Custo])*(1+$H$3)+IF($H$4="SIM",IF($H$2="Armazém do Grão",_xlfn.XLOOKUP(Cotação!A34,T_Custos[Produto],T_Fretes[Frete Grão]),IF($H$2="GMAP",_xlfn.XLOOKUP(Cotação!A34,T_Fretes[Produto],T_Fretes[Frete GMAP]),IF($H$2="GMAP Nova Friburgo",_xlfn.XLOOKUP(Cotação!A34,T_Fretes[Produto],T_Fretes[Frete GMAP Nova Friburgo]),IF($H$2="Guanabara",_xlfn.XLOOKUP(Cotação!A34,T_Fretes[Produto],T_Fretes[Frete Guanabara]),_xlfn.XLOOKUP(Cotação!A34,T_Custos[Produto],T_Custos[Frete]))))),0)+_xlfn.XLOOKUP(A34,T_Custos[Produto],T_Custos[Embalado])+_xlfn.XLOOKUP(Cotação!A34,T_Custos[Produto],T_Custos[Avaria]),"Em falta"))</f>
        <v>26.5</v>
      </c>
      <c r="E34" s="52">
        <f t="shared" si="0"/>
        <v>26.5</v>
      </c>
    </row>
    <row r="35" spans="1:5" x14ac:dyDescent="0.35">
      <c r="A35" s="50" t="str">
        <v>ALHO PORO KG</v>
      </c>
      <c r="B35" s="51">
        <v>1</v>
      </c>
      <c r="C35" s="51" t="str">
        <v>kg</v>
      </c>
      <c r="D35" s="52" cm="1">
        <f t="array" ref="D35">IF(A35="","",IFERROR(_xlfn.XLOOKUP(A35,T_Custos[Produto],T_Custos[Custo])*(1+$H$3)+IF($H$4="SIM",IF($H$2="Armazém do Grão",_xlfn.XLOOKUP(Cotação!A35,T_Custos[Produto],T_Fretes[Frete Grão]),IF($H$2="GMAP",_xlfn.XLOOKUP(Cotação!A35,T_Fretes[Produto],T_Fretes[Frete GMAP]),IF($H$2="GMAP Nova Friburgo",_xlfn.XLOOKUP(Cotação!A35,T_Fretes[Produto],T_Fretes[Frete GMAP Nova Friburgo]),IF($H$2="Guanabara",_xlfn.XLOOKUP(Cotação!A35,T_Fretes[Produto],T_Fretes[Frete Guanabara]),_xlfn.XLOOKUP(Cotação!A35,T_Custos[Produto],T_Custos[Frete]))))),0)+_xlfn.XLOOKUP(A35,T_Custos[Produto],T_Custos[Embalado])+_xlfn.XLOOKUP(Cotação!A35,T_Custos[Produto],T_Custos[Avaria]),"Em falta"))</f>
        <v>16.499999999999996</v>
      </c>
      <c r="E35" s="52">
        <f t="shared" si="0"/>
        <v>16.499999999999996</v>
      </c>
    </row>
    <row r="36" spans="1:5" x14ac:dyDescent="0.35">
      <c r="A36" s="50" t="str">
        <v>ALHO ROXO</v>
      </c>
      <c r="B36" s="51">
        <v>10</v>
      </c>
      <c r="C36" s="51" t="str">
        <v>kg</v>
      </c>
      <c r="D36" s="52" cm="1">
        <f t="array" ref="D36">IF(A36="","",IFERROR(_xlfn.XLOOKUP(A36,T_Custos[Produto],T_Custos[Custo])*(1+$H$3)+IF($H$4="SIM",IF($H$2="Armazém do Grão",_xlfn.XLOOKUP(Cotação!A36,T_Custos[Produto],T_Fretes[Frete Grão]),IF($H$2="GMAP",_xlfn.XLOOKUP(Cotação!A36,T_Fretes[Produto],T_Fretes[Frete GMAP]),IF($H$2="GMAP Nova Friburgo",_xlfn.XLOOKUP(Cotação!A36,T_Fretes[Produto],T_Fretes[Frete GMAP Nova Friburgo]),IF($H$2="Guanabara",_xlfn.XLOOKUP(Cotação!A36,T_Fretes[Produto],T_Fretes[Frete Guanabara]),_xlfn.XLOOKUP(Cotação!A36,T_Custos[Produto],T_Custos[Frete]))))),0)+_xlfn.XLOOKUP(A36,T_Custos[Produto],T_Custos[Embalado])+_xlfn.XLOOKUP(Cotação!A36,T_Custos[Produto],T_Custos[Avaria]),"Em falta"))</f>
        <v>294</v>
      </c>
      <c r="E36" s="52">
        <f t="shared" si="0"/>
        <v>29.4</v>
      </c>
    </row>
    <row r="37" spans="1:5" x14ac:dyDescent="0.35">
      <c r="A37" s="50" t="str">
        <v>AMEIXA GRAUDA</v>
      </c>
      <c r="B37" s="51">
        <v>6</v>
      </c>
      <c r="C37" s="51" t="str">
        <v>kg</v>
      </c>
      <c r="D37" s="52" t="str" cm="1">
        <f t="array" ref="D37">IF(A37="","",IFERROR(_xlfn.XLOOKUP(A37,T_Custos[Produto],T_Custos[Custo])*(1+$H$3)+IF($H$4="SIM",IF($H$2="Armazém do Grão",_xlfn.XLOOKUP(Cotação!A37,T_Custos[Produto],T_Fretes[Frete Grão]),IF($H$2="GMAP",_xlfn.XLOOKUP(Cotação!A37,T_Fretes[Produto],T_Fretes[Frete GMAP]),IF($H$2="GMAP Nova Friburgo",_xlfn.XLOOKUP(Cotação!A37,T_Fretes[Produto],T_Fretes[Frete GMAP Nova Friburgo]),IF($H$2="Guanabara",_xlfn.XLOOKUP(Cotação!A37,T_Fretes[Produto],T_Fretes[Frete Guanabara]),_xlfn.XLOOKUP(Cotação!A37,T_Custos[Produto],T_Custos[Frete]))))),0)+_xlfn.XLOOKUP(A37,T_Custos[Produto],T_Custos[Embalado])+_xlfn.XLOOKUP(Cotação!A37,T_Custos[Produto],T_Custos[Avaria]),"Em falta"))</f>
        <v>Em falta</v>
      </c>
      <c r="E37" s="52" t="str">
        <f t="shared" si="0"/>
        <v>Em falta</v>
      </c>
    </row>
    <row r="38" spans="1:5" x14ac:dyDescent="0.35">
      <c r="A38" s="50" t="str">
        <v>AMEIXA IMPORTADA</v>
      </c>
      <c r="B38" s="51">
        <v>9</v>
      </c>
      <c r="C38" s="51" t="str">
        <v>kg</v>
      </c>
      <c r="D38" s="52" cm="1">
        <f t="array" ref="D38">IF(A38="","",IFERROR(_xlfn.XLOOKUP(A38,T_Custos[Produto],T_Custos[Custo])*(1+$H$3)+IF($H$4="SIM",IF($H$2="Armazém do Grão",_xlfn.XLOOKUP(Cotação!A38,T_Custos[Produto],T_Fretes[Frete Grão]),IF($H$2="GMAP",_xlfn.XLOOKUP(Cotação!A38,T_Fretes[Produto],T_Fretes[Frete GMAP]),IF($H$2="GMAP Nova Friburgo",_xlfn.XLOOKUP(Cotação!A38,T_Fretes[Produto],T_Fretes[Frete GMAP Nova Friburgo]),IF($H$2="Guanabara",_xlfn.XLOOKUP(Cotação!A38,T_Fretes[Produto],T_Fretes[Frete Guanabara]),_xlfn.XLOOKUP(Cotação!A38,T_Custos[Produto],T_Custos[Frete]))))),0)+_xlfn.XLOOKUP(A38,T_Custos[Produto],T_Custos[Embalado])+_xlfn.XLOOKUP(Cotação!A38,T_Custos[Produto],T_Custos[Avaria]),"Em falta"))</f>
        <v>97.2</v>
      </c>
      <c r="E38" s="52">
        <f t="shared" si="0"/>
        <v>10.8</v>
      </c>
    </row>
    <row r="39" spans="1:5" x14ac:dyDescent="0.35">
      <c r="A39" s="50" t="str">
        <v>AMEIXA NACIONAL</v>
      </c>
      <c r="B39" s="51">
        <v>6</v>
      </c>
      <c r="C39" s="51" t="str">
        <v>kg</v>
      </c>
      <c r="D39" s="52" cm="1">
        <f t="array" ref="D39">IF(A39="","",IFERROR(_xlfn.XLOOKUP(A39,T_Custos[Produto],T_Custos[Custo])*(1+$H$3)+IF($H$4="SIM",IF($H$2="Armazém do Grão",_xlfn.XLOOKUP(Cotação!A39,T_Custos[Produto],T_Fretes[Frete Grão]),IF($H$2="GMAP",_xlfn.XLOOKUP(Cotação!A39,T_Fretes[Produto],T_Fretes[Frete GMAP]),IF($H$2="GMAP Nova Friburgo",_xlfn.XLOOKUP(Cotação!A39,T_Fretes[Produto],T_Fretes[Frete GMAP Nova Friburgo]),IF($H$2="Guanabara",_xlfn.XLOOKUP(Cotação!A39,T_Fretes[Produto],T_Fretes[Frete Guanabara]),_xlfn.XLOOKUP(Cotação!A39,T_Custos[Produto],T_Custos[Frete]))))),0)+_xlfn.XLOOKUP(A39,T_Custos[Produto],T_Custos[Embalado])+_xlfn.XLOOKUP(Cotação!A39,T_Custos[Produto],T_Custos[Avaria]),"Em falta"))</f>
        <v>70.75</v>
      </c>
      <c r="E39" s="52">
        <f t="shared" si="0"/>
        <v>11.791666666666666</v>
      </c>
    </row>
    <row r="40" spans="1:5" x14ac:dyDescent="0.35">
      <c r="A40" s="50" t="str">
        <v>AMORA 10X1</v>
      </c>
      <c r="B40" s="51">
        <v>10</v>
      </c>
      <c r="C40" s="51" t="str">
        <v>bd</v>
      </c>
      <c r="D40" s="52" t="str" cm="1">
        <f t="array" ref="D40">IF(A40="","",IFERROR(_xlfn.XLOOKUP(A40,T_Custos[Produto],T_Custos[Custo])*(1+$H$3)+IF($H$4="SIM",IF($H$2="Armazém do Grão",_xlfn.XLOOKUP(Cotação!A40,T_Custos[Produto],T_Fretes[Frete Grão]),IF($H$2="GMAP",_xlfn.XLOOKUP(Cotação!A40,T_Fretes[Produto],T_Fretes[Frete GMAP]),IF($H$2="GMAP Nova Friburgo",_xlfn.XLOOKUP(Cotação!A40,T_Fretes[Produto],T_Fretes[Frete GMAP Nova Friburgo]),IF($H$2="Guanabara",_xlfn.XLOOKUP(Cotação!A40,T_Fretes[Produto],T_Fretes[Frete Guanabara]),_xlfn.XLOOKUP(Cotação!A40,T_Custos[Produto],T_Custos[Frete]))))),0)+_xlfn.XLOOKUP(A40,T_Custos[Produto],T_Custos[Embalado])+_xlfn.XLOOKUP(Cotação!A40,T_Custos[Produto],T_Custos[Avaria]),"Em falta"))</f>
        <v>Em falta</v>
      </c>
      <c r="E40" s="52" t="str">
        <f t="shared" si="0"/>
        <v>Em falta</v>
      </c>
    </row>
    <row r="41" spans="1:5" x14ac:dyDescent="0.35">
      <c r="A41" s="50" t="str">
        <v>ASPARGO</v>
      </c>
      <c r="B41" s="51">
        <v>5</v>
      </c>
      <c r="C41" s="51" t="str">
        <v>kg</v>
      </c>
      <c r="D41" s="52" cm="1">
        <f t="array" ref="D41">IF(A41="","",IFERROR(_xlfn.XLOOKUP(A41,T_Custos[Produto],T_Custos[Custo])*(1+$H$3)+IF($H$4="SIM",IF($H$2="Armazém do Grão",_xlfn.XLOOKUP(Cotação!A41,T_Custos[Produto],T_Fretes[Frete Grão]),IF($H$2="GMAP",_xlfn.XLOOKUP(Cotação!A41,T_Fretes[Produto],T_Fretes[Frete GMAP]),IF($H$2="GMAP Nova Friburgo",_xlfn.XLOOKUP(Cotação!A41,T_Fretes[Produto],T_Fretes[Frete GMAP Nova Friburgo]),IF($H$2="Guanabara",_xlfn.XLOOKUP(Cotação!A41,T_Fretes[Produto],T_Fretes[Frete Guanabara]),_xlfn.XLOOKUP(Cotação!A41,T_Custos[Produto],T_Custos[Frete]))))),0)+_xlfn.XLOOKUP(A41,T_Custos[Produto],T_Custos[Embalado])+_xlfn.XLOOKUP(Cotação!A41,T_Custos[Produto],T_Custos[Avaria]),"Em falta"))</f>
        <v>293</v>
      </c>
      <c r="E41" s="52">
        <f t="shared" si="0"/>
        <v>58.6</v>
      </c>
    </row>
    <row r="42" spans="1:5" ht="15.5" x14ac:dyDescent="0.35">
      <c r="A42" s="54" t="str">
        <v>ASPARGO VERDE IMPORT.</v>
      </c>
      <c r="B42" s="51">
        <v>5</v>
      </c>
      <c r="C42" s="51" t="str">
        <v>kg</v>
      </c>
      <c r="D42" s="52" t="str" cm="1">
        <f t="array" ref="D42">IF(A42="","",IFERROR(_xlfn.XLOOKUP(A42,T_Custos[Produto],T_Custos[Custo])*(1+$H$3)+IF($H$4="SIM",IF($H$2="Armazém do Grão",_xlfn.XLOOKUP(Cotação!A42,T_Custos[Produto],T_Fretes[Frete Grão]),IF($H$2="GMAP",_xlfn.XLOOKUP(Cotação!A42,T_Fretes[Produto],T_Fretes[Frete GMAP]),IF($H$2="GMAP Nova Friburgo",_xlfn.XLOOKUP(Cotação!A42,T_Fretes[Produto],T_Fretes[Frete GMAP Nova Friburgo]),IF($H$2="Guanabara",_xlfn.XLOOKUP(Cotação!A42,T_Fretes[Produto],T_Fretes[Frete Guanabara]),_xlfn.XLOOKUP(Cotação!A42,T_Custos[Produto],T_Custos[Frete]))))),0)+_xlfn.XLOOKUP(A42,T_Custos[Produto],T_Custos[Embalado])+_xlfn.XLOOKUP(Cotação!A42,T_Custos[Produto],T_Custos[Avaria]),"Em falta"))</f>
        <v>Em falta</v>
      </c>
      <c r="E42" s="52" t="str">
        <f t="shared" si="0"/>
        <v>Em falta</v>
      </c>
    </row>
    <row r="43" spans="1:5" x14ac:dyDescent="0.35">
      <c r="A43" s="50" t="str">
        <v>ATEMOIA / FRUTA DO CONDE</v>
      </c>
      <c r="B43" s="51">
        <v>2</v>
      </c>
      <c r="C43" s="51" t="str">
        <v>kg</v>
      </c>
      <c r="D43" s="52" cm="1">
        <f t="array" ref="D43">IF(A43="","",IFERROR(_xlfn.XLOOKUP(A43,T_Custos[Produto],T_Custos[Custo])*(1+$H$3)+IF($H$4="SIM",IF($H$2="Armazém do Grão",_xlfn.XLOOKUP(Cotação!A43,T_Custos[Produto],T_Fretes[Frete Grão]),IF($H$2="GMAP",_xlfn.XLOOKUP(Cotação!A43,T_Fretes[Produto],T_Fretes[Frete GMAP]),IF($H$2="GMAP Nova Friburgo",_xlfn.XLOOKUP(Cotação!A43,T_Fretes[Produto],T_Fretes[Frete GMAP Nova Friburgo]),IF($H$2="Guanabara",_xlfn.XLOOKUP(Cotação!A43,T_Fretes[Produto],T_Fretes[Frete Guanabara]),_xlfn.XLOOKUP(Cotação!A43,T_Custos[Produto],T_Custos[Frete]))))),0)+_xlfn.XLOOKUP(A43,T_Custos[Produto],T_Custos[Embalado])+_xlfn.XLOOKUP(Cotação!A43,T_Custos[Produto],T_Custos[Avaria]),"Em falta"))</f>
        <v>16.799999999999997</v>
      </c>
      <c r="E43" s="52">
        <f t="shared" si="0"/>
        <v>8.3999999999999986</v>
      </c>
    </row>
    <row r="44" spans="1:5" x14ac:dyDescent="0.35">
      <c r="A44" s="50" t="str">
        <v>AVOCADO HASS</v>
      </c>
      <c r="B44" s="51">
        <v>6</v>
      </c>
      <c r="C44" s="51" t="str">
        <v>kg</v>
      </c>
      <c r="D44" s="52" t="str" cm="1">
        <f t="array" ref="D44">IF(A44="","",IFERROR(_xlfn.XLOOKUP(A44,T_Custos[Produto],T_Custos[Custo])*(1+$H$3)+IF($H$4="SIM",IF($H$2="Armazém do Grão",_xlfn.XLOOKUP(Cotação!A44,T_Custos[Produto],T_Fretes[Frete Grão]),IF($H$2="GMAP",_xlfn.XLOOKUP(Cotação!A44,T_Fretes[Produto],T_Fretes[Frete GMAP]),IF($H$2="GMAP Nova Friburgo",_xlfn.XLOOKUP(Cotação!A44,T_Fretes[Produto],T_Fretes[Frete GMAP Nova Friburgo]),IF($H$2="Guanabara",_xlfn.XLOOKUP(Cotação!A44,T_Fretes[Produto],T_Fretes[Frete Guanabara]),_xlfn.XLOOKUP(Cotação!A44,T_Custos[Produto],T_Custos[Frete]))))),0)+_xlfn.XLOOKUP(A44,T_Custos[Produto],T_Custos[Embalado])+_xlfn.XLOOKUP(Cotação!A44,T_Custos[Produto],T_Custos[Avaria]),"Em falta"))</f>
        <v>Em falta</v>
      </c>
      <c r="E44" s="52" t="str">
        <f t="shared" si="0"/>
        <v>Em falta</v>
      </c>
    </row>
    <row r="45" spans="1:5" x14ac:dyDescent="0.35">
      <c r="A45" s="50" t="str">
        <v>BANANA DA TERRA</v>
      </c>
      <c r="B45" s="51">
        <v>15</v>
      </c>
      <c r="C45" s="51" t="str">
        <v>kg</v>
      </c>
      <c r="D45" s="52" cm="1">
        <f t="array" ref="D45">IF(A45="","",IFERROR(_xlfn.XLOOKUP(A45,T_Custos[Produto],T_Custos[Custo])*(1+$H$3)+IF($H$4="SIM",IF($H$2="Armazém do Grão",_xlfn.XLOOKUP(Cotação!A45,T_Custos[Produto],T_Fretes[Frete Grão]),IF($H$2="GMAP",_xlfn.XLOOKUP(Cotação!A45,T_Fretes[Produto],T_Fretes[Frete GMAP]),IF($H$2="GMAP Nova Friburgo",_xlfn.XLOOKUP(Cotação!A45,T_Fretes[Produto],T_Fretes[Frete GMAP Nova Friburgo]),IF($H$2="Guanabara",_xlfn.XLOOKUP(Cotação!A45,T_Fretes[Produto],T_Fretes[Frete Guanabara]),_xlfn.XLOOKUP(Cotação!A45,T_Custos[Produto],T_Custos[Frete]))))),0)+_xlfn.XLOOKUP(A45,T_Custos[Produto],T_Custos[Embalado])+_xlfn.XLOOKUP(Cotação!A45,T_Custos[Produto],T_Custos[Avaria]),"Em falta"))</f>
        <v>112.19999999999999</v>
      </c>
      <c r="E45" s="52">
        <f t="shared" si="0"/>
        <v>7.4799999999999995</v>
      </c>
    </row>
    <row r="46" spans="1:5" x14ac:dyDescent="0.35">
      <c r="A46" s="50" t="str">
        <v>BANANA MAÇÃ</v>
      </c>
      <c r="B46" s="51">
        <v>20</v>
      </c>
      <c r="C46" s="51" t="str">
        <v>kg</v>
      </c>
      <c r="D46" s="52" cm="1">
        <f t="array" ref="D46">IF(A46="","",IFERROR(_xlfn.XLOOKUP(A46,T_Custos[Produto],T_Custos[Custo])*(1+$H$3)+IF($H$4="SIM",IF($H$2="Armazém do Grão",_xlfn.XLOOKUP(Cotação!A46,T_Custos[Produto],T_Fretes[Frete Grão]),IF($H$2="GMAP",_xlfn.XLOOKUP(Cotação!A46,T_Fretes[Produto],T_Fretes[Frete GMAP]),IF($H$2="GMAP Nova Friburgo",_xlfn.XLOOKUP(Cotação!A46,T_Fretes[Produto],T_Fretes[Frete GMAP Nova Friburgo]),IF($H$2="Guanabara",_xlfn.XLOOKUP(Cotação!A46,T_Fretes[Produto],T_Fretes[Frete Guanabara]),_xlfn.XLOOKUP(Cotação!A46,T_Custos[Produto],T_Custos[Frete]))))),0)+_xlfn.XLOOKUP(A46,T_Custos[Produto],T_Custos[Embalado])+_xlfn.XLOOKUP(Cotação!A46,T_Custos[Produto],T_Custos[Avaria]),"Em falta"))</f>
        <v>135.19999999999999</v>
      </c>
      <c r="E46" s="52">
        <f t="shared" si="0"/>
        <v>6.76</v>
      </c>
    </row>
    <row r="47" spans="1:5" x14ac:dyDescent="0.35">
      <c r="A47" s="50" t="str">
        <v>BANANA NANICA GRAUDA</v>
      </c>
      <c r="B47" s="51">
        <v>20</v>
      </c>
      <c r="C47" s="51" t="str">
        <v>kg</v>
      </c>
      <c r="D47" s="52" cm="1">
        <f t="array" ref="D47">IF(A47="","",IFERROR(_xlfn.XLOOKUP(A47,T_Custos[Produto],T_Custos[Custo])*(1+$H$3)+IF($H$4="SIM",IF($H$2="Armazém do Grão",_xlfn.XLOOKUP(Cotação!A47,T_Custos[Produto],T_Fretes[Frete Grão]),IF($H$2="GMAP",_xlfn.XLOOKUP(Cotação!A47,T_Fretes[Produto],T_Fretes[Frete GMAP]),IF($H$2="GMAP Nova Friburgo",_xlfn.XLOOKUP(Cotação!A47,T_Fretes[Produto],T_Fretes[Frete GMAP Nova Friburgo]),IF($H$2="Guanabara",_xlfn.XLOOKUP(Cotação!A47,T_Fretes[Produto],T_Fretes[Frete Guanabara]),_xlfn.XLOOKUP(Cotação!A47,T_Custos[Produto],T_Custos[Frete]))))),0)+_xlfn.XLOOKUP(A47,T_Custos[Produto],T_Custos[Embalado])+_xlfn.XLOOKUP(Cotação!A47,T_Custos[Produto],T_Custos[Avaria]),"Em falta"))</f>
        <v>77.5</v>
      </c>
      <c r="E47" s="52">
        <f t="shared" si="0"/>
        <v>3.875</v>
      </c>
    </row>
    <row r="48" spans="1:5" x14ac:dyDescent="0.35">
      <c r="A48" s="50" t="str">
        <v>BANANA NANICA MÉDIA</v>
      </c>
      <c r="B48" s="51">
        <v>15</v>
      </c>
      <c r="C48" s="51" t="str">
        <v>kg</v>
      </c>
      <c r="D48" s="52" t="str" cm="1">
        <f t="array" ref="D48">IF(A48="","",IFERROR(_xlfn.XLOOKUP(A48,T_Custos[Produto],T_Custos[Custo])*(1+$H$3)+IF($H$4="SIM",IF($H$2="Armazém do Grão",_xlfn.XLOOKUP(Cotação!A48,T_Custos[Produto],T_Fretes[Frete Grão]),IF($H$2="GMAP",_xlfn.XLOOKUP(Cotação!A48,T_Fretes[Produto],T_Fretes[Frete GMAP]),IF($H$2="GMAP Nova Friburgo",_xlfn.XLOOKUP(Cotação!A48,T_Fretes[Produto],T_Fretes[Frete GMAP Nova Friburgo]),IF($H$2="Guanabara",_xlfn.XLOOKUP(Cotação!A48,T_Fretes[Produto],T_Fretes[Frete Guanabara]),_xlfn.XLOOKUP(Cotação!A48,T_Custos[Produto],T_Custos[Frete]))))),0)+_xlfn.XLOOKUP(A48,T_Custos[Produto],T_Custos[Embalado])+_xlfn.XLOOKUP(Cotação!A48,T_Custos[Produto],T_Custos[Avaria]),"Em falta"))</f>
        <v>Em falta</v>
      </c>
      <c r="E48" s="52" t="str">
        <f t="shared" si="0"/>
        <v>Em falta</v>
      </c>
    </row>
    <row r="49" spans="1:5" x14ac:dyDescent="0.35">
      <c r="A49" s="50" t="str">
        <v>BANANA OURO</v>
      </c>
      <c r="B49" s="51">
        <v>20</v>
      </c>
      <c r="C49" s="51" t="str">
        <v>kg</v>
      </c>
      <c r="D49" s="52" cm="1">
        <f t="array" ref="D49">IF(A49="","",IFERROR(_xlfn.XLOOKUP(A49,T_Custos[Produto],T_Custos[Custo])*(1+$H$3)+IF($H$4="SIM",IF($H$2="Armazém do Grão",_xlfn.XLOOKUP(Cotação!A49,T_Custos[Produto],T_Fretes[Frete Grão]),IF($H$2="GMAP",_xlfn.XLOOKUP(Cotação!A49,T_Fretes[Produto],T_Fretes[Frete GMAP]),IF($H$2="GMAP Nova Friburgo",_xlfn.XLOOKUP(Cotação!A49,T_Fretes[Produto],T_Fretes[Frete GMAP Nova Friburgo]),IF($H$2="Guanabara",_xlfn.XLOOKUP(Cotação!A49,T_Fretes[Produto],T_Fretes[Frete Guanabara]),_xlfn.XLOOKUP(Cotação!A49,T_Custos[Produto],T_Custos[Frete]))))),0)+_xlfn.XLOOKUP(A49,T_Custos[Produto],T_Custos[Embalado])+_xlfn.XLOOKUP(Cotação!A49,T_Custos[Produto],T_Custos[Avaria]),"Em falta"))</f>
        <v>135.19999999999999</v>
      </c>
      <c r="E49" s="52">
        <f t="shared" si="0"/>
        <v>6.76</v>
      </c>
    </row>
    <row r="50" spans="1:5" x14ac:dyDescent="0.35">
      <c r="A50" s="50" t="str">
        <v>BANANA PRATA GRAUDA</v>
      </c>
      <c r="B50" s="51">
        <v>20</v>
      </c>
      <c r="C50" s="51" t="str">
        <v>kg</v>
      </c>
      <c r="D50" s="52" cm="1">
        <f t="array" ref="D50">IF(A50="","",IFERROR(_xlfn.XLOOKUP(A50,T_Custos[Produto],T_Custos[Custo])*(1+$H$3)+IF($H$4="SIM",IF($H$2="Armazém do Grão",_xlfn.XLOOKUP(Cotação!A50,T_Custos[Produto],T_Fretes[Frete Grão]),IF($H$2="GMAP",_xlfn.XLOOKUP(Cotação!A50,T_Fretes[Produto],T_Fretes[Frete GMAP]),IF($H$2="GMAP Nova Friburgo",_xlfn.XLOOKUP(Cotação!A50,T_Fretes[Produto],T_Fretes[Frete GMAP Nova Friburgo]),IF($H$2="Guanabara",_xlfn.XLOOKUP(Cotação!A50,T_Fretes[Produto],T_Fretes[Frete Guanabara]),_xlfn.XLOOKUP(Cotação!A50,T_Custos[Produto],T_Custos[Frete]))))),0)+_xlfn.XLOOKUP(A50,T_Custos[Produto],T_Custos[Embalado])+_xlfn.XLOOKUP(Cotação!A50,T_Custos[Produto],T_Custos[Avaria]),"Em falta"))</f>
        <v>111.99999999999999</v>
      </c>
      <c r="E50" s="52">
        <f t="shared" si="0"/>
        <v>5.6</v>
      </c>
    </row>
    <row r="51" spans="1:5" x14ac:dyDescent="0.35">
      <c r="A51" s="50" t="str">
        <v>BANANA PRATA GRAÚDA</v>
      </c>
      <c r="B51" s="51">
        <v>15</v>
      </c>
      <c r="C51" s="51" t="str">
        <v>kg</v>
      </c>
      <c r="D51" s="52" t="str" cm="1">
        <f t="array" ref="D51">IF(A51="","",IFERROR(_xlfn.XLOOKUP(A51,T_Custos[Produto],T_Custos[Custo])*(1+$H$3)+IF($H$4="SIM",IF($H$2="Armazém do Grão",_xlfn.XLOOKUP(Cotação!A51,T_Custos[Produto],T_Fretes[Frete Grão]),IF($H$2="GMAP",_xlfn.XLOOKUP(Cotação!A51,T_Fretes[Produto],T_Fretes[Frete GMAP]),IF($H$2="GMAP Nova Friburgo",_xlfn.XLOOKUP(Cotação!A51,T_Fretes[Produto],T_Fretes[Frete GMAP Nova Friburgo]),IF($H$2="Guanabara",_xlfn.XLOOKUP(Cotação!A51,T_Fretes[Produto],T_Fretes[Frete Guanabara]),_xlfn.XLOOKUP(Cotação!A51,T_Custos[Produto],T_Custos[Frete]))))),0)+_xlfn.XLOOKUP(A51,T_Custos[Produto],T_Custos[Embalado])+_xlfn.XLOOKUP(Cotação!A51,T_Custos[Produto],T_Custos[Avaria]),"Em falta"))</f>
        <v>Em falta</v>
      </c>
      <c r="E51" s="52" t="str">
        <f t="shared" si="0"/>
        <v>Em falta</v>
      </c>
    </row>
    <row r="52" spans="1:5" x14ac:dyDescent="0.35">
      <c r="A52" s="50" t="str">
        <v>BANANA PRATA MÉDIA</v>
      </c>
      <c r="B52" s="51">
        <v>20</v>
      </c>
      <c r="C52" s="51" t="str">
        <v>kg</v>
      </c>
      <c r="D52" s="52" cm="1">
        <f t="array" ref="D52">IF(A52="","",IFERROR(_xlfn.XLOOKUP(A52,T_Custos[Produto],T_Custos[Custo])*(1+$H$3)+IF($H$4="SIM",IF($H$2="Armazém do Grão",_xlfn.XLOOKUP(Cotação!A52,T_Custos[Produto],T_Fretes[Frete Grão]),IF($H$2="GMAP",_xlfn.XLOOKUP(Cotação!A52,T_Fretes[Produto],T_Fretes[Frete GMAP]),IF($H$2="GMAP Nova Friburgo",_xlfn.XLOOKUP(Cotação!A52,T_Fretes[Produto],T_Fretes[Frete GMAP Nova Friburgo]),IF($H$2="Guanabara",_xlfn.XLOOKUP(Cotação!A52,T_Fretes[Produto],T_Fretes[Frete Guanabara]),_xlfn.XLOOKUP(Cotação!A52,T_Custos[Produto],T_Custos[Frete]))))),0)+_xlfn.XLOOKUP(A52,T_Custos[Produto],T_Custos[Embalado])+_xlfn.XLOOKUP(Cotação!A52,T_Custos[Produto],T_Custos[Avaria]),"Em falta"))</f>
        <v>83.45</v>
      </c>
      <c r="E52" s="52">
        <f t="shared" si="0"/>
        <v>4.1725000000000003</v>
      </c>
    </row>
    <row r="53" spans="1:5" x14ac:dyDescent="0.35">
      <c r="A53" s="50" t="str">
        <v>BATATA ASTERIX</v>
      </c>
      <c r="B53" s="51">
        <v>24</v>
      </c>
      <c r="C53" s="51" t="str">
        <v>kg</v>
      </c>
      <c r="D53" s="52" cm="1">
        <f t="array" ref="D53">IF(A53="","",IFERROR(_xlfn.XLOOKUP(A53,T_Custos[Produto],T_Custos[Custo])*(1+$H$3)+IF($H$4="SIM",IF($H$2="Armazém do Grão",_xlfn.XLOOKUP(Cotação!A53,T_Custos[Produto],T_Fretes[Frete Grão]),IF($H$2="GMAP",_xlfn.XLOOKUP(Cotação!A53,T_Fretes[Produto],T_Fretes[Frete GMAP]),IF($H$2="GMAP Nova Friburgo",_xlfn.XLOOKUP(Cotação!A53,T_Fretes[Produto],T_Fretes[Frete GMAP Nova Friburgo]),IF($H$2="Guanabara",_xlfn.XLOOKUP(Cotação!A53,T_Fretes[Produto],T_Fretes[Frete Guanabara]),_xlfn.XLOOKUP(Cotação!A53,T_Custos[Produto],T_Custos[Frete]))))),0)+_xlfn.XLOOKUP(A53,T_Custos[Produto],T_Custos[Embalado])+_xlfn.XLOOKUP(Cotação!A53,T_Custos[Produto],T_Custos[Avaria]),"Em falta"))</f>
        <v>66</v>
      </c>
      <c r="E53" s="52">
        <f t="shared" si="0"/>
        <v>2.75</v>
      </c>
    </row>
    <row r="54" spans="1:5" ht="15.5" x14ac:dyDescent="0.35">
      <c r="A54" s="54" t="str">
        <v>BATATA BAROA</v>
      </c>
      <c r="B54" s="51">
        <v>20</v>
      </c>
      <c r="C54" s="51" t="str">
        <v>kg</v>
      </c>
      <c r="D54" s="52" cm="1">
        <f t="array" ref="D54">IF(A54="","",IFERROR(_xlfn.XLOOKUP(A54,T_Custos[Produto],T_Custos[Custo])*(1+$H$3)+IF($H$4="SIM",IF($H$2="Armazém do Grão",_xlfn.XLOOKUP(Cotação!A54,T_Custos[Produto],T_Fretes[Frete Grão]),IF($H$2="GMAP",_xlfn.XLOOKUP(Cotação!A54,T_Fretes[Produto],T_Fretes[Frete GMAP]),IF($H$2="GMAP Nova Friburgo",_xlfn.XLOOKUP(Cotação!A54,T_Fretes[Produto],T_Fretes[Frete GMAP Nova Friburgo]),IF($H$2="Guanabara",_xlfn.XLOOKUP(Cotação!A54,T_Fretes[Produto],T_Fretes[Frete Guanabara]),_xlfn.XLOOKUP(Cotação!A54,T_Custos[Produto],T_Custos[Frete]))))),0)+_xlfn.XLOOKUP(A54,T_Custos[Produto],T_Custos[Embalado])+_xlfn.XLOOKUP(Cotação!A54,T_Custos[Produto],T_Custos[Avaria]),"Em falta"))</f>
        <v>203.99999999999997</v>
      </c>
      <c r="E54" s="52">
        <f t="shared" si="0"/>
        <v>10.199999999999999</v>
      </c>
    </row>
    <row r="55" spans="1:5" x14ac:dyDescent="0.35">
      <c r="A55" s="50" t="str">
        <v>BATATA CALABRESA</v>
      </c>
      <c r="B55" s="51">
        <v>24</v>
      </c>
      <c r="C55" s="51" t="str">
        <v>kg</v>
      </c>
      <c r="D55" s="52" cm="1">
        <f t="array" ref="D55">IF(A55="","",IFERROR(_xlfn.XLOOKUP(A55,T_Custos[Produto],T_Custos[Custo])*(1+$H$3)+IF($H$4="SIM",IF($H$2="Armazém do Grão",_xlfn.XLOOKUP(Cotação!A55,T_Custos[Produto],T_Fretes[Frete Grão]),IF($H$2="GMAP",_xlfn.XLOOKUP(Cotação!A55,T_Fretes[Produto],T_Fretes[Frete GMAP]),IF($H$2="GMAP Nova Friburgo",_xlfn.XLOOKUP(Cotação!A55,T_Fretes[Produto],T_Fretes[Frete GMAP Nova Friburgo]),IF($H$2="Guanabara",_xlfn.XLOOKUP(Cotação!A55,T_Fretes[Produto],T_Fretes[Frete Guanabara]),_xlfn.XLOOKUP(Cotação!A55,T_Custos[Produto],T_Custos[Frete]))))),0)+_xlfn.XLOOKUP(A55,T_Custos[Produto],T_Custos[Embalado])+_xlfn.XLOOKUP(Cotação!A55,T_Custos[Produto],T_Custos[Avaria]),"Em falta"))</f>
        <v>66</v>
      </c>
      <c r="E55" s="52">
        <f t="shared" si="0"/>
        <v>2.75</v>
      </c>
    </row>
    <row r="56" spans="1:5" ht="15.5" x14ac:dyDescent="0.35">
      <c r="A56" s="54" t="str">
        <v>BATATA CAROÇO</v>
      </c>
      <c r="B56" s="51">
        <v>24</v>
      </c>
      <c r="C56" s="51" t="str">
        <v>kg</v>
      </c>
      <c r="D56" s="52" cm="1">
        <f t="array" ref="D56">IF(A56="","",IFERROR(_xlfn.XLOOKUP(A56,T_Custos[Produto],T_Custos[Custo])*(1+$H$3)+IF($H$4="SIM",IF($H$2="Armazém do Grão",_xlfn.XLOOKUP(Cotação!A56,T_Custos[Produto],T_Fretes[Frete Grão]),IF($H$2="GMAP",_xlfn.XLOOKUP(Cotação!A56,T_Fretes[Produto],T_Fretes[Frete GMAP]),IF($H$2="GMAP Nova Friburgo",_xlfn.XLOOKUP(Cotação!A56,T_Fretes[Produto],T_Fretes[Frete GMAP Nova Friburgo]),IF($H$2="Guanabara",_xlfn.XLOOKUP(Cotação!A56,T_Fretes[Produto],T_Fretes[Frete Guanabara]),_xlfn.XLOOKUP(Cotação!A56,T_Custos[Produto],T_Custos[Frete]))))),0)+_xlfn.XLOOKUP(A56,T_Custos[Produto],T_Custos[Embalado])+_xlfn.XLOOKUP(Cotação!A56,T_Custos[Produto],T_Custos[Avaria]),"Em falta"))</f>
        <v>60.249999999999993</v>
      </c>
      <c r="E56" s="52">
        <f t="shared" si="0"/>
        <v>2.5104166666666665</v>
      </c>
    </row>
    <row r="57" spans="1:5" x14ac:dyDescent="0.35">
      <c r="A57" s="50" t="str">
        <v>BATATA DOCE</v>
      </c>
      <c r="B57" s="51">
        <v>20</v>
      </c>
      <c r="C57" s="51" t="str">
        <v>kg</v>
      </c>
      <c r="D57" s="52" cm="1">
        <f t="array" ref="D57">IF(A57="","",IFERROR(_xlfn.XLOOKUP(A57,T_Custos[Produto],T_Custos[Custo])*(1+$H$3)+IF($H$4="SIM",IF($H$2="Armazém do Grão",_xlfn.XLOOKUP(Cotação!A57,T_Custos[Produto],T_Fretes[Frete Grão]),IF($H$2="GMAP",_xlfn.XLOOKUP(Cotação!A57,T_Fretes[Produto],T_Fretes[Frete GMAP]),IF($H$2="GMAP Nova Friburgo",_xlfn.XLOOKUP(Cotação!A57,T_Fretes[Produto],T_Fretes[Frete GMAP Nova Friburgo]),IF($H$2="Guanabara",_xlfn.XLOOKUP(Cotação!A57,T_Fretes[Produto],T_Fretes[Frete Guanabara]),_xlfn.XLOOKUP(Cotação!A57,T_Custos[Produto],T_Custos[Frete]))))),0)+_xlfn.XLOOKUP(A57,T_Custos[Produto],T_Custos[Embalado])+_xlfn.XLOOKUP(Cotação!A57,T_Custos[Produto],T_Custos[Avaria]),"Em falta"))</f>
        <v>60.249999999999993</v>
      </c>
      <c r="E57" s="52">
        <f t="shared" si="0"/>
        <v>3.0124999999999997</v>
      </c>
    </row>
    <row r="58" spans="1:5" x14ac:dyDescent="0.35">
      <c r="A58" s="50" t="str">
        <v>BATATA DOCE BRANCA</v>
      </c>
      <c r="B58" s="51">
        <v>20</v>
      </c>
      <c r="C58" s="51" t="str">
        <v>kg</v>
      </c>
      <c r="D58" s="52" t="str" cm="1">
        <f t="array" ref="D58">IF(A58="","",IFERROR(_xlfn.XLOOKUP(A58,T_Custos[Produto],T_Custos[Custo])*(1+$H$3)+IF($H$4="SIM",IF($H$2="Armazém do Grão",_xlfn.XLOOKUP(Cotação!A58,T_Custos[Produto],T_Fretes[Frete Grão]),IF($H$2="GMAP",_xlfn.XLOOKUP(Cotação!A58,T_Fretes[Produto],T_Fretes[Frete GMAP]),IF($H$2="GMAP Nova Friburgo",_xlfn.XLOOKUP(Cotação!A58,T_Fretes[Produto],T_Fretes[Frete GMAP Nova Friburgo]),IF($H$2="Guanabara",_xlfn.XLOOKUP(Cotação!A58,T_Fretes[Produto],T_Fretes[Frete Guanabara]),_xlfn.XLOOKUP(Cotação!A58,T_Custos[Produto],T_Custos[Frete]))))),0)+_xlfn.XLOOKUP(A58,T_Custos[Produto],T_Custos[Embalado])+_xlfn.XLOOKUP(Cotação!A58,T_Custos[Produto],T_Custos[Avaria]),"Em falta"))</f>
        <v>Em falta</v>
      </c>
      <c r="E58" s="52" t="str">
        <f t="shared" si="0"/>
        <v>Em falta</v>
      </c>
    </row>
    <row r="59" spans="1:5" x14ac:dyDescent="0.35">
      <c r="A59" s="50" t="str">
        <v>BATATA DOCE ROXA</v>
      </c>
      <c r="B59" s="51">
        <v>18</v>
      </c>
      <c r="C59" s="51" t="str">
        <v>kg</v>
      </c>
      <c r="D59" s="52" t="str" cm="1">
        <f t="array" ref="D59">IF(A59="","",IFERROR(_xlfn.XLOOKUP(A59,T_Custos[Produto],T_Custos[Custo])*(1+$H$3)+IF($H$4="SIM",IF($H$2="Armazém do Grão",_xlfn.XLOOKUP(Cotação!A59,T_Custos[Produto],T_Fretes[Frete Grão]),IF($H$2="GMAP",_xlfn.XLOOKUP(Cotação!A59,T_Fretes[Produto],T_Fretes[Frete GMAP]),IF($H$2="GMAP Nova Friburgo",_xlfn.XLOOKUP(Cotação!A59,T_Fretes[Produto],T_Fretes[Frete GMAP Nova Friburgo]),IF($H$2="Guanabara",_xlfn.XLOOKUP(Cotação!A59,T_Fretes[Produto],T_Fretes[Frete Guanabara]),_xlfn.XLOOKUP(Cotação!A59,T_Custos[Produto],T_Custos[Frete]))))),0)+_xlfn.XLOOKUP(A59,T_Custos[Produto],T_Custos[Embalado])+_xlfn.XLOOKUP(Cotação!A59,T_Custos[Produto],T_Custos[Avaria]),"Em falta"))</f>
        <v>Em falta</v>
      </c>
      <c r="E59" s="52" t="str">
        <f t="shared" si="0"/>
        <v>Em falta</v>
      </c>
    </row>
    <row r="60" spans="1:5" ht="15.5" x14ac:dyDescent="0.35">
      <c r="A60" s="54" t="str">
        <v>BATATA ESCOVADA</v>
      </c>
      <c r="B60" s="51">
        <v>24</v>
      </c>
      <c r="C60" s="51" t="str">
        <v>kg</v>
      </c>
      <c r="D60" s="52" cm="1">
        <f t="array" ref="D60">IF(A60="","",IFERROR(_xlfn.XLOOKUP(A60,T_Custos[Produto],T_Custos[Custo])*(1+$H$3)+IF($H$4="SIM",IF($H$2="Armazém do Grão",_xlfn.XLOOKUP(Cotação!A60,T_Custos[Produto],T_Fretes[Frete Grão]),IF($H$2="GMAP",_xlfn.XLOOKUP(Cotação!A60,T_Fretes[Produto],T_Fretes[Frete GMAP]),IF($H$2="GMAP Nova Friburgo",_xlfn.XLOOKUP(Cotação!A60,T_Fretes[Produto],T_Fretes[Frete GMAP Nova Friburgo]),IF($H$2="Guanabara",_xlfn.XLOOKUP(Cotação!A60,T_Fretes[Produto],T_Fretes[Frete Guanabara]),_xlfn.XLOOKUP(Cotação!A60,T_Custos[Produto],T_Custos[Frete]))))),0)+_xlfn.XLOOKUP(A60,T_Custos[Produto],T_Custos[Embalado])+_xlfn.XLOOKUP(Cotação!A60,T_Custos[Produto],T_Custos[Avaria]),"Em falta"))</f>
        <v>77.5</v>
      </c>
      <c r="E60" s="52">
        <f t="shared" si="0"/>
        <v>3.2291666666666665</v>
      </c>
    </row>
    <row r="61" spans="1:5" x14ac:dyDescent="0.35">
      <c r="A61" s="53" t="str">
        <v>BATATA INGLESA 2°L</v>
      </c>
      <c r="B61" s="51">
        <v>24</v>
      </c>
      <c r="C61" s="51" t="str">
        <v>kg</v>
      </c>
      <c r="D61" s="52" t="str" cm="1">
        <f t="array" ref="D61">IF(A61="","",IFERROR(_xlfn.XLOOKUP(A61,T_Custos[Produto],T_Custos[Custo])*(1+$H$3)+IF($H$4="SIM",IF($H$2="Armazém do Grão",_xlfn.XLOOKUP(Cotação!A61,T_Custos[Produto],T_Fretes[Frete Grão]),IF($H$2="GMAP",_xlfn.XLOOKUP(Cotação!A61,T_Fretes[Produto],T_Fretes[Frete GMAP]),IF($H$2="GMAP Nova Friburgo",_xlfn.XLOOKUP(Cotação!A61,T_Fretes[Produto],T_Fretes[Frete GMAP Nova Friburgo]),IF($H$2="Guanabara",_xlfn.XLOOKUP(Cotação!A61,T_Fretes[Produto],T_Fretes[Frete Guanabara]),_xlfn.XLOOKUP(Cotação!A61,T_Custos[Produto],T_Custos[Frete]))))),0)+_xlfn.XLOOKUP(A61,T_Custos[Produto],T_Custos[Embalado])+_xlfn.XLOOKUP(Cotação!A61,T_Custos[Produto],T_Custos[Avaria]),"Em falta"))</f>
        <v>Em falta</v>
      </c>
      <c r="E61" s="52" t="str">
        <f t="shared" si="0"/>
        <v>Em falta</v>
      </c>
    </row>
    <row r="62" spans="1:5" x14ac:dyDescent="0.35">
      <c r="A62" s="50" t="str">
        <v>BATATA INGLESA CX</v>
      </c>
      <c r="B62" s="51">
        <v>24</v>
      </c>
      <c r="C62" s="51" t="str">
        <v>kg</v>
      </c>
      <c r="D62" s="52" t="str" cm="1">
        <f t="array" ref="D62">IF(A62="","",IFERROR(_xlfn.XLOOKUP(A62,T_Custos[Produto],T_Custos[Custo])*(1+$H$3)+IF($H$4="SIM",IF($H$2="Armazém do Grão",_xlfn.XLOOKUP(Cotação!A62,T_Custos[Produto],T_Fretes[Frete Grão]),IF($H$2="GMAP",_xlfn.XLOOKUP(Cotação!A62,T_Fretes[Produto],T_Fretes[Frete GMAP]),IF($H$2="GMAP Nova Friburgo",_xlfn.XLOOKUP(Cotação!A62,T_Fretes[Produto],T_Fretes[Frete GMAP Nova Friburgo]),IF($H$2="Guanabara",_xlfn.XLOOKUP(Cotação!A62,T_Fretes[Produto],T_Fretes[Frete Guanabara]),_xlfn.XLOOKUP(Cotação!A62,T_Custos[Produto],T_Custos[Frete]))))),0)+_xlfn.XLOOKUP(A62,T_Custos[Produto],T_Custos[Embalado])+_xlfn.XLOOKUP(Cotação!A62,T_Custos[Produto],T_Custos[Avaria]),"Em falta"))</f>
        <v>Em falta</v>
      </c>
      <c r="E62" s="52" t="str">
        <f t="shared" si="0"/>
        <v>Em falta</v>
      </c>
    </row>
    <row r="63" spans="1:5" x14ac:dyDescent="0.35">
      <c r="A63" s="50" t="str">
        <v>BATATA INGLESA SC</v>
      </c>
      <c r="B63" s="51">
        <v>24</v>
      </c>
      <c r="C63" s="51" t="str">
        <v>kg</v>
      </c>
      <c r="D63" s="52" cm="1">
        <f t="array" ref="D63">IF(A63="","",IFERROR(_xlfn.XLOOKUP(A63,T_Custos[Produto],T_Custos[Custo])*(1+$H$3)+IF($H$4="SIM",IF($H$2="Armazém do Grão",_xlfn.XLOOKUP(Cotação!A63,T_Custos[Produto],T_Fretes[Frete Grão]),IF($H$2="GMAP",_xlfn.XLOOKUP(Cotação!A63,T_Fretes[Produto],T_Fretes[Frete GMAP]),IF($H$2="GMAP Nova Friburgo",_xlfn.XLOOKUP(Cotação!A63,T_Fretes[Produto],T_Fretes[Frete GMAP Nova Friburgo]),IF($H$2="Guanabara",_xlfn.XLOOKUP(Cotação!A63,T_Fretes[Produto],T_Fretes[Frete Guanabara]),_xlfn.XLOOKUP(Cotação!A63,T_Custos[Produto],T_Custos[Frete]))))),0)+_xlfn.XLOOKUP(A63,T_Custos[Produto],T_Custos[Embalado])+_xlfn.XLOOKUP(Cotação!A63,T_Custos[Produto],T_Custos[Avaria]),"Em falta"))</f>
        <v>100.5</v>
      </c>
      <c r="E63" s="52">
        <f t="shared" si="0"/>
        <v>4.1875</v>
      </c>
    </row>
    <row r="64" spans="1:5" ht="15.5" x14ac:dyDescent="0.35">
      <c r="A64" s="54" t="str">
        <v xml:space="preserve">BATATA MARQUES </v>
      </c>
      <c r="B64" s="51">
        <v>24</v>
      </c>
      <c r="C64" s="51" t="str">
        <v>kg</v>
      </c>
      <c r="D64" s="52" t="str" cm="1">
        <f t="array" ref="D64">IF(A64="","",IFERROR(_xlfn.XLOOKUP(A64,T_Custos[Produto],T_Custos[Custo])*(1+$H$3)+IF($H$4="SIM",IF($H$2="Armazém do Grão",_xlfn.XLOOKUP(Cotação!A64,T_Custos[Produto],T_Fretes[Frete Grão]),IF($H$2="GMAP",_xlfn.XLOOKUP(Cotação!A64,T_Fretes[Produto],T_Fretes[Frete GMAP]),IF($H$2="GMAP Nova Friburgo",_xlfn.XLOOKUP(Cotação!A64,T_Fretes[Produto],T_Fretes[Frete GMAP Nova Friburgo]),IF($H$2="Guanabara",_xlfn.XLOOKUP(Cotação!A64,T_Fretes[Produto],T_Fretes[Frete Guanabara]),_xlfn.XLOOKUP(Cotação!A64,T_Custos[Produto],T_Custos[Frete]))))),0)+_xlfn.XLOOKUP(A64,T_Custos[Produto],T_Custos[Embalado])+_xlfn.XLOOKUP(Cotação!A64,T_Custos[Produto],T_Custos[Avaria]),"Em falta"))</f>
        <v>Em falta</v>
      </c>
      <c r="E64" s="52" t="str">
        <f t="shared" si="0"/>
        <v>Em falta</v>
      </c>
    </row>
    <row r="65" spans="1:5" x14ac:dyDescent="0.35">
      <c r="A65" s="50" t="str">
        <v>BATATINHA SAQUINHO</v>
      </c>
      <c r="B65" s="51">
        <v>1</v>
      </c>
      <c r="C65" s="51" t="str">
        <v>kg</v>
      </c>
      <c r="D65" s="52" cm="1">
        <f t="array" ref="D65">IF(A65="","",IFERROR(_xlfn.XLOOKUP(A65,T_Custos[Produto],T_Custos[Custo])*(1+$H$3)+IF($H$4="SIM",IF($H$2="Armazém do Grão",_xlfn.XLOOKUP(Cotação!A65,T_Custos[Produto],T_Fretes[Frete Grão]),IF($H$2="GMAP",_xlfn.XLOOKUP(Cotação!A65,T_Fretes[Produto],T_Fretes[Frete GMAP]),IF($H$2="GMAP Nova Friburgo",_xlfn.XLOOKUP(Cotação!A65,T_Fretes[Produto],T_Fretes[Frete GMAP Nova Friburgo]),IF($H$2="Guanabara",_xlfn.XLOOKUP(Cotação!A65,T_Fretes[Produto],T_Fretes[Frete Guanabara]),_xlfn.XLOOKUP(Cotação!A65,T_Custos[Produto],T_Custos[Frete]))))),0)+_xlfn.XLOOKUP(A65,T_Custos[Produto],T_Custos[Embalado])+_xlfn.XLOOKUP(Cotação!A65,T_Custos[Produto],T_Custos[Avaria]),"Em falta"))</f>
        <v>4.42</v>
      </c>
      <c r="E65" s="52">
        <f t="shared" si="0"/>
        <v>4.42</v>
      </c>
    </row>
    <row r="66" spans="1:5" x14ac:dyDescent="0.35">
      <c r="A66" s="50" t="str">
        <v>BERINJELA</v>
      </c>
      <c r="B66" s="51">
        <v>10</v>
      </c>
      <c r="C66" s="51" t="str">
        <v>kg</v>
      </c>
      <c r="D66" s="52" cm="1">
        <f t="array" ref="D66">IF(A66="","",IFERROR(_xlfn.XLOOKUP(A66,T_Custos[Produto],T_Custos[Custo])*(1+$H$3)+IF($H$4="SIM",IF($H$2="Armazém do Grão",_xlfn.XLOOKUP(Cotação!A66,T_Custos[Produto],T_Fretes[Frete Grão]),IF($H$2="GMAP",_xlfn.XLOOKUP(Cotação!A66,T_Fretes[Produto],T_Fretes[Frete GMAP]),IF($H$2="GMAP Nova Friburgo",_xlfn.XLOOKUP(Cotação!A66,T_Fretes[Produto],T_Fretes[Frete GMAP Nova Friburgo]),IF($H$2="Guanabara",_xlfn.XLOOKUP(Cotação!A66,T_Fretes[Produto],T_Fretes[Frete Guanabara]),_xlfn.XLOOKUP(Cotação!A66,T_Custos[Produto],T_Custos[Frete]))))),0)+_xlfn.XLOOKUP(A66,T_Custos[Produto],T_Custos[Embalado])+_xlfn.XLOOKUP(Cotação!A66,T_Custos[Produto],T_Custos[Avaria]),"Em falta"))</f>
        <v>35.25</v>
      </c>
      <c r="E66" s="52">
        <f t="shared" si="0"/>
        <v>3.5249999999999999</v>
      </c>
    </row>
    <row r="67" spans="1:5" x14ac:dyDescent="0.35">
      <c r="A67" s="50" t="str">
        <v>BERINJELA RAJADA</v>
      </c>
      <c r="B67" s="51">
        <v>10</v>
      </c>
      <c r="C67" s="51" t="str">
        <v>kg</v>
      </c>
      <c r="D67" s="52" t="str" cm="1">
        <f t="array" ref="D67">IF(A67="","",IFERROR(_xlfn.XLOOKUP(A67,T_Custos[Produto],T_Custos[Custo])*(1+$H$3)+IF($H$4="SIM",IF($H$2="Armazém do Grão",_xlfn.XLOOKUP(Cotação!A67,T_Custos[Produto],T_Fretes[Frete Grão]),IF($H$2="GMAP",_xlfn.XLOOKUP(Cotação!A67,T_Fretes[Produto],T_Fretes[Frete GMAP]),IF($H$2="GMAP Nova Friburgo",_xlfn.XLOOKUP(Cotação!A67,T_Fretes[Produto],T_Fretes[Frete GMAP Nova Friburgo]),IF($H$2="Guanabara",_xlfn.XLOOKUP(Cotação!A67,T_Fretes[Produto],T_Fretes[Frete Guanabara]),_xlfn.XLOOKUP(Cotação!A67,T_Custos[Produto],T_Custos[Frete]))))),0)+_xlfn.XLOOKUP(A67,T_Custos[Produto],T_Custos[Embalado])+_xlfn.XLOOKUP(Cotação!A67,T_Custos[Produto],T_Custos[Avaria]),"Em falta"))</f>
        <v>Em falta</v>
      </c>
      <c r="E67" s="52" t="str">
        <f t="shared" si="0"/>
        <v>Em falta</v>
      </c>
    </row>
    <row r="68" spans="1:5" x14ac:dyDescent="0.35">
      <c r="A68" s="50" t="str">
        <v>BERTALHA KG</v>
      </c>
      <c r="B68" s="51">
        <v>1</v>
      </c>
      <c r="C68" s="51" t="str">
        <v>kg</v>
      </c>
      <c r="D68" s="52" cm="1">
        <f t="array" ref="D68">IF(A68="","",IFERROR(_xlfn.XLOOKUP(A68,T_Custos[Produto],T_Custos[Custo])*(1+$H$3)+IF($H$4="SIM",IF($H$2="Armazém do Grão",_xlfn.XLOOKUP(Cotação!A68,T_Custos[Produto],T_Fretes[Frete Grão]),IF($H$2="GMAP",_xlfn.XLOOKUP(Cotação!A68,T_Fretes[Produto],T_Fretes[Frete GMAP]),IF($H$2="GMAP Nova Friburgo",_xlfn.XLOOKUP(Cotação!A68,T_Fretes[Produto],T_Fretes[Frete GMAP Nova Friburgo]),IF($H$2="Guanabara",_xlfn.XLOOKUP(Cotação!A68,T_Fretes[Produto],T_Fretes[Frete Guanabara]),_xlfn.XLOOKUP(Cotação!A68,T_Custos[Produto],T_Custos[Frete]))))),0)+_xlfn.XLOOKUP(A68,T_Custos[Produto],T_Custos[Embalado])+_xlfn.XLOOKUP(Cotação!A68,T_Custos[Produto],T_Custos[Avaria]),"Em falta"))</f>
        <v>8.4499999999999993</v>
      </c>
      <c r="E68" s="52">
        <f t="shared" si="0"/>
        <v>8.4499999999999993</v>
      </c>
    </row>
    <row r="69" spans="1:5" x14ac:dyDescent="0.35">
      <c r="A69" s="50" t="str">
        <v>BETERRABA</v>
      </c>
      <c r="B69" s="51">
        <v>20</v>
      </c>
      <c r="C69" s="51" t="str">
        <v>kg</v>
      </c>
      <c r="D69" s="52" cm="1">
        <f t="array" ref="D69">IF(A69="","",IFERROR(_xlfn.XLOOKUP(A69,T_Custos[Produto],T_Custos[Custo])*(1+$H$3)+IF($H$4="SIM",IF($H$2="Armazém do Grão",_xlfn.XLOOKUP(Cotação!A69,T_Custos[Produto],T_Fretes[Frete Grão]),IF($H$2="GMAP",_xlfn.XLOOKUP(Cotação!A69,T_Fretes[Produto],T_Fretes[Frete GMAP]),IF($H$2="GMAP Nova Friburgo",_xlfn.XLOOKUP(Cotação!A69,T_Fretes[Produto],T_Fretes[Frete GMAP Nova Friburgo]),IF($H$2="Guanabara",_xlfn.XLOOKUP(Cotação!A69,T_Fretes[Produto],T_Fretes[Frete Guanabara]),_xlfn.XLOOKUP(Cotação!A69,T_Custos[Produto],T_Custos[Frete]))))),0)+_xlfn.XLOOKUP(A69,T_Custos[Produto],T_Custos[Embalado])+_xlfn.XLOOKUP(Cotação!A69,T_Custos[Produto],T_Custos[Avaria]),"Em falta"))</f>
        <v>48.75</v>
      </c>
      <c r="E69" s="52">
        <f t="shared" si="0"/>
        <v>2.4375</v>
      </c>
    </row>
    <row r="70" spans="1:5" ht="15.5" x14ac:dyDescent="0.35">
      <c r="A70" s="54" t="str">
        <v>BLUEBERRY</v>
      </c>
      <c r="B70" s="51">
        <v>1</v>
      </c>
      <c r="C70" s="51" t="str">
        <v>kg</v>
      </c>
      <c r="D70" s="52" cm="1">
        <f t="array" ref="D70">IF(A70="","",IFERROR(_xlfn.XLOOKUP(A70,T_Custos[Produto],T_Custos[Custo])*(1+$H$3)+IF($H$4="SIM",IF($H$2="Armazém do Grão",_xlfn.XLOOKUP(Cotação!A70,T_Custos[Produto],T_Fretes[Frete Grão]),IF($H$2="GMAP",_xlfn.XLOOKUP(Cotação!A70,T_Fretes[Produto],T_Fretes[Frete GMAP]),IF($H$2="GMAP Nova Friburgo",_xlfn.XLOOKUP(Cotação!A70,T_Fretes[Produto],T_Fretes[Frete GMAP Nova Friburgo]),IF($H$2="Guanabara",_xlfn.XLOOKUP(Cotação!A70,T_Fretes[Produto],T_Fretes[Frete Guanabara]),_xlfn.XLOOKUP(Cotação!A70,T_Custos[Produto],T_Custos[Frete]))))),0)+_xlfn.XLOOKUP(A70,T_Custos[Produto],T_Custos[Embalado])+_xlfn.XLOOKUP(Cotação!A70,T_Custos[Produto],T_Custos[Avaria]),"Em falta"))</f>
        <v>71.400000000000006</v>
      </c>
      <c r="E70" s="52">
        <f t="shared" si="0"/>
        <v>71.400000000000006</v>
      </c>
    </row>
    <row r="71" spans="1:5" x14ac:dyDescent="0.35">
      <c r="A71" s="50" t="str">
        <v>BROCOLIS AMERICANA KG</v>
      </c>
      <c r="B71" s="51">
        <v>1</v>
      </c>
      <c r="C71" s="51" t="str">
        <v>kg</v>
      </c>
      <c r="D71" s="52" cm="1">
        <f t="array" ref="D71">IF(A71="","",IFERROR(_xlfn.XLOOKUP(A71,T_Custos[Produto],T_Custos[Custo])*(1+$H$3)+IF($H$4="SIM",IF($H$2="Armazém do Grão",_xlfn.XLOOKUP(Cotação!A71,T_Custos[Produto],T_Fretes[Frete Grão]),IF($H$2="GMAP",_xlfn.XLOOKUP(Cotação!A71,T_Fretes[Produto],T_Fretes[Frete GMAP]),IF($H$2="GMAP Nova Friburgo",_xlfn.XLOOKUP(Cotação!A71,T_Fretes[Produto],T_Fretes[Frete GMAP Nova Friburgo]),IF($H$2="Guanabara",_xlfn.XLOOKUP(Cotação!A71,T_Fretes[Produto],T_Fretes[Frete Guanabara]),_xlfn.XLOOKUP(Cotação!A71,T_Custos[Produto],T_Custos[Frete]))))),0)+_xlfn.XLOOKUP(A71,T_Custos[Produto],T_Custos[Embalado])+_xlfn.XLOOKUP(Cotação!A71,T_Custos[Produto],T_Custos[Avaria]),"Em falta"))</f>
        <v>18.799999999999997</v>
      </c>
      <c r="E71" s="52">
        <f t="shared" si="0"/>
        <v>18.799999999999997</v>
      </c>
    </row>
    <row r="72" spans="1:5" x14ac:dyDescent="0.35">
      <c r="A72" s="50" t="str">
        <v>BROCOLIS COMUM KG</v>
      </c>
      <c r="B72" s="51">
        <v>1</v>
      </c>
      <c r="C72" s="51" t="str">
        <v>kg</v>
      </c>
      <c r="D72" s="52" cm="1">
        <f t="array" ref="D72">IF(A72="","",IFERROR(_xlfn.XLOOKUP(A72,T_Custos[Produto],T_Custos[Custo])*(1+$H$3)+IF($H$4="SIM",IF($H$2="Armazém do Grão",_xlfn.XLOOKUP(Cotação!A72,T_Custos[Produto],T_Fretes[Frete Grão]),IF($H$2="GMAP",_xlfn.XLOOKUP(Cotação!A72,T_Fretes[Produto],T_Fretes[Frete GMAP]),IF($H$2="GMAP Nova Friburgo",_xlfn.XLOOKUP(Cotação!A72,T_Fretes[Produto],T_Fretes[Frete GMAP Nova Friburgo]),IF($H$2="Guanabara",_xlfn.XLOOKUP(Cotação!A72,T_Fretes[Produto],T_Fretes[Frete Guanabara]),_xlfn.XLOOKUP(Cotação!A72,T_Custos[Produto],T_Custos[Frete]))))),0)+_xlfn.XLOOKUP(A72,T_Custos[Produto],T_Custos[Embalado])+_xlfn.XLOOKUP(Cotação!A72,T_Custos[Produto],T_Custos[Avaria]),"Em falta"))</f>
        <v>11.67</v>
      </c>
      <c r="E72" s="52">
        <f t="shared" si="0"/>
        <v>11.67</v>
      </c>
    </row>
    <row r="73" spans="1:5" x14ac:dyDescent="0.35">
      <c r="A73" s="50" t="str">
        <v>BROTO DE FEIJÃO 550G</v>
      </c>
      <c r="B73" s="51">
        <v>0.5</v>
      </c>
      <c r="C73" s="51" t="str">
        <v>kg</v>
      </c>
      <c r="D73" s="52" cm="1">
        <f t="array" ref="D73">IF(A73="","",IFERROR(_xlfn.XLOOKUP(A73,T_Custos[Produto],T_Custos[Custo])*(1+$H$3)+IF($H$4="SIM",IF($H$2="Armazém do Grão",_xlfn.XLOOKUP(Cotação!A73,T_Custos[Produto],T_Fretes[Frete Grão]),IF($H$2="GMAP",_xlfn.XLOOKUP(Cotação!A73,T_Fretes[Produto],T_Fretes[Frete GMAP]),IF($H$2="GMAP Nova Friburgo",_xlfn.XLOOKUP(Cotação!A73,T_Fretes[Produto],T_Fretes[Frete GMAP Nova Friburgo]),IF($H$2="Guanabara",_xlfn.XLOOKUP(Cotação!A73,T_Fretes[Produto],T_Fretes[Frete Guanabara]),_xlfn.XLOOKUP(Cotação!A73,T_Custos[Produto],T_Custos[Frete]))))),0)+_xlfn.XLOOKUP(A73,T_Custos[Produto],T_Custos[Embalado])+_xlfn.XLOOKUP(Cotação!A73,T_Custos[Produto],T_Custos[Avaria]),"Em falta"))</f>
        <v>14.125</v>
      </c>
      <c r="E73" s="52">
        <f t="shared" ref="E73:E136" si="1">IF(A73="","",IFERROR(D73/B73,"Em falta"))</f>
        <v>28.25</v>
      </c>
    </row>
    <row r="74" spans="1:5" ht="15.5" x14ac:dyDescent="0.35">
      <c r="A74" s="54" t="str">
        <v>CAJU</v>
      </c>
      <c r="B74" s="51">
        <v>2</v>
      </c>
      <c r="C74" s="51" t="str">
        <v>kg</v>
      </c>
      <c r="D74" s="52" cm="1">
        <f t="array" ref="D74">IF(A74="","",IFERROR(_xlfn.XLOOKUP(A74,T_Custos[Produto],T_Custos[Custo])*(1+$H$3)+IF($H$4="SIM",IF($H$2="Armazém do Grão",_xlfn.XLOOKUP(Cotação!A74,T_Custos[Produto],T_Fretes[Frete Grão]),IF($H$2="GMAP",_xlfn.XLOOKUP(Cotação!A74,T_Fretes[Produto],T_Fretes[Frete GMAP]),IF($H$2="GMAP Nova Friburgo",_xlfn.XLOOKUP(Cotação!A74,T_Fretes[Produto],T_Fretes[Frete GMAP Nova Friburgo]),IF($H$2="Guanabara",_xlfn.XLOOKUP(Cotação!A74,T_Fretes[Produto],T_Fretes[Frete Guanabara]),_xlfn.XLOOKUP(Cotação!A74,T_Custos[Produto],T_Custos[Frete]))))),0)+_xlfn.XLOOKUP(A74,T_Custos[Produto],T_Custos[Embalado])+_xlfn.XLOOKUP(Cotação!A74,T_Custos[Produto],T_Custos[Avaria]),"Em falta"))</f>
        <v>65.649999999999991</v>
      </c>
      <c r="E74" s="52">
        <f t="shared" si="1"/>
        <v>32.824999999999996</v>
      </c>
    </row>
    <row r="75" spans="1:5" x14ac:dyDescent="0.35">
      <c r="A75" s="50" t="str">
        <v>CAQUI</v>
      </c>
      <c r="B75" s="51">
        <v>2.5</v>
      </c>
      <c r="C75" s="51" t="str">
        <v>kg</v>
      </c>
      <c r="D75" s="52" cm="1">
        <f t="array" ref="D75">IF(A75="","",IFERROR(_xlfn.XLOOKUP(A75,T_Custos[Produto],T_Custos[Custo])*(1+$H$3)+IF($H$4="SIM",IF($H$2="Armazém do Grão",_xlfn.XLOOKUP(Cotação!A75,T_Custos[Produto],T_Fretes[Frete Grão]),IF($H$2="GMAP",_xlfn.XLOOKUP(Cotação!A75,T_Fretes[Produto],T_Fretes[Frete GMAP]),IF($H$2="GMAP Nova Friburgo",_xlfn.XLOOKUP(Cotação!A75,T_Fretes[Produto],T_Fretes[Frete GMAP Nova Friburgo]),IF($H$2="Guanabara",_xlfn.XLOOKUP(Cotação!A75,T_Fretes[Produto],T_Fretes[Frete Guanabara]),_xlfn.XLOOKUP(Cotação!A75,T_Custos[Produto],T_Custos[Frete]))))),0)+_xlfn.XLOOKUP(A75,T_Custos[Produto],T_Custos[Embalado])+_xlfn.XLOOKUP(Cotação!A75,T_Custos[Produto],T_Custos[Avaria]),"Em falta"))</f>
        <v>28.349999999999998</v>
      </c>
      <c r="E75" s="52">
        <f t="shared" si="1"/>
        <v>11.34</v>
      </c>
    </row>
    <row r="76" spans="1:5" x14ac:dyDescent="0.35">
      <c r="A76" s="50" t="str">
        <v>CAQUI 6</v>
      </c>
      <c r="B76" s="51">
        <v>6</v>
      </c>
      <c r="C76" s="51" t="str">
        <v>kg</v>
      </c>
      <c r="D76" s="52" cm="1">
        <f t="array" ref="D76">IF(A76="","",IFERROR(_xlfn.XLOOKUP(A76,T_Custos[Produto],T_Custos[Custo])*(1+$H$3)+IF($H$4="SIM",IF($H$2="Armazém do Grão",_xlfn.XLOOKUP(Cotação!A76,T_Custos[Produto],T_Fretes[Frete Grão]),IF($H$2="GMAP",_xlfn.XLOOKUP(Cotação!A76,T_Fretes[Produto],T_Fretes[Frete GMAP]),IF($H$2="GMAP Nova Friburgo",_xlfn.XLOOKUP(Cotação!A76,T_Fretes[Produto],T_Fretes[Frete GMAP Nova Friburgo]),IF($H$2="Guanabara",_xlfn.XLOOKUP(Cotação!A76,T_Fretes[Produto],T_Fretes[Frete Guanabara]),_xlfn.XLOOKUP(Cotação!A76,T_Custos[Produto],T_Custos[Frete]))))),0)+_xlfn.XLOOKUP(A76,T_Custos[Produto],T_Custos[Embalado])+_xlfn.XLOOKUP(Cotação!A76,T_Custos[Produto],T_Custos[Avaria]),"Em falta"))</f>
        <v>42.3</v>
      </c>
      <c r="E76" s="52">
        <f t="shared" si="1"/>
        <v>7.05</v>
      </c>
    </row>
    <row r="77" spans="1:5" x14ac:dyDescent="0.35">
      <c r="A77" s="50" t="str">
        <v>CAQUI RAMA FORTE</v>
      </c>
      <c r="B77" s="51">
        <v>13</v>
      </c>
      <c r="C77" s="51" t="str">
        <v>kg</v>
      </c>
      <c r="D77" s="52" t="str" cm="1">
        <f t="array" ref="D77">IF(A77="","",IFERROR(_xlfn.XLOOKUP(A77,T_Custos[Produto],T_Custos[Custo])*(1+$H$3)+IF($H$4="SIM",IF($H$2="Armazém do Grão",_xlfn.XLOOKUP(Cotação!A77,T_Custos[Produto],T_Fretes[Frete Grão]),IF($H$2="GMAP",_xlfn.XLOOKUP(Cotação!A77,T_Fretes[Produto],T_Fretes[Frete GMAP]),IF($H$2="GMAP Nova Friburgo",_xlfn.XLOOKUP(Cotação!A77,T_Fretes[Produto],T_Fretes[Frete GMAP Nova Friburgo]),IF($H$2="Guanabara",_xlfn.XLOOKUP(Cotação!A77,T_Fretes[Produto],T_Fretes[Frete Guanabara]),_xlfn.XLOOKUP(Cotação!A77,T_Custos[Produto],T_Custos[Frete]))))),0)+_xlfn.XLOOKUP(A77,T_Custos[Produto],T_Custos[Embalado])+_xlfn.XLOOKUP(Cotação!A77,T_Custos[Produto],T_Custos[Avaria]),"Em falta"))</f>
        <v>Em falta</v>
      </c>
      <c r="E77" s="52" t="str">
        <f t="shared" si="1"/>
        <v>Em falta</v>
      </c>
    </row>
    <row r="78" spans="1:5" x14ac:dyDescent="0.35">
      <c r="A78" s="50" t="str">
        <v>CARA</v>
      </c>
      <c r="B78" s="51">
        <v>15</v>
      </c>
      <c r="C78" s="51" t="str">
        <v>kg</v>
      </c>
      <c r="D78" s="52" cm="1">
        <f t="array" ref="D78">IF(A78="","",IFERROR(_xlfn.XLOOKUP(A78,T_Custos[Produto],T_Custos[Custo])*(1+$H$3)+IF($H$4="SIM",IF($H$2="Armazém do Grão",_xlfn.XLOOKUP(Cotação!A78,T_Custos[Produto],T_Fretes[Frete Grão]),IF($H$2="GMAP",_xlfn.XLOOKUP(Cotação!A78,T_Fretes[Produto],T_Fretes[Frete GMAP]),IF($H$2="GMAP Nova Friburgo",_xlfn.XLOOKUP(Cotação!A78,T_Fretes[Produto],T_Fretes[Frete GMAP Nova Friburgo]),IF($H$2="Guanabara",_xlfn.XLOOKUP(Cotação!A78,T_Fretes[Produto],T_Fretes[Frete Guanabara]),_xlfn.XLOOKUP(Cotação!A78,T_Custos[Produto],T_Custos[Frete]))))),0)+_xlfn.XLOOKUP(A78,T_Custos[Produto],T_Custos[Embalado])+_xlfn.XLOOKUP(Cotação!A78,T_Custos[Produto],T_Custos[Avaria]),"Em falta"))</f>
        <v>117.74999999999999</v>
      </c>
      <c r="E78" s="52">
        <f t="shared" si="1"/>
        <v>7.8499999999999988</v>
      </c>
    </row>
    <row r="79" spans="1:5" x14ac:dyDescent="0.35">
      <c r="A79" s="50" t="str">
        <v xml:space="preserve">CARAMBOLA </v>
      </c>
      <c r="B79" s="51">
        <v>1</v>
      </c>
      <c r="C79" s="51" t="str">
        <v>kg</v>
      </c>
      <c r="D79" s="52" t="str" cm="1">
        <f t="array" ref="D79">IF(A79="","",IFERROR(_xlfn.XLOOKUP(A79,T_Custos[Produto],T_Custos[Custo])*(1+$H$3)+IF($H$4="SIM",IF($H$2="Armazém do Grão",_xlfn.XLOOKUP(Cotação!A79,T_Custos[Produto],T_Fretes[Frete Grão]),IF($H$2="GMAP",_xlfn.XLOOKUP(Cotação!A79,T_Fretes[Produto],T_Fretes[Frete GMAP]),IF($H$2="GMAP Nova Friburgo",_xlfn.XLOOKUP(Cotação!A79,T_Fretes[Produto],T_Fretes[Frete GMAP Nova Friburgo]),IF($H$2="Guanabara",_xlfn.XLOOKUP(Cotação!A79,T_Fretes[Produto],T_Fretes[Frete Guanabara]),_xlfn.XLOOKUP(Cotação!A79,T_Custos[Produto],T_Custos[Frete]))))),0)+_xlfn.XLOOKUP(A79,T_Custos[Produto],T_Custos[Embalado])+_xlfn.XLOOKUP(Cotação!A79,T_Custos[Produto],T_Custos[Avaria]),"Em falta"))</f>
        <v>Em falta</v>
      </c>
      <c r="E79" s="52" t="str">
        <f t="shared" si="1"/>
        <v>Em falta</v>
      </c>
    </row>
    <row r="80" spans="1:5" x14ac:dyDescent="0.35">
      <c r="A80" s="50" t="str">
        <v>CEBOLA BRANCA</v>
      </c>
      <c r="B80" s="51">
        <v>19</v>
      </c>
      <c r="C80" s="51" t="str">
        <v>kg</v>
      </c>
      <c r="D80" s="52" t="str" cm="1">
        <f t="array" ref="D80">IF(A80="","",IFERROR(_xlfn.XLOOKUP(A80,T_Custos[Produto],T_Custos[Custo])*(1+$H$3)+IF($H$4="SIM",IF($H$2="Armazém do Grão",_xlfn.XLOOKUP(Cotação!A80,T_Custos[Produto],T_Fretes[Frete Grão]),IF($H$2="GMAP",_xlfn.XLOOKUP(Cotação!A80,T_Fretes[Produto],T_Fretes[Frete GMAP]),IF($H$2="GMAP Nova Friburgo",_xlfn.XLOOKUP(Cotação!A80,T_Fretes[Produto],T_Fretes[Frete GMAP Nova Friburgo]),IF($H$2="Guanabara",_xlfn.XLOOKUP(Cotação!A80,T_Fretes[Produto],T_Fretes[Frete Guanabara]),_xlfn.XLOOKUP(Cotação!A80,T_Custos[Produto],T_Custos[Frete]))))),0)+_xlfn.XLOOKUP(A80,T_Custos[Produto],T_Custos[Embalado])+_xlfn.XLOOKUP(Cotação!A80,T_Custos[Produto],T_Custos[Avaria]),"Em falta"))</f>
        <v>Em falta</v>
      </c>
      <c r="E80" s="52" t="str">
        <f t="shared" si="1"/>
        <v>Em falta</v>
      </c>
    </row>
    <row r="81" spans="1:5" x14ac:dyDescent="0.35">
      <c r="A81" s="53" t="str">
        <v>CEBOLA CHALOTA</v>
      </c>
      <c r="B81" s="51">
        <v>19</v>
      </c>
      <c r="C81" s="51" t="str">
        <v>kg</v>
      </c>
      <c r="D81" s="52" t="str" cm="1">
        <f t="array" ref="D81">IF(A81="","",IFERROR(_xlfn.XLOOKUP(A81,T_Custos[Produto],T_Custos[Custo])*(1+$H$3)+IF($H$4="SIM",IF($H$2="Armazém do Grão",_xlfn.XLOOKUP(Cotação!A81,T_Custos[Produto],T_Fretes[Frete Grão]),IF($H$2="GMAP",_xlfn.XLOOKUP(Cotação!A81,T_Fretes[Produto],T_Fretes[Frete GMAP]),IF($H$2="GMAP Nova Friburgo",_xlfn.XLOOKUP(Cotação!A81,T_Fretes[Produto],T_Fretes[Frete GMAP Nova Friburgo]),IF($H$2="Guanabara",_xlfn.XLOOKUP(Cotação!A81,T_Fretes[Produto],T_Fretes[Frete Guanabara]),_xlfn.XLOOKUP(Cotação!A81,T_Custos[Produto],T_Custos[Frete]))))),0)+_xlfn.XLOOKUP(A81,T_Custos[Produto],T_Custos[Embalado])+_xlfn.XLOOKUP(Cotação!A81,T_Custos[Produto],T_Custos[Avaria]),"Em falta"))</f>
        <v>Em falta</v>
      </c>
      <c r="E81" s="52" t="str">
        <f t="shared" si="1"/>
        <v>Em falta</v>
      </c>
    </row>
    <row r="82" spans="1:5" x14ac:dyDescent="0.35">
      <c r="A82" s="53" t="str">
        <v>CEBOLA NACIONAL CX1</v>
      </c>
      <c r="B82" s="51">
        <v>19</v>
      </c>
      <c r="C82" s="51" t="str">
        <v>kg</v>
      </c>
      <c r="D82" s="52" t="str" cm="1">
        <f t="array" ref="D82">IF(A82="","",IFERROR(_xlfn.XLOOKUP(A82,T_Custos[Produto],T_Custos[Custo])*(1+$H$3)+IF($H$4="SIM",IF($H$2="Armazém do Grão",_xlfn.XLOOKUP(Cotação!A82,T_Custos[Produto],T_Fretes[Frete Grão]),IF($H$2="GMAP",_xlfn.XLOOKUP(Cotação!A82,T_Fretes[Produto],T_Fretes[Frete GMAP]),IF($H$2="GMAP Nova Friburgo",_xlfn.XLOOKUP(Cotação!A82,T_Fretes[Produto],T_Fretes[Frete GMAP Nova Friburgo]),IF($H$2="Guanabara",_xlfn.XLOOKUP(Cotação!A82,T_Fretes[Produto],T_Fretes[Frete Guanabara]),_xlfn.XLOOKUP(Cotação!A82,T_Custos[Produto],T_Custos[Frete]))))),0)+_xlfn.XLOOKUP(A82,T_Custos[Produto],T_Custos[Embalado])+_xlfn.XLOOKUP(Cotação!A82,T_Custos[Produto],T_Custos[Avaria]),"Em falta"))</f>
        <v>Em falta</v>
      </c>
      <c r="E82" s="52" t="str">
        <f t="shared" si="1"/>
        <v>Em falta</v>
      </c>
    </row>
    <row r="83" spans="1:5" x14ac:dyDescent="0.35">
      <c r="A83" s="50" t="str">
        <v>CEBOLA NACIONAL CX2</v>
      </c>
      <c r="B83" s="51">
        <v>19</v>
      </c>
      <c r="C83" s="51" t="str">
        <v>kg</v>
      </c>
      <c r="D83" s="52" cm="1">
        <f t="array" ref="D83">IF(A83="","",IFERROR(_xlfn.XLOOKUP(A83,T_Custos[Produto],T_Custos[Custo])*(1+$H$3)+IF($H$4="SIM",IF($H$2="Armazém do Grão",_xlfn.XLOOKUP(Cotação!A83,T_Custos[Produto],T_Fretes[Frete Grão]),IF($H$2="GMAP",_xlfn.XLOOKUP(Cotação!A83,T_Fretes[Produto],T_Fretes[Frete GMAP]),IF($H$2="GMAP Nova Friburgo",_xlfn.XLOOKUP(Cotação!A83,T_Fretes[Produto],T_Fretes[Frete GMAP Nova Friburgo]),IF($H$2="Guanabara",_xlfn.XLOOKUP(Cotação!A83,T_Fretes[Produto],T_Fretes[Frete Guanabara]),_xlfn.XLOOKUP(Cotação!A83,T_Custos[Produto],T_Custos[Frete]))))),0)+_xlfn.XLOOKUP(A83,T_Custos[Produto],T_Custos[Embalado])+_xlfn.XLOOKUP(Cotação!A83,T_Custos[Produto],T_Custos[Avaria]),"Em falta"))</f>
        <v>45.3</v>
      </c>
      <c r="E83" s="52">
        <f t="shared" si="1"/>
        <v>2.3842105263157891</v>
      </c>
    </row>
    <row r="84" spans="1:5" x14ac:dyDescent="0.35">
      <c r="A84" s="50" t="str">
        <v>CEBOLA NACIONAL CX3</v>
      </c>
      <c r="B84" s="51">
        <v>19</v>
      </c>
      <c r="C84" s="51" t="str">
        <v>kg</v>
      </c>
      <c r="D84" s="52" cm="1">
        <f t="array" ref="D84">IF(A84="","",IFERROR(_xlfn.XLOOKUP(A84,T_Custos[Produto],T_Custos[Custo])*(1+$H$3)+IF($H$4="SIM",IF($H$2="Armazém do Grão",_xlfn.XLOOKUP(Cotação!A84,T_Custos[Produto],T_Fretes[Frete Grão]),IF($H$2="GMAP",_xlfn.XLOOKUP(Cotação!A84,T_Fretes[Produto],T_Fretes[Frete GMAP]),IF($H$2="GMAP Nova Friburgo",_xlfn.XLOOKUP(Cotação!A84,T_Fretes[Produto],T_Fretes[Frete GMAP Nova Friburgo]),IF($H$2="Guanabara",_xlfn.XLOOKUP(Cotação!A84,T_Fretes[Produto],T_Fretes[Frete Guanabara]),_xlfn.XLOOKUP(Cotação!A84,T_Custos[Produto],T_Custos[Frete]))))),0)+_xlfn.XLOOKUP(A84,T_Custos[Produto],T_Custos[Embalado])+_xlfn.XLOOKUP(Cotação!A84,T_Custos[Produto],T_Custos[Avaria]),"Em falta"))</f>
        <v>48.75</v>
      </c>
      <c r="E84" s="52">
        <f t="shared" si="1"/>
        <v>2.5657894736842106</v>
      </c>
    </row>
    <row r="85" spans="1:5" ht="15.5" x14ac:dyDescent="0.35">
      <c r="A85" s="54" t="str">
        <v>CEBOLA NACIONAL CX4</v>
      </c>
      <c r="B85" s="51">
        <v>19</v>
      </c>
      <c r="C85" s="51" t="str">
        <v>kg</v>
      </c>
      <c r="D85" s="52" cm="1">
        <f t="array" ref="D85">IF(A85="","",IFERROR(_xlfn.XLOOKUP(A85,T_Custos[Produto],T_Custos[Custo])*(1+$H$3)+IF($H$4="SIM",IF($H$2="Armazém do Grão",_xlfn.XLOOKUP(Cotação!A85,T_Custos[Produto],T_Fretes[Frete Grão]),IF($H$2="GMAP",_xlfn.XLOOKUP(Cotação!A85,T_Fretes[Produto],T_Fretes[Frete GMAP]),IF($H$2="GMAP Nova Friburgo",_xlfn.XLOOKUP(Cotação!A85,T_Fretes[Produto],T_Fretes[Frete GMAP Nova Friburgo]),IF($H$2="Guanabara",_xlfn.XLOOKUP(Cotação!A85,T_Fretes[Produto],T_Fretes[Frete Guanabara]),_xlfn.XLOOKUP(Cotação!A85,T_Custos[Produto],T_Custos[Frete]))))),0)+_xlfn.XLOOKUP(A85,T_Custos[Produto],T_Custos[Embalado])+_xlfn.XLOOKUP(Cotação!A85,T_Custos[Produto],T_Custos[Avaria]),"Em falta"))</f>
        <v>46.449999999999996</v>
      </c>
      <c r="E85" s="52">
        <f t="shared" si="1"/>
        <v>2.4447368421052631</v>
      </c>
    </row>
    <row r="86" spans="1:5" x14ac:dyDescent="0.35">
      <c r="A86" s="50" t="str">
        <v>CEBOLA PIRULITO SAQUINHO</v>
      </c>
      <c r="B86" s="51">
        <v>1</v>
      </c>
      <c r="C86" s="51" t="str">
        <v>kg</v>
      </c>
      <c r="D86" s="52" cm="1">
        <f t="array" ref="D86">IF(A86="","",IFERROR(_xlfn.XLOOKUP(A86,T_Custos[Produto],T_Custos[Custo])*(1+$H$3)+IF($H$4="SIM",IF($H$2="Armazém do Grão",_xlfn.XLOOKUP(Cotação!A86,T_Custos[Produto],T_Fretes[Frete Grão]),IF($H$2="GMAP",_xlfn.XLOOKUP(Cotação!A86,T_Fretes[Produto],T_Fretes[Frete GMAP]),IF($H$2="GMAP Nova Friburgo",_xlfn.XLOOKUP(Cotação!A86,T_Fretes[Produto],T_Fretes[Frete GMAP Nova Friburgo]),IF($H$2="Guanabara",_xlfn.XLOOKUP(Cotação!A86,T_Fretes[Produto],T_Fretes[Frete Guanabara]),_xlfn.XLOOKUP(Cotação!A86,T_Custos[Produto],T_Custos[Frete]))))),0)+_xlfn.XLOOKUP(A86,T_Custos[Produto],T_Custos[Embalado])+_xlfn.XLOOKUP(Cotação!A86,T_Custos[Produto],T_Custos[Avaria]),"Em falta"))</f>
        <v>4.6500000000000004</v>
      </c>
      <c r="E86" s="52">
        <f t="shared" si="1"/>
        <v>4.6500000000000004</v>
      </c>
    </row>
    <row r="87" spans="1:5" ht="15.5" x14ac:dyDescent="0.35">
      <c r="A87" s="54" t="str">
        <v>CEBOLA ROXA</v>
      </c>
      <c r="B87" s="51">
        <v>19</v>
      </c>
      <c r="C87" s="51" t="str">
        <v>kg</v>
      </c>
      <c r="D87" s="52" cm="1">
        <f t="array" ref="D87">IF(A87="","",IFERROR(_xlfn.XLOOKUP(A87,T_Custos[Produto],T_Custos[Custo])*(1+$H$3)+IF($H$4="SIM",IF($H$2="Armazém do Grão",_xlfn.XLOOKUP(Cotação!A87,T_Custos[Produto],T_Fretes[Frete Grão]),IF($H$2="GMAP",_xlfn.XLOOKUP(Cotação!A87,T_Fretes[Produto],T_Fretes[Frete GMAP]),IF($H$2="GMAP Nova Friburgo",_xlfn.XLOOKUP(Cotação!A87,T_Fretes[Produto],T_Fretes[Frete GMAP Nova Friburgo]),IF($H$2="Guanabara",_xlfn.XLOOKUP(Cotação!A87,T_Fretes[Produto],T_Fretes[Frete Guanabara]),_xlfn.XLOOKUP(Cotação!A87,T_Custos[Produto],T_Custos[Frete]))))),0)+_xlfn.XLOOKUP(A87,T_Custos[Produto],T_Custos[Embalado])+_xlfn.XLOOKUP(Cotação!A87,T_Custos[Produto],T_Custos[Avaria]),"Em falta"))</f>
        <v>100.5</v>
      </c>
      <c r="E87" s="52">
        <f t="shared" si="1"/>
        <v>5.2894736842105265</v>
      </c>
    </row>
    <row r="88" spans="1:5" x14ac:dyDescent="0.35">
      <c r="A88" s="50" t="str">
        <v>CEBOLA ROXA SAQUINHO</v>
      </c>
      <c r="B88" s="51">
        <v>1</v>
      </c>
      <c r="C88" s="51" t="str">
        <v>kg</v>
      </c>
      <c r="D88" s="52" cm="1">
        <f t="array" ref="D88">IF(A88="","",IFERROR(_xlfn.XLOOKUP(A88,T_Custos[Produto],T_Custos[Custo])*(1+$H$3)+IF($H$4="SIM",IF($H$2="Armazém do Grão",_xlfn.XLOOKUP(Cotação!A88,T_Custos[Produto],T_Fretes[Frete Grão]),IF($H$2="GMAP",_xlfn.XLOOKUP(Cotação!A88,T_Fretes[Produto],T_Fretes[Frete GMAP]),IF($H$2="GMAP Nova Friburgo",_xlfn.XLOOKUP(Cotação!A88,T_Fretes[Produto],T_Fretes[Frete GMAP Nova Friburgo]),IF($H$2="Guanabara",_xlfn.XLOOKUP(Cotação!A88,T_Fretes[Produto],T_Fretes[Frete Guanabara]),_xlfn.XLOOKUP(Cotação!A88,T_Custos[Produto],T_Custos[Frete]))))),0)+_xlfn.XLOOKUP(A88,T_Custos[Produto],T_Custos[Embalado])+_xlfn.XLOOKUP(Cotação!A88,T_Custos[Produto],T_Custos[Avaria]),"Em falta"))</f>
        <v>6.7199999999999989</v>
      </c>
      <c r="E88" s="52">
        <f t="shared" si="1"/>
        <v>6.7199999999999989</v>
      </c>
    </row>
    <row r="89" spans="1:5" x14ac:dyDescent="0.35">
      <c r="A89" s="50" t="str">
        <v>CEBOLINHA KG</v>
      </c>
      <c r="B89" s="51">
        <v>1</v>
      </c>
      <c r="C89" s="51" t="str">
        <v>kg</v>
      </c>
      <c r="D89" s="52" cm="1">
        <f t="array" ref="D89">IF(A89="","",IFERROR(_xlfn.XLOOKUP(A89,T_Custos[Produto],T_Custos[Custo])*(1+$H$3)+IF($H$4="SIM",IF($H$2="Armazém do Grão",_xlfn.XLOOKUP(Cotação!A89,T_Custos[Produto],T_Fretes[Frete Grão]),IF($H$2="GMAP",_xlfn.XLOOKUP(Cotação!A89,T_Fretes[Produto],T_Fretes[Frete GMAP]),IF($H$2="GMAP Nova Friburgo",_xlfn.XLOOKUP(Cotação!A89,T_Fretes[Produto],T_Fretes[Frete GMAP Nova Friburgo]),IF($H$2="Guanabara",_xlfn.XLOOKUP(Cotação!A89,T_Fretes[Produto],T_Fretes[Frete Guanabara]),_xlfn.XLOOKUP(Cotação!A89,T_Custos[Produto],T_Custos[Frete]))))),0)+_xlfn.XLOOKUP(A89,T_Custos[Produto],T_Custos[Embalado])+_xlfn.XLOOKUP(Cotação!A89,T_Custos[Produto],T_Custos[Avaria]),"Em falta"))</f>
        <v>10.75</v>
      </c>
      <c r="E89" s="52">
        <f t="shared" si="1"/>
        <v>10.75</v>
      </c>
    </row>
    <row r="90" spans="1:5" x14ac:dyDescent="0.35">
      <c r="A90" s="50" t="str">
        <v>CENOURA 3A</v>
      </c>
      <c r="B90" s="51">
        <v>20</v>
      </c>
      <c r="C90" s="51" t="str">
        <v>kg</v>
      </c>
      <c r="D90" s="52" cm="1">
        <f t="array" ref="D90">IF(A90="","",IFERROR(_xlfn.XLOOKUP(A90,T_Custos[Produto],T_Custos[Custo])*(1+$H$3)+IF($H$4="SIM",IF($H$2="Armazém do Grão",_xlfn.XLOOKUP(Cotação!A90,T_Custos[Produto],T_Fretes[Frete Grão]),IF($H$2="GMAP",_xlfn.XLOOKUP(Cotação!A90,T_Fretes[Produto],T_Fretes[Frete GMAP]),IF($H$2="GMAP Nova Friburgo",_xlfn.XLOOKUP(Cotação!A90,T_Fretes[Produto],T_Fretes[Frete GMAP Nova Friburgo]),IF($H$2="Guanabara",_xlfn.XLOOKUP(Cotação!A90,T_Fretes[Produto],T_Fretes[Frete Guanabara]),_xlfn.XLOOKUP(Cotação!A90,T_Custos[Produto],T_Custos[Frete]))))),0)+_xlfn.XLOOKUP(A90,T_Custos[Produto],T_Custos[Embalado])+_xlfn.XLOOKUP(Cotação!A90,T_Custos[Produto],T_Custos[Avaria]),"Em falta"))</f>
        <v>52.774999999999999</v>
      </c>
      <c r="E90" s="52">
        <f t="shared" si="1"/>
        <v>2.6387499999999999</v>
      </c>
    </row>
    <row r="91" spans="1:5" x14ac:dyDescent="0.35">
      <c r="A91" s="50" t="str">
        <v xml:space="preserve">CENOURA S/ SELEÇÃO </v>
      </c>
      <c r="B91" s="51">
        <v>20</v>
      </c>
      <c r="C91" s="51" t="str">
        <v>kg</v>
      </c>
      <c r="D91" s="52" t="str" cm="1">
        <f t="array" ref="D91">IF(A91="","",IFERROR(_xlfn.XLOOKUP(A91,T_Custos[Produto],T_Custos[Custo])*(1+$H$3)+IF($H$4="SIM",IF($H$2="Armazém do Grão",_xlfn.XLOOKUP(Cotação!A91,T_Custos[Produto],T_Fretes[Frete Grão]),IF($H$2="GMAP",_xlfn.XLOOKUP(Cotação!A91,T_Fretes[Produto],T_Fretes[Frete GMAP]),IF($H$2="GMAP Nova Friburgo",_xlfn.XLOOKUP(Cotação!A91,T_Fretes[Produto],T_Fretes[Frete GMAP Nova Friburgo]),IF($H$2="Guanabara",_xlfn.XLOOKUP(Cotação!A91,T_Fretes[Produto],T_Fretes[Frete Guanabara]),_xlfn.XLOOKUP(Cotação!A91,T_Custos[Produto],T_Custos[Frete]))))),0)+_xlfn.XLOOKUP(A91,T_Custos[Produto],T_Custos[Embalado])+_xlfn.XLOOKUP(Cotação!A91,T_Custos[Produto],T_Custos[Avaria]),"Em falta"))</f>
        <v>Em falta</v>
      </c>
      <c r="E91" s="52" t="str">
        <f t="shared" si="1"/>
        <v>Em falta</v>
      </c>
    </row>
    <row r="92" spans="1:5" x14ac:dyDescent="0.35">
      <c r="A92" s="50" t="str">
        <v>CEREJA</v>
      </c>
      <c r="B92" s="51">
        <v>5</v>
      </c>
      <c r="C92" s="51" t="str">
        <v>kg</v>
      </c>
      <c r="D92" s="52" t="str" cm="1">
        <f t="array" ref="D92">IF(A92="","",IFERROR(_xlfn.XLOOKUP(A92,T_Custos[Produto],T_Custos[Custo])*(1+$H$3)+IF($H$4="SIM",IF($H$2="Armazém do Grão",_xlfn.XLOOKUP(Cotação!A92,T_Custos[Produto],T_Fretes[Frete Grão]),IF($H$2="GMAP",_xlfn.XLOOKUP(Cotação!A92,T_Fretes[Produto],T_Fretes[Frete GMAP]),IF($H$2="GMAP Nova Friburgo",_xlfn.XLOOKUP(Cotação!A92,T_Fretes[Produto],T_Fretes[Frete GMAP Nova Friburgo]),IF($H$2="Guanabara",_xlfn.XLOOKUP(Cotação!A92,T_Fretes[Produto],T_Fretes[Frete Guanabara]),_xlfn.XLOOKUP(Cotação!A92,T_Custos[Produto],T_Custos[Frete]))))),0)+_xlfn.XLOOKUP(A92,T_Custos[Produto],T_Custos[Embalado])+_xlfn.XLOOKUP(Cotação!A92,T_Custos[Produto],T_Custos[Avaria]),"Em falta"))</f>
        <v>Em falta</v>
      </c>
      <c r="E92" s="52" t="str">
        <f t="shared" si="1"/>
        <v>Em falta</v>
      </c>
    </row>
    <row r="93" spans="1:5" x14ac:dyDescent="0.35">
      <c r="A93" s="50" t="str">
        <v>CEREJA 10</v>
      </c>
      <c r="B93" s="51">
        <v>10</v>
      </c>
      <c r="C93" s="51" t="str">
        <v>kg</v>
      </c>
      <c r="D93" s="52" t="str" cm="1">
        <f t="array" ref="D93">IF(A93="","",IFERROR(_xlfn.XLOOKUP(A93,T_Custos[Produto],T_Custos[Custo])*(1+$H$3)+IF($H$4="SIM",IF($H$2="Armazém do Grão",_xlfn.XLOOKUP(Cotação!A93,T_Custos[Produto],T_Fretes[Frete Grão]),IF($H$2="GMAP",_xlfn.XLOOKUP(Cotação!A93,T_Fretes[Produto],T_Fretes[Frete GMAP]),IF($H$2="GMAP Nova Friburgo",_xlfn.XLOOKUP(Cotação!A93,T_Fretes[Produto],T_Fretes[Frete GMAP Nova Friburgo]),IF($H$2="Guanabara",_xlfn.XLOOKUP(Cotação!A93,T_Fretes[Produto],T_Fretes[Frete Guanabara]),_xlfn.XLOOKUP(Cotação!A93,T_Custos[Produto],T_Custos[Frete]))))),0)+_xlfn.XLOOKUP(A93,T_Custos[Produto],T_Custos[Embalado])+_xlfn.XLOOKUP(Cotação!A93,T_Custos[Produto],T_Custos[Avaria]),"Em falta"))</f>
        <v>Em falta</v>
      </c>
      <c r="E93" s="52" t="str">
        <f t="shared" si="1"/>
        <v>Em falta</v>
      </c>
    </row>
    <row r="94" spans="1:5" x14ac:dyDescent="0.35">
      <c r="A94" s="50" t="str">
        <v>CEREJA BD</v>
      </c>
      <c r="B94" s="51">
        <v>1</v>
      </c>
      <c r="C94" s="51" t="str">
        <v>bd</v>
      </c>
      <c r="D94" s="52" t="str" cm="1">
        <f t="array" ref="D94">IF(A94="","",IFERROR(_xlfn.XLOOKUP(A94,T_Custos[Produto],T_Custos[Custo])*(1+$H$3)+IF($H$4="SIM",IF($H$2="Armazém do Grão",_xlfn.XLOOKUP(Cotação!A94,T_Custos[Produto],T_Fretes[Frete Grão]),IF($H$2="GMAP",_xlfn.XLOOKUP(Cotação!A94,T_Fretes[Produto],T_Fretes[Frete GMAP]),IF($H$2="GMAP Nova Friburgo",_xlfn.XLOOKUP(Cotação!A94,T_Fretes[Produto],T_Fretes[Frete GMAP Nova Friburgo]),IF($H$2="Guanabara",_xlfn.XLOOKUP(Cotação!A94,T_Fretes[Produto],T_Fretes[Frete Guanabara]),_xlfn.XLOOKUP(Cotação!A94,T_Custos[Produto],T_Custos[Frete]))))),0)+_xlfn.XLOOKUP(A94,T_Custos[Produto],T_Custos[Embalado])+_xlfn.XLOOKUP(Cotação!A94,T_Custos[Produto],T_Custos[Avaria]),"Em falta"))</f>
        <v>Em falta</v>
      </c>
      <c r="E94" s="52" t="str">
        <f t="shared" si="1"/>
        <v>Em falta</v>
      </c>
    </row>
    <row r="95" spans="1:5" x14ac:dyDescent="0.35">
      <c r="A95" s="53" t="str">
        <v>CEREJA JUMBO</v>
      </c>
      <c r="B95" s="51">
        <v>5</v>
      </c>
      <c r="C95" s="51" t="str">
        <v>kg</v>
      </c>
      <c r="D95" s="52" t="str" cm="1">
        <f t="array" ref="D95">IF(A95="","",IFERROR(_xlfn.XLOOKUP(A95,T_Custos[Produto],T_Custos[Custo])*(1+$H$3)+IF($H$4="SIM",IF($H$2="Armazém do Grão",_xlfn.XLOOKUP(Cotação!A95,T_Custos[Produto],T_Fretes[Frete Grão]),IF($H$2="GMAP",_xlfn.XLOOKUP(Cotação!A95,T_Fretes[Produto],T_Fretes[Frete GMAP]),IF($H$2="GMAP Nova Friburgo",_xlfn.XLOOKUP(Cotação!A95,T_Fretes[Produto],T_Fretes[Frete GMAP Nova Friburgo]),IF($H$2="Guanabara",_xlfn.XLOOKUP(Cotação!A95,T_Fretes[Produto],T_Fretes[Frete Guanabara]),_xlfn.XLOOKUP(Cotação!A95,T_Custos[Produto],T_Custos[Frete]))))),0)+_xlfn.XLOOKUP(A95,T_Custos[Produto],T_Custos[Embalado])+_xlfn.XLOOKUP(Cotação!A95,T_Custos[Produto],T_Custos[Avaria]),"Em falta"))</f>
        <v>Em falta</v>
      </c>
      <c r="E95" s="52" t="str">
        <f t="shared" si="1"/>
        <v>Em falta</v>
      </c>
    </row>
    <row r="96" spans="1:5" x14ac:dyDescent="0.35">
      <c r="A96" s="50" t="str">
        <v>CHEIRO VERDE KG</v>
      </c>
      <c r="B96" s="51">
        <v>1</v>
      </c>
      <c r="C96" s="51" t="str">
        <v>kg</v>
      </c>
      <c r="D96" s="52" cm="1">
        <f t="array" ref="D96">IF(A96="","",IFERROR(_xlfn.XLOOKUP(A96,T_Custos[Produto],T_Custos[Custo])*(1+$H$3)+IF($H$4="SIM",IF($H$2="Armazém do Grão",_xlfn.XLOOKUP(Cotação!A96,T_Custos[Produto],T_Fretes[Frete Grão]),IF($H$2="GMAP",_xlfn.XLOOKUP(Cotação!A96,T_Fretes[Produto],T_Fretes[Frete GMAP]),IF($H$2="GMAP Nova Friburgo",_xlfn.XLOOKUP(Cotação!A96,T_Fretes[Produto],T_Fretes[Frete GMAP Nova Friburgo]),IF($H$2="Guanabara",_xlfn.XLOOKUP(Cotação!A96,T_Fretes[Produto],T_Fretes[Frete Guanabara]),_xlfn.XLOOKUP(Cotação!A96,T_Custos[Produto],T_Custos[Frete]))))),0)+_xlfn.XLOOKUP(A96,T_Custos[Produto],T_Custos[Embalado])+_xlfn.XLOOKUP(Cotação!A96,T_Custos[Produto],T_Custos[Avaria]),"Em falta"))</f>
        <v>18.799999999999997</v>
      </c>
      <c r="E96" s="52">
        <f t="shared" si="1"/>
        <v>18.799999999999997</v>
      </c>
    </row>
    <row r="97" spans="1:5" ht="15.5" x14ac:dyDescent="0.35">
      <c r="A97" s="54" t="str">
        <v>CHICORIA KG</v>
      </c>
      <c r="B97" s="51">
        <v>1</v>
      </c>
      <c r="C97" s="51" t="str">
        <v>kg</v>
      </c>
      <c r="D97" s="52" cm="1">
        <f t="array" ref="D97">IF(A97="","",IFERROR(_xlfn.XLOOKUP(A97,T_Custos[Produto],T_Custos[Custo])*(1+$H$3)+IF($H$4="SIM",IF($H$2="Armazém do Grão",_xlfn.XLOOKUP(Cotação!A97,T_Custos[Produto],T_Fretes[Frete Grão]),IF($H$2="GMAP",_xlfn.XLOOKUP(Cotação!A97,T_Fretes[Produto],T_Fretes[Frete GMAP]),IF($H$2="GMAP Nova Friburgo",_xlfn.XLOOKUP(Cotação!A97,T_Fretes[Produto],T_Fretes[Frete GMAP Nova Friburgo]),IF($H$2="Guanabara",_xlfn.XLOOKUP(Cotação!A97,T_Fretes[Produto],T_Fretes[Frete Guanabara]),_xlfn.XLOOKUP(Cotação!A97,T_Custos[Produto],T_Custos[Frete]))))),0)+_xlfn.XLOOKUP(A97,T_Custos[Produto],T_Custos[Embalado])+_xlfn.XLOOKUP(Cotação!A97,T_Custos[Produto],T_Custos[Avaria]),"Em falta"))</f>
        <v>7.0699999999999994</v>
      </c>
      <c r="E97" s="52">
        <f t="shared" si="1"/>
        <v>7.0699999999999994</v>
      </c>
    </row>
    <row r="98" spans="1:5" x14ac:dyDescent="0.35">
      <c r="A98" s="50" t="str">
        <v>CHUCHU</v>
      </c>
      <c r="B98" s="51">
        <v>18</v>
      </c>
      <c r="C98" s="51" t="str">
        <v>kg</v>
      </c>
      <c r="D98" s="52" cm="1">
        <f t="array" ref="D98">IF(A98="","",IFERROR(_xlfn.XLOOKUP(A98,T_Custos[Produto],T_Custos[Custo])*(1+$H$3)+IF($H$4="SIM",IF($H$2="Armazém do Grão",_xlfn.XLOOKUP(Cotação!A98,T_Custos[Produto],T_Fretes[Frete Grão]),IF($H$2="GMAP",_xlfn.XLOOKUP(Cotação!A98,T_Fretes[Produto],T_Fretes[Frete GMAP]),IF($H$2="GMAP Nova Friburgo",_xlfn.XLOOKUP(Cotação!A98,T_Fretes[Produto],T_Fretes[Frete GMAP Nova Friburgo]),IF($H$2="Guanabara",_xlfn.XLOOKUP(Cotação!A98,T_Fretes[Produto],T_Fretes[Frete Guanabara]),_xlfn.XLOOKUP(Cotação!A98,T_Custos[Produto],T_Custos[Frete]))))),0)+_xlfn.XLOOKUP(A98,T_Custos[Produto],T_Custos[Embalado])+_xlfn.XLOOKUP(Cotação!A98,T_Custos[Produto],T_Custos[Avaria]),"Em falta"))</f>
        <v>54.5</v>
      </c>
      <c r="E98" s="52">
        <f t="shared" si="1"/>
        <v>3.0277777777777777</v>
      </c>
    </row>
    <row r="99" spans="1:5" x14ac:dyDescent="0.35">
      <c r="A99" s="50" t="str">
        <v>COCO SECO</v>
      </c>
      <c r="B99" s="51">
        <v>15</v>
      </c>
      <c r="C99" s="51" t="str">
        <v>kg</v>
      </c>
      <c r="D99" s="52" cm="1">
        <f t="array" ref="D99">IF(A99="","",IFERROR(_xlfn.XLOOKUP(A99,T_Custos[Produto],T_Custos[Custo])*(1+$H$3)+IF($H$4="SIM",IF($H$2="Armazém do Grão",_xlfn.XLOOKUP(Cotação!A99,T_Custos[Produto],T_Fretes[Frete Grão]),IF($H$2="GMAP",_xlfn.XLOOKUP(Cotação!A99,T_Fretes[Produto],T_Fretes[Frete GMAP]),IF($H$2="GMAP Nova Friburgo",_xlfn.XLOOKUP(Cotação!A99,T_Fretes[Produto],T_Fretes[Frete GMAP Nova Friburgo]),IF($H$2="Guanabara",_xlfn.XLOOKUP(Cotação!A99,T_Fretes[Produto],T_Fretes[Frete Guanabara]),_xlfn.XLOOKUP(Cotação!A99,T_Custos[Produto],T_Custos[Frete]))))),0)+_xlfn.XLOOKUP(A99,T_Custos[Produto],T_Custos[Embalado])+_xlfn.XLOOKUP(Cotação!A99,T_Custos[Produto],T_Custos[Avaria]),"Em falta"))</f>
        <v>100.7</v>
      </c>
      <c r="E99" s="52">
        <f t="shared" si="1"/>
        <v>6.7133333333333338</v>
      </c>
    </row>
    <row r="100" spans="1:5" x14ac:dyDescent="0.35">
      <c r="A100" s="50" t="str">
        <v>COCO SECO UNIDADE</v>
      </c>
      <c r="B100" s="51">
        <v>1</v>
      </c>
      <c r="C100" s="51" t="str">
        <v>un</v>
      </c>
      <c r="D100" s="52" cm="1">
        <f t="array" ref="D100">IF(A100="","",IFERROR(_xlfn.XLOOKUP(A100,T_Custos[Produto],T_Custos[Custo])*(1+$H$3)+IF($H$4="SIM",IF($H$2="Armazém do Grão",_xlfn.XLOOKUP(Cotação!A100,T_Custos[Produto],T_Fretes[Frete Grão]),IF($H$2="GMAP",_xlfn.XLOOKUP(Cotação!A100,T_Fretes[Produto],T_Fretes[Frete GMAP]),IF($H$2="GMAP Nova Friburgo",_xlfn.XLOOKUP(Cotação!A100,T_Fretes[Produto],T_Fretes[Frete GMAP Nova Friburgo]),IF($H$2="Guanabara",_xlfn.XLOOKUP(Cotação!A100,T_Fretes[Produto],T_Fretes[Frete Guanabara]),_xlfn.XLOOKUP(Cotação!A100,T_Custos[Produto],T_Custos[Frete]))))),0)+_xlfn.XLOOKUP(A100,T_Custos[Produto],T_Custos[Embalado])+_xlfn.XLOOKUP(Cotação!A100,T_Custos[Produto],T_Custos[Avaria]),"Em falta"))</f>
        <v>6.2799999999999994</v>
      </c>
      <c r="E100" s="52">
        <f t="shared" si="1"/>
        <v>6.2799999999999994</v>
      </c>
    </row>
    <row r="101" spans="1:5" x14ac:dyDescent="0.35">
      <c r="A101" s="50" t="str">
        <v>COCO VERDE</v>
      </c>
      <c r="B101" s="51">
        <v>1</v>
      </c>
      <c r="C101" s="51" t="str">
        <v>un</v>
      </c>
      <c r="D101" s="52" cm="1">
        <f t="array" ref="D101">IF(A101="","",IFERROR(_xlfn.XLOOKUP(A101,T_Custos[Produto],T_Custos[Custo])*(1+$H$3)+IF($H$4="SIM",IF($H$2="Armazém do Grão",_xlfn.XLOOKUP(Cotação!A101,T_Custos[Produto],T_Fretes[Frete Grão]),IF($H$2="GMAP",_xlfn.XLOOKUP(Cotação!A101,T_Fretes[Produto],T_Fretes[Frete GMAP]),IF($H$2="GMAP Nova Friburgo",_xlfn.XLOOKUP(Cotação!A101,T_Fretes[Produto],T_Fretes[Frete GMAP Nova Friburgo]),IF($H$2="Guanabara",_xlfn.XLOOKUP(Cotação!A101,T_Fretes[Produto],T_Fretes[Frete Guanabara]),_xlfn.XLOOKUP(Cotação!A101,T_Custos[Produto],T_Custos[Frete]))))),0)+_xlfn.XLOOKUP(A101,T_Custos[Produto],T_Custos[Embalado])+_xlfn.XLOOKUP(Cotação!A101,T_Custos[Produto],T_Custos[Avaria]),"Em falta"))</f>
        <v>4.0949999999999998</v>
      </c>
      <c r="E101" s="52">
        <f t="shared" si="1"/>
        <v>4.0949999999999998</v>
      </c>
    </row>
    <row r="102" spans="1:5" x14ac:dyDescent="0.35">
      <c r="A102" s="53" t="str">
        <v>COENTRO KG</v>
      </c>
      <c r="B102" s="51">
        <v>1</v>
      </c>
      <c r="C102" s="51" t="str">
        <v>kg</v>
      </c>
      <c r="D102" s="52" cm="1">
        <f t="array" ref="D102">IF(A102="","",IFERROR(_xlfn.XLOOKUP(A102,T_Custos[Produto],T_Custos[Custo])*(1+$H$3)+IF($H$4="SIM",IF($H$2="Armazém do Grão",_xlfn.XLOOKUP(Cotação!A102,T_Custos[Produto],T_Fretes[Frete Grão]),IF($H$2="GMAP",_xlfn.XLOOKUP(Cotação!A102,T_Fretes[Produto],T_Fretes[Frete GMAP]),IF($H$2="GMAP Nova Friburgo",_xlfn.XLOOKUP(Cotação!A102,T_Fretes[Produto],T_Fretes[Frete GMAP Nova Friburgo]),IF($H$2="Guanabara",_xlfn.XLOOKUP(Cotação!A102,T_Fretes[Produto],T_Fretes[Frete Guanabara]),_xlfn.XLOOKUP(Cotação!A102,T_Custos[Produto],T_Custos[Frete]))))),0)+_xlfn.XLOOKUP(A102,T_Custos[Produto],T_Custos[Embalado])+_xlfn.XLOOKUP(Cotação!A102,T_Custos[Produto],T_Custos[Avaria]),"Em falta"))</f>
        <v>34.9</v>
      </c>
      <c r="E102" s="52">
        <f t="shared" si="1"/>
        <v>34.9</v>
      </c>
    </row>
    <row r="103" spans="1:5" x14ac:dyDescent="0.35">
      <c r="A103" s="50" t="str">
        <v>COUVE FLOR KG</v>
      </c>
      <c r="B103" s="51">
        <v>1</v>
      </c>
      <c r="C103" s="51" t="str">
        <v>kg</v>
      </c>
      <c r="D103" s="52" cm="1">
        <f t="array" ref="D103">IF(A103="","",IFERROR(_xlfn.XLOOKUP(A103,T_Custos[Produto],T_Custos[Custo])*(1+$H$3)+IF($H$4="SIM",IF($H$2="Armazém do Grão",_xlfn.XLOOKUP(Cotação!A103,T_Custos[Produto],T_Fretes[Frete Grão]),IF($H$2="GMAP",_xlfn.XLOOKUP(Cotação!A103,T_Fretes[Produto],T_Fretes[Frete GMAP]),IF($H$2="GMAP Nova Friburgo",_xlfn.XLOOKUP(Cotação!A103,T_Fretes[Produto],T_Fretes[Frete GMAP Nova Friburgo]),IF($H$2="Guanabara",_xlfn.XLOOKUP(Cotação!A103,T_Fretes[Produto],T_Fretes[Frete Guanabara]),_xlfn.XLOOKUP(Cotação!A103,T_Custos[Produto],T_Custos[Frete]))))),0)+_xlfn.XLOOKUP(A103,T_Custos[Produto],T_Custos[Embalado])+_xlfn.XLOOKUP(Cotação!A103,T_Custos[Produto],T_Custos[Avaria]),"Em falta"))</f>
        <v>17.649999999999999</v>
      </c>
      <c r="E103" s="52">
        <f t="shared" si="1"/>
        <v>17.649999999999999</v>
      </c>
    </row>
    <row r="104" spans="1:5" x14ac:dyDescent="0.35">
      <c r="A104" s="50" t="str">
        <v>COUVE MINEIRA KG</v>
      </c>
      <c r="B104" s="51">
        <v>1</v>
      </c>
      <c r="C104" s="51" t="str">
        <v>kg</v>
      </c>
      <c r="D104" s="52" cm="1">
        <f t="array" ref="D104">IF(A104="","",IFERROR(_xlfn.XLOOKUP(A104,T_Custos[Produto],T_Custos[Custo])*(1+$H$3)+IF($H$4="SIM",IF($H$2="Armazém do Grão",_xlfn.XLOOKUP(Cotação!A104,T_Custos[Produto],T_Fretes[Frete Grão]),IF($H$2="GMAP",_xlfn.XLOOKUP(Cotação!A104,T_Fretes[Produto],T_Fretes[Frete GMAP]),IF($H$2="GMAP Nova Friburgo",_xlfn.XLOOKUP(Cotação!A104,T_Fretes[Produto],T_Fretes[Frete GMAP Nova Friburgo]),IF($H$2="Guanabara",_xlfn.XLOOKUP(Cotação!A104,T_Fretes[Produto],T_Fretes[Frete Guanabara]),_xlfn.XLOOKUP(Cotação!A104,T_Custos[Produto],T_Custos[Frete]))))),0)+_xlfn.XLOOKUP(A104,T_Custos[Produto],T_Custos[Embalado])+_xlfn.XLOOKUP(Cotação!A104,T_Custos[Produto],T_Custos[Avaria]),"Em falta"))</f>
        <v>9.0250000000000004</v>
      </c>
      <c r="E104" s="52">
        <f t="shared" si="1"/>
        <v>9.0250000000000004</v>
      </c>
    </row>
    <row r="105" spans="1:5" x14ac:dyDescent="0.35">
      <c r="A105" s="50" t="str">
        <v xml:space="preserve">ENDIVIA BRANCA IMP. </v>
      </c>
      <c r="B105" s="51">
        <v>10</v>
      </c>
      <c r="C105" s="51" t="str">
        <v>kg</v>
      </c>
      <c r="D105" s="52" t="str" cm="1">
        <f t="array" ref="D105">IF(A105="","",IFERROR(_xlfn.XLOOKUP(A105,T_Custos[Produto],T_Custos[Custo])*(1+$H$3)+IF($H$4="SIM",IF($H$2="Armazém do Grão",_xlfn.XLOOKUP(Cotação!A105,T_Custos[Produto],T_Fretes[Frete Grão]),IF($H$2="GMAP",_xlfn.XLOOKUP(Cotação!A105,T_Fretes[Produto],T_Fretes[Frete GMAP]),IF($H$2="GMAP Nova Friburgo",_xlfn.XLOOKUP(Cotação!A105,T_Fretes[Produto],T_Fretes[Frete GMAP Nova Friburgo]),IF($H$2="Guanabara",_xlfn.XLOOKUP(Cotação!A105,T_Fretes[Produto],T_Fretes[Frete Guanabara]),_xlfn.XLOOKUP(Cotação!A105,T_Custos[Produto],T_Custos[Frete]))))),0)+_xlfn.XLOOKUP(A105,T_Custos[Produto],T_Custos[Embalado])+_xlfn.XLOOKUP(Cotação!A105,T_Custos[Produto],T_Custos[Avaria]),"Em falta"))</f>
        <v>Em falta</v>
      </c>
      <c r="E105" s="52" t="str">
        <f t="shared" si="1"/>
        <v>Em falta</v>
      </c>
    </row>
    <row r="106" spans="1:5" ht="15.5" x14ac:dyDescent="0.35">
      <c r="A106" s="54" t="str">
        <v>ERVILHA</v>
      </c>
      <c r="B106" s="51">
        <v>9</v>
      </c>
      <c r="C106" s="51" t="str">
        <v>kg</v>
      </c>
      <c r="D106" s="52" cm="1">
        <f t="array" ref="D106">IF(A106="","",IFERROR(_xlfn.XLOOKUP(A106,T_Custos[Produto],T_Custos[Custo])*(1+$H$3)+IF($H$4="SIM",IF($H$2="Armazém do Grão",_xlfn.XLOOKUP(Cotação!A106,T_Custos[Produto],T_Fretes[Frete Grão]),IF($H$2="GMAP",_xlfn.XLOOKUP(Cotação!A106,T_Fretes[Produto],T_Fretes[Frete GMAP]),IF($H$2="GMAP Nova Friburgo",_xlfn.XLOOKUP(Cotação!A106,T_Fretes[Produto],T_Fretes[Frete GMAP Nova Friburgo]),IF($H$2="Guanabara",_xlfn.XLOOKUP(Cotação!A106,T_Fretes[Produto],T_Fretes[Frete Guanabara]),_xlfn.XLOOKUP(Cotação!A106,T_Custos[Produto],T_Custos[Frete]))))),0)+_xlfn.XLOOKUP(A106,T_Custos[Produto],T_Custos[Embalado])+_xlfn.XLOOKUP(Cotação!A106,T_Custos[Produto],T_Custos[Avaria]),"Em falta"))</f>
        <v>236.49999999999997</v>
      </c>
      <c r="E106" s="52">
        <f t="shared" si="1"/>
        <v>26.277777777777775</v>
      </c>
    </row>
    <row r="107" spans="1:5" x14ac:dyDescent="0.35">
      <c r="A107" s="50" t="str">
        <v>ERVILHA BD</v>
      </c>
      <c r="B107" s="51">
        <v>1</v>
      </c>
      <c r="C107" s="51" t="str">
        <v>bd</v>
      </c>
      <c r="D107" s="52" cm="1">
        <f t="array" ref="D107">IF(A107="","",IFERROR(_xlfn.XLOOKUP(A107,T_Custos[Produto],T_Custos[Custo])*(1+$H$3)+IF($H$4="SIM",IF($H$2="Armazém do Grão",_xlfn.XLOOKUP(Cotação!A107,T_Custos[Produto],T_Fretes[Frete Grão]),IF($H$2="GMAP",_xlfn.XLOOKUP(Cotação!A107,T_Fretes[Produto],T_Fretes[Frete GMAP]),IF($H$2="GMAP Nova Friburgo",_xlfn.XLOOKUP(Cotação!A107,T_Fretes[Produto],T_Fretes[Frete GMAP Nova Friburgo]),IF($H$2="Guanabara",_xlfn.XLOOKUP(Cotação!A107,T_Fretes[Produto],T_Fretes[Frete Guanabara]),_xlfn.XLOOKUP(Cotação!A107,T_Custos[Produto],T_Custos[Frete]))))),0)+_xlfn.XLOOKUP(A107,T_Custos[Produto],T_Custos[Embalado])+_xlfn.XLOOKUP(Cotação!A107,T_Custos[Produto],T_Custos[Avaria]),"Em falta"))</f>
        <v>7.05</v>
      </c>
      <c r="E107" s="52">
        <f t="shared" si="1"/>
        <v>7.05</v>
      </c>
    </row>
    <row r="108" spans="1:5" x14ac:dyDescent="0.35">
      <c r="A108" s="53" t="str">
        <v>ESPINAFRE KG</v>
      </c>
      <c r="B108" s="51">
        <v>1</v>
      </c>
      <c r="C108" s="51" t="str">
        <v>kg</v>
      </c>
      <c r="D108" s="52" cm="1">
        <f t="array" ref="D108">IF(A108="","",IFERROR(_xlfn.XLOOKUP(A108,T_Custos[Produto],T_Custos[Custo])*(1+$H$3)+IF($H$4="SIM",IF($H$2="Armazém do Grão",_xlfn.XLOOKUP(Cotação!A108,T_Custos[Produto],T_Fretes[Frete Grão]),IF($H$2="GMAP",_xlfn.XLOOKUP(Cotação!A108,T_Fretes[Produto],T_Fretes[Frete GMAP]),IF($H$2="GMAP Nova Friburgo",_xlfn.XLOOKUP(Cotação!A108,T_Fretes[Produto],T_Fretes[Frete GMAP Nova Friburgo]),IF($H$2="Guanabara",_xlfn.XLOOKUP(Cotação!A108,T_Fretes[Produto],T_Fretes[Frete Guanabara]),_xlfn.XLOOKUP(Cotação!A108,T_Custos[Produto],T_Custos[Frete]))))),0)+_xlfn.XLOOKUP(A108,T_Custos[Produto],T_Custos[Embalado])+_xlfn.XLOOKUP(Cotação!A108,T_Custos[Produto],T_Custos[Avaria]),"Em falta"))</f>
        <v>10.75</v>
      </c>
      <c r="E108" s="52">
        <f t="shared" si="1"/>
        <v>10.75</v>
      </c>
    </row>
    <row r="109" spans="1:5" x14ac:dyDescent="0.35">
      <c r="A109" s="53" t="str">
        <v>FRAMBOESA 10X1</v>
      </c>
      <c r="B109" s="51">
        <v>10</v>
      </c>
      <c r="C109" s="51" t="str">
        <v>bd</v>
      </c>
      <c r="D109" s="52" cm="1">
        <f t="array" ref="D109">IF(A109="","",IFERROR(_xlfn.XLOOKUP(A109,T_Custos[Produto],T_Custos[Custo])*(1+$H$3)+IF($H$4="SIM",IF($H$2="Armazém do Grão",_xlfn.XLOOKUP(Cotação!A109,T_Custos[Produto],T_Fretes[Frete Grão]),IF($H$2="GMAP",_xlfn.XLOOKUP(Cotação!A109,T_Fretes[Produto],T_Fretes[Frete GMAP]),IF($H$2="GMAP Nova Friburgo",_xlfn.XLOOKUP(Cotação!A109,T_Fretes[Produto],T_Fretes[Frete GMAP Nova Friburgo]),IF($H$2="Guanabara",_xlfn.XLOOKUP(Cotação!A109,T_Fretes[Produto],T_Fretes[Frete Guanabara]),_xlfn.XLOOKUP(Cotação!A109,T_Custos[Produto],T_Custos[Frete]))))),0)+_xlfn.XLOOKUP(A109,T_Custos[Produto],T_Custos[Embalado])+_xlfn.XLOOKUP(Cotação!A109,T_Custos[Produto],T_Custos[Avaria]),"Em falta"))</f>
        <v>143.35</v>
      </c>
      <c r="E109" s="52">
        <f t="shared" si="1"/>
        <v>14.334999999999999</v>
      </c>
    </row>
    <row r="110" spans="1:5" x14ac:dyDescent="0.35">
      <c r="A110" s="53" t="str">
        <v>GENGIBRE</v>
      </c>
      <c r="B110" s="51">
        <v>12</v>
      </c>
      <c r="C110" s="51" t="str">
        <v>kg</v>
      </c>
      <c r="D110" s="52" cm="1">
        <f t="array" ref="D110">IF(A110="","",IFERROR(_xlfn.XLOOKUP(A110,T_Custos[Produto],T_Custos[Custo])*(1+$H$3)+IF($H$4="SIM",IF($H$2="Armazém do Grão",_xlfn.XLOOKUP(Cotação!A110,T_Custos[Produto],T_Fretes[Frete Grão]),IF($H$2="GMAP",_xlfn.XLOOKUP(Cotação!A110,T_Fretes[Produto],T_Fretes[Frete GMAP]),IF($H$2="GMAP Nova Friburgo",_xlfn.XLOOKUP(Cotação!A110,T_Fretes[Produto],T_Fretes[Frete GMAP Nova Friburgo]),IF($H$2="Guanabara",_xlfn.XLOOKUP(Cotação!A110,T_Fretes[Produto],T_Fretes[Frete Guanabara]),_xlfn.XLOOKUP(Cotação!A110,T_Custos[Produto],T_Custos[Frete]))))),0)+_xlfn.XLOOKUP(A110,T_Custos[Produto],T_Custos[Embalado])+_xlfn.XLOOKUP(Cotação!A110,T_Custos[Produto],T_Custos[Avaria]),"Em falta"))</f>
        <v>109.99999999999999</v>
      </c>
      <c r="E110" s="52">
        <f t="shared" si="1"/>
        <v>9.1666666666666661</v>
      </c>
    </row>
    <row r="111" spans="1:5" x14ac:dyDescent="0.35">
      <c r="A111" s="53" t="str">
        <v>GENGIBRE SC</v>
      </c>
      <c r="B111" s="51">
        <v>12</v>
      </c>
      <c r="C111" s="51" t="str">
        <v>kg</v>
      </c>
      <c r="D111" s="52" cm="1">
        <f t="array" ref="D111">IF(A111="","",IFERROR(_xlfn.XLOOKUP(A111,T_Custos[Produto],T_Custos[Custo])*(1+$H$3)+IF($H$4="SIM",IF($H$2="Armazém do Grão",_xlfn.XLOOKUP(Cotação!A111,T_Custos[Produto],T_Fretes[Frete Grão]),IF($H$2="GMAP",_xlfn.XLOOKUP(Cotação!A111,T_Fretes[Produto],T_Fretes[Frete GMAP]),IF($H$2="GMAP Nova Friburgo",_xlfn.XLOOKUP(Cotação!A111,T_Fretes[Produto],T_Fretes[Frete GMAP Nova Friburgo]),IF($H$2="Guanabara",_xlfn.XLOOKUP(Cotação!A111,T_Fretes[Produto],T_Fretes[Frete Guanabara]),_xlfn.XLOOKUP(Cotação!A111,T_Custos[Produto],T_Custos[Frete]))))),0)+_xlfn.XLOOKUP(A111,T_Custos[Produto],T_Custos[Embalado])+_xlfn.XLOOKUP(Cotação!A111,T_Custos[Produto],T_Custos[Avaria]),"Em falta"))</f>
        <v>28.749999999999996</v>
      </c>
      <c r="E111" s="52">
        <f t="shared" si="1"/>
        <v>2.395833333333333</v>
      </c>
    </row>
    <row r="112" spans="1:5" x14ac:dyDescent="0.35">
      <c r="A112" s="53" t="str">
        <v>GOIABA 2,5KG</v>
      </c>
      <c r="B112" s="51">
        <v>2.5</v>
      </c>
      <c r="C112" s="51" t="str">
        <v>kg</v>
      </c>
      <c r="D112" s="52" cm="1">
        <f t="array" ref="D112">IF(A112="","",IFERROR(_xlfn.XLOOKUP(A112,T_Custos[Produto],T_Custos[Custo])*(1+$H$3)+IF($H$4="SIM",IF($H$2="Armazém do Grão",_xlfn.XLOOKUP(Cotação!A112,T_Custos[Produto],T_Fretes[Frete Grão]),IF($H$2="GMAP",_xlfn.XLOOKUP(Cotação!A112,T_Fretes[Produto],T_Fretes[Frete GMAP]),IF($H$2="GMAP Nova Friburgo",_xlfn.XLOOKUP(Cotação!A112,T_Fretes[Produto],T_Fretes[Frete GMAP Nova Friburgo]),IF($H$2="Guanabara",_xlfn.XLOOKUP(Cotação!A112,T_Fretes[Produto],T_Fretes[Frete Guanabara]),_xlfn.XLOOKUP(Cotação!A112,T_Custos[Produto],T_Custos[Frete]))))),0)+_xlfn.XLOOKUP(A112,T_Custos[Produto],T_Custos[Embalado])+_xlfn.XLOOKUP(Cotação!A112,T_Custos[Produto],T_Custos[Avaria]),"Em falta"))</f>
        <v>17</v>
      </c>
      <c r="E112" s="52">
        <f t="shared" si="1"/>
        <v>6.8</v>
      </c>
    </row>
    <row r="113" spans="1:5" x14ac:dyDescent="0.35">
      <c r="A113" s="53" t="str">
        <v>GOIABA VERMELHA</v>
      </c>
      <c r="B113" s="51">
        <v>6</v>
      </c>
      <c r="C113" s="51" t="str">
        <v>kg</v>
      </c>
      <c r="D113" s="52" cm="1">
        <f t="array" ref="D113">IF(A113="","",IFERROR(_xlfn.XLOOKUP(A113,T_Custos[Produto],T_Custos[Custo])*(1+$H$3)+IF($H$4="SIM",IF($H$2="Armazém do Grão",_xlfn.XLOOKUP(Cotação!A113,T_Custos[Produto],T_Fretes[Frete Grão]),IF($H$2="GMAP",_xlfn.XLOOKUP(Cotação!A113,T_Fretes[Produto],T_Fretes[Frete GMAP]),IF($H$2="GMAP Nova Friburgo",_xlfn.XLOOKUP(Cotação!A113,T_Fretes[Produto],T_Fretes[Frete GMAP Nova Friburgo]),IF($H$2="Guanabara",_xlfn.XLOOKUP(Cotação!A113,T_Fretes[Produto],T_Fretes[Frete Guanabara]),_xlfn.XLOOKUP(Cotação!A113,T_Custos[Produto],T_Custos[Frete]))))),0)+_xlfn.XLOOKUP(A113,T_Custos[Produto],T_Custos[Embalado])+_xlfn.XLOOKUP(Cotação!A113,T_Custos[Produto],T_Custos[Avaria]),"Em falta"))</f>
        <v>38.699999999999996</v>
      </c>
      <c r="E113" s="52">
        <f t="shared" si="1"/>
        <v>6.4499999999999993</v>
      </c>
    </row>
    <row r="114" spans="1:5" x14ac:dyDescent="0.35">
      <c r="A114" s="53" t="str">
        <v>GRAPEFRUIT</v>
      </c>
      <c r="B114" s="51">
        <v>15</v>
      </c>
      <c r="C114" s="51" t="str">
        <v>kg</v>
      </c>
      <c r="D114" s="52" cm="1">
        <f t="array" ref="D114">IF(A114="","",IFERROR(_xlfn.XLOOKUP(A114,T_Custos[Produto],T_Custos[Custo])*(1+$H$3)+IF($H$4="SIM",IF($H$2="Armazém do Grão",_xlfn.XLOOKUP(Cotação!A114,T_Custos[Produto],T_Fretes[Frete Grão]),IF($H$2="GMAP",_xlfn.XLOOKUP(Cotação!A114,T_Fretes[Produto],T_Fretes[Frete GMAP]),IF($H$2="GMAP Nova Friburgo",_xlfn.XLOOKUP(Cotação!A114,T_Fretes[Produto],T_Fretes[Frete GMAP Nova Friburgo]),IF($H$2="Guanabara",_xlfn.XLOOKUP(Cotação!A114,T_Fretes[Produto],T_Fretes[Frete Guanabara]),_xlfn.XLOOKUP(Cotação!A114,T_Custos[Produto],T_Custos[Frete]))))),0)+_xlfn.XLOOKUP(A114,T_Custos[Produto],T_Custos[Embalado])+_xlfn.XLOOKUP(Cotação!A114,T_Custos[Produto],T_Custos[Avaria]),"Em falta"))</f>
        <v>149.74299999999999</v>
      </c>
      <c r="E114" s="52">
        <f t="shared" si="1"/>
        <v>9.9828666666666663</v>
      </c>
    </row>
    <row r="115" spans="1:5" x14ac:dyDescent="0.35">
      <c r="A115" s="53" t="str">
        <v>GRAVIOLA</v>
      </c>
      <c r="B115" s="51">
        <v>8</v>
      </c>
      <c r="C115" s="51" t="str">
        <v>kg</v>
      </c>
      <c r="D115" s="52" t="str" cm="1">
        <f t="array" ref="D115">IF(A115="","",IFERROR(_xlfn.XLOOKUP(A115,T_Custos[Produto],T_Custos[Custo])*(1+$H$3)+IF($H$4="SIM",IF($H$2="Armazém do Grão",_xlfn.XLOOKUP(Cotação!A115,T_Custos[Produto],T_Fretes[Frete Grão]),IF($H$2="GMAP",_xlfn.XLOOKUP(Cotação!A115,T_Fretes[Produto],T_Fretes[Frete GMAP]),IF($H$2="GMAP Nova Friburgo",_xlfn.XLOOKUP(Cotação!A115,T_Fretes[Produto],T_Fretes[Frete GMAP Nova Friburgo]),IF($H$2="Guanabara",_xlfn.XLOOKUP(Cotação!A115,T_Fretes[Produto],T_Fretes[Frete Guanabara]),_xlfn.XLOOKUP(Cotação!A115,T_Custos[Produto],T_Custos[Frete]))))),0)+_xlfn.XLOOKUP(A115,T_Custos[Produto],T_Custos[Embalado])+_xlfn.XLOOKUP(Cotação!A115,T_Custos[Produto],T_Custos[Avaria]),"Em falta"))</f>
        <v>Em falta</v>
      </c>
      <c r="E115" s="52" t="str">
        <f t="shared" si="1"/>
        <v>Em falta</v>
      </c>
    </row>
    <row r="116" spans="1:5" x14ac:dyDescent="0.35">
      <c r="A116" s="53" t="str">
        <v>HORTELA KG</v>
      </c>
      <c r="B116" s="51">
        <v>1</v>
      </c>
      <c r="C116" s="51" t="str">
        <v>kg</v>
      </c>
      <c r="D116" s="52" cm="1">
        <f t="array" ref="D116">IF(A116="","",IFERROR(_xlfn.XLOOKUP(A116,T_Custos[Produto],T_Custos[Custo])*(1+$H$3)+IF($H$4="SIM",IF($H$2="Armazém do Grão",_xlfn.XLOOKUP(Cotação!A116,T_Custos[Produto],T_Fretes[Frete Grão]),IF($H$2="GMAP",_xlfn.XLOOKUP(Cotação!A116,T_Fretes[Produto],T_Fretes[Frete GMAP]),IF($H$2="GMAP Nova Friburgo",_xlfn.XLOOKUP(Cotação!A116,T_Fretes[Produto],T_Fretes[Frete GMAP Nova Friburgo]),IF($H$2="Guanabara",_xlfn.XLOOKUP(Cotação!A116,T_Fretes[Produto],T_Fretes[Frete Guanabara]),_xlfn.XLOOKUP(Cotação!A116,T_Custos[Produto],T_Custos[Frete]))))),0)+_xlfn.XLOOKUP(A116,T_Custos[Produto],T_Custos[Embalado])+_xlfn.XLOOKUP(Cotação!A116,T_Custos[Produto],T_Custos[Avaria]),"Em falta"))</f>
        <v>15.35</v>
      </c>
      <c r="E116" s="52">
        <f t="shared" si="1"/>
        <v>15.35</v>
      </c>
    </row>
    <row r="117" spans="1:5" x14ac:dyDescent="0.35">
      <c r="A117" s="53" t="str">
        <v>INHAME</v>
      </c>
      <c r="B117" s="51">
        <v>20</v>
      </c>
      <c r="C117" s="51" t="str">
        <v>kg</v>
      </c>
      <c r="D117" s="52" cm="1">
        <f t="array" ref="D117">IF(A117="","",IFERROR(_xlfn.XLOOKUP(A117,T_Custos[Produto],T_Custos[Custo])*(1+$H$3)+IF($H$4="SIM",IF($H$2="Armazém do Grão",_xlfn.XLOOKUP(Cotação!A117,T_Custos[Produto],T_Fretes[Frete Grão]),IF($H$2="GMAP",_xlfn.XLOOKUP(Cotação!A117,T_Fretes[Produto],T_Fretes[Frete GMAP]),IF($H$2="GMAP Nova Friburgo",_xlfn.XLOOKUP(Cotação!A117,T_Fretes[Produto],T_Fretes[Frete GMAP Nova Friburgo]),IF($H$2="Guanabara",_xlfn.XLOOKUP(Cotação!A117,T_Fretes[Produto],T_Fretes[Frete Guanabara]),_xlfn.XLOOKUP(Cotação!A117,T_Custos[Produto],T_Custos[Frete]))))),0)+_xlfn.XLOOKUP(A117,T_Custos[Produto],T_Custos[Embalado])+_xlfn.XLOOKUP(Cotação!A117,T_Custos[Produto],T_Custos[Avaria]),"Em falta"))</f>
        <v>66</v>
      </c>
      <c r="E117" s="52">
        <f t="shared" si="1"/>
        <v>3.3</v>
      </c>
    </row>
    <row r="118" spans="1:5" x14ac:dyDescent="0.35">
      <c r="A118" s="53" t="str">
        <v>JILO</v>
      </c>
      <c r="B118" s="51">
        <v>14</v>
      </c>
      <c r="C118" s="51" t="str">
        <v>kg</v>
      </c>
      <c r="D118" s="52" cm="1">
        <f t="array" ref="D118">IF(A118="","",IFERROR(_xlfn.XLOOKUP(A118,T_Custos[Produto],T_Custos[Custo])*(1+$H$3)+IF($H$4="SIM",IF($H$2="Armazém do Grão",_xlfn.XLOOKUP(Cotação!A118,T_Custos[Produto],T_Fretes[Frete Grão]),IF($H$2="GMAP",_xlfn.XLOOKUP(Cotação!A118,T_Fretes[Produto],T_Fretes[Frete GMAP]),IF($H$2="GMAP Nova Friburgo",_xlfn.XLOOKUP(Cotação!A118,T_Fretes[Produto],T_Fretes[Frete GMAP Nova Friburgo]),IF($H$2="Guanabara",_xlfn.XLOOKUP(Cotação!A118,T_Fretes[Produto],T_Fretes[Frete Guanabara]),_xlfn.XLOOKUP(Cotação!A118,T_Custos[Produto],T_Custos[Frete]))))),0)+_xlfn.XLOOKUP(A118,T_Custos[Produto],T_Custos[Embalado])+_xlfn.XLOOKUP(Cotação!A118,T_Custos[Produto],T_Custos[Avaria]),"Em falta"))</f>
        <v>100.5</v>
      </c>
      <c r="E118" s="52">
        <f t="shared" si="1"/>
        <v>7.1785714285714288</v>
      </c>
    </row>
    <row r="119" spans="1:5" x14ac:dyDescent="0.35">
      <c r="A119" s="53" t="str">
        <v>KIWI IMPORTADO</v>
      </c>
      <c r="B119" s="51">
        <v>9</v>
      </c>
      <c r="C119" s="51" t="str">
        <v>kg</v>
      </c>
      <c r="D119" s="52" cm="1">
        <f t="array" ref="D119">IF(A119="","",IFERROR(_xlfn.XLOOKUP(A119,T_Custos[Produto],T_Custos[Custo])*(1+$H$3)+IF($H$4="SIM",IF($H$2="Armazém do Grão",_xlfn.XLOOKUP(Cotação!A119,T_Custos[Produto],T_Fretes[Frete Grão]),IF($H$2="GMAP",_xlfn.XLOOKUP(Cotação!A119,T_Fretes[Produto],T_Fretes[Frete GMAP]),IF($H$2="GMAP Nova Friburgo",_xlfn.XLOOKUP(Cotação!A119,T_Fretes[Produto],T_Fretes[Frete GMAP Nova Friburgo]),IF($H$2="Guanabara",_xlfn.XLOOKUP(Cotação!A119,T_Fretes[Produto],T_Fretes[Frete Guanabara]),_xlfn.XLOOKUP(Cotação!A119,T_Custos[Produto],T_Custos[Frete]))))),0)+_xlfn.XLOOKUP(A119,T_Custos[Produto],T_Custos[Embalado])+_xlfn.XLOOKUP(Cotação!A119,T_Custos[Produto],T_Custos[Avaria]),"Em falta"))</f>
        <v>224.99999999999997</v>
      </c>
      <c r="E119" s="52">
        <f t="shared" si="1"/>
        <v>24.999999999999996</v>
      </c>
    </row>
    <row r="120" spans="1:5" x14ac:dyDescent="0.35">
      <c r="A120" s="53" t="str">
        <v>LARANJA BAHIA IMPORTADA</v>
      </c>
      <c r="B120" s="51">
        <v>15</v>
      </c>
      <c r="C120" s="51" t="str">
        <v>kg</v>
      </c>
      <c r="D120" s="52" cm="1">
        <f t="array" ref="D120">IF(A120="","",IFERROR(_xlfn.XLOOKUP(A120,T_Custos[Produto],T_Custos[Custo])*(1+$H$3)+IF($H$4="SIM",IF($H$2="Armazém do Grão",_xlfn.XLOOKUP(Cotação!A120,T_Custos[Produto],T_Fretes[Frete Grão]),IF($H$2="GMAP",_xlfn.XLOOKUP(Cotação!A120,T_Fretes[Produto],T_Fretes[Frete GMAP]),IF($H$2="GMAP Nova Friburgo",_xlfn.XLOOKUP(Cotação!A120,T_Fretes[Produto],T_Fretes[Frete GMAP Nova Friburgo]),IF($H$2="Guanabara",_xlfn.XLOOKUP(Cotação!A120,T_Fretes[Produto],T_Fretes[Frete Guanabara]),_xlfn.XLOOKUP(Cotação!A120,T_Custos[Produto],T_Custos[Frete]))))),0)+_xlfn.XLOOKUP(A120,T_Custos[Produto],T_Custos[Embalado])+_xlfn.XLOOKUP(Cotação!A120,T_Custos[Produto],T_Custos[Avaria]),"Em falta"))</f>
        <v>137.33449999999999</v>
      </c>
      <c r="E120" s="52">
        <f t="shared" si="1"/>
        <v>9.1556333333333324</v>
      </c>
    </row>
    <row r="121" spans="1:5" x14ac:dyDescent="0.35">
      <c r="A121" s="53" t="str">
        <v>LARANJA BAHIA NACIONAL</v>
      </c>
      <c r="B121" s="51">
        <v>20</v>
      </c>
      <c r="C121" s="51" t="str">
        <v>kg</v>
      </c>
      <c r="D121" s="52" t="str" cm="1">
        <f t="array" ref="D121">IF(A121="","",IFERROR(_xlfn.XLOOKUP(A121,T_Custos[Produto],T_Custos[Custo])*(1+$H$3)+IF($H$4="SIM",IF($H$2="Armazém do Grão",_xlfn.XLOOKUP(Cotação!A121,T_Custos[Produto],T_Fretes[Frete Grão]),IF($H$2="GMAP",_xlfn.XLOOKUP(Cotação!A121,T_Fretes[Produto],T_Fretes[Frete GMAP]),IF($H$2="GMAP Nova Friburgo",_xlfn.XLOOKUP(Cotação!A121,T_Fretes[Produto],T_Fretes[Frete GMAP Nova Friburgo]),IF($H$2="Guanabara",_xlfn.XLOOKUP(Cotação!A121,T_Fretes[Produto],T_Fretes[Frete Guanabara]),_xlfn.XLOOKUP(Cotação!A121,T_Custos[Produto],T_Custos[Frete]))))),0)+_xlfn.XLOOKUP(A121,T_Custos[Produto],T_Custos[Embalado])+_xlfn.XLOOKUP(Cotação!A121,T_Custos[Produto],T_Custos[Avaria]),"Em falta"))</f>
        <v>Em falta</v>
      </c>
      <c r="E121" s="52" t="str">
        <f t="shared" si="1"/>
        <v>Em falta</v>
      </c>
    </row>
    <row r="122" spans="1:5" ht="15.5" x14ac:dyDescent="0.35">
      <c r="A122" s="54" t="str">
        <v>LARANJA LIMA</v>
      </c>
      <c r="B122" s="51">
        <v>20</v>
      </c>
      <c r="C122" s="51" t="str">
        <v>kg</v>
      </c>
      <c r="D122" s="52" cm="1">
        <f t="array" ref="D122">IF(A122="","",IFERROR(_xlfn.XLOOKUP(A122,T_Custos[Produto],T_Custos[Custo])*(1+$H$3)+IF($H$4="SIM",IF($H$2="Armazém do Grão",_xlfn.XLOOKUP(Cotação!A122,T_Custos[Produto],T_Fretes[Frete Grão]),IF($H$2="GMAP",_xlfn.XLOOKUP(Cotação!A122,T_Fretes[Produto],T_Fretes[Frete GMAP]),IF($H$2="GMAP Nova Friburgo",_xlfn.XLOOKUP(Cotação!A122,T_Fretes[Produto],T_Fretes[Frete GMAP Nova Friburgo]),IF($H$2="Guanabara",_xlfn.XLOOKUP(Cotação!A122,T_Fretes[Produto],T_Fretes[Frete Guanabara]),_xlfn.XLOOKUP(Cotação!A122,T_Custos[Produto],T_Custos[Frete]))))),0)+_xlfn.XLOOKUP(A122,T_Custos[Produto],T_Custos[Embalado])+_xlfn.XLOOKUP(Cotação!A122,T_Custos[Produto],T_Custos[Avaria]),"Em falta"))</f>
        <v>100.5</v>
      </c>
      <c r="E122" s="52">
        <f t="shared" si="1"/>
        <v>5.0250000000000004</v>
      </c>
    </row>
    <row r="123" spans="1:5" ht="15.5" x14ac:dyDescent="0.35">
      <c r="A123" s="54" t="str">
        <v>LARANJA PERA</v>
      </c>
      <c r="B123" s="51">
        <v>20</v>
      </c>
      <c r="C123" s="51" t="str">
        <v>kg</v>
      </c>
      <c r="D123" s="52" cm="1">
        <f t="array" ref="D123">IF(A123="","",IFERROR(_xlfn.XLOOKUP(A123,T_Custos[Produto],T_Custos[Custo])*(1+$H$3)+IF($H$4="SIM",IF($H$2="Armazém do Grão",_xlfn.XLOOKUP(Cotação!A123,T_Custos[Produto],T_Fretes[Frete Grão]),IF($H$2="GMAP",_xlfn.XLOOKUP(Cotação!A123,T_Fretes[Produto],T_Fretes[Frete GMAP]),IF($H$2="GMAP Nova Friburgo",_xlfn.XLOOKUP(Cotação!A123,T_Fretes[Produto],T_Fretes[Frete GMAP Nova Friburgo]),IF($H$2="Guanabara",_xlfn.XLOOKUP(Cotação!A123,T_Fretes[Produto],T_Fretes[Frete Guanabara]),_xlfn.XLOOKUP(Cotação!A123,T_Custos[Produto],T_Custos[Frete]))))),0)+_xlfn.XLOOKUP(A123,T_Custos[Produto],T_Custos[Embalado])+_xlfn.XLOOKUP(Cotação!A123,T_Custos[Produto],T_Custos[Avaria]),"Em falta"))</f>
        <v>100.5</v>
      </c>
      <c r="E123" s="52">
        <f t="shared" si="1"/>
        <v>5.0250000000000004</v>
      </c>
    </row>
    <row r="124" spans="1:5" x14ac:dyDescent="0.35">
      <c r="A124" s="50" t="str">
        <v>LARANJA PERA SAQUINHO</v>
      </c>
      <c r="B124" s="51">
        <v>10</v>
      </c>
      <c r="C124" s="51" t="str">
        <v>sc</v>
      </c>
      <c r="D124" s="52" t="str" cm="1">
        <f t="array" ref="D124">IF(A124="","",IFERROR(_xlfn.XLOOKUP(A124,T_Custos[Produto],T_Custos[Custo])*(1+$H$3)+IF($H$4="SIM",IF($H$2="Armazém do Grão",_xlfn.XLOOKUP(Cotação!A124,T_Custos[Produto],T_Fretes[Frete Grão]),IF($H$2="GMAP",_xlfn.XLOOKUP(Cotação!A124,T_Fretes[Produto],T_Fretes[Frete GMAP]),IF($H$2="GMAP Nova Friburgo",_xlfn.XLOOKUP(Cotação!A124,T_Fretes[Produto],T_Fretes[Frete GMAP Nova Friburgo]),IF($H$2="Guanabara",_xlfn.XLOOKUP(Cotação!A124,T_Fretes[Produto],T_Fretes[Frete Guanabara]),_xlfn.XLOOKUP(Cotação!A124,T_Custos[Produto],T_Custos[Frete]))))),0)+_xlfn.XLOOKUP(A124,T_Custos[Produto],T_Custos[Embalado])+_xlfn.XLOOKUP(Cotação!A124,T_Custos[Produto],T_Custos[Avaria]),"Em falta"))</f>
        <v>Em falta</v>
      </c>
      <c r="E124" s="52" t="str">
        <f t="shared" si="1"/>
        <v>Em falta</v>
      </c>
    </row>
    <row r="125" spans="1:5" x14ac:dyDescent="0.35">
      <c r="A125" s="50" t="str">
        <v>LARANJA SELETA</v>
      </c>
      <c r="B125" s="51">
        <v>20</v>
      </c>
      <c r="C125" s="51" t="str">
        <v>kg</v>
      </c>
      <c r="D125" s="52" cm="1">
        <f t="array" ref="D125">IF(A125="","",IFERROR(_xlfn.XLOOKUP(A125,T_Custos[Produto],T_Custos[Custo])*(1+$H$3)+IF($H$4="SIM",IF($H$2="Armazém do Grão",_xlfn.XLOOKUP(Cotação!A125,T_Custos[Produto],T_Fretes[Frete Grão]),IF($H$2="GMAP",_xlfn.XLOOKUP(Cotação!A125,T_Fretes[Produto],T_Fretes[Frete GMAP]),IF($H$2="GMAP Nova Friburgo",_xlfn.XLOOKUP(Cotação!A125,T_Fretes[Produto],T_Fretes[Frete GMAP Nova Friburgo]),IF($H$2="Guanabara",_xlfn.XLOOKUP(Cotação!A125,T_Fretes[Produto],T_Fretes[Frete Guanabara]),_xlfn.XLOOKUP(Cotação!A125,T_Custos[Produto],T_Custos[Frete]))))),0)+_xlfn.XLOOKUP(A125,T_Custos[Produto],T_Custos[Embalado])+_xlfn.XLOOKUP(Cotação!A125,T_Custos[Produto],T_Custos[Avaria]),"Em falta"))</f>
        <v>129.25</v>
      </c>
      <c r="E125" s="52">
        <f t="shared" si="1"/>
        <v>6.4625000000000004</v>
      </c>
    </row>
    <row r="126" spans="1:5" x14ac:dyDescent="0.35">
      <c r="A126" s="50" t="str">
        <v>LICHIA (4X1)</v>
      </c>
      <c r="B126" s="51">
        <v>4</v>
      </c>
      <c r="C126" s="51" t="str">
        <v>bd</v>
      </c>
      <c r="D126" s="52" t="str" cm="1">
        <f t="array" ref="D126">IF(A126="","",IFERROR(_xlfn.XLOOKUP(A126,T_Custos[Produto],T_Custos[Custo])*(1+$H$3)+IF($H$4="SIM",IF($H$2="Armazém do Grão",_xlfn.XLOOKUP(Cotação!A126,T_Custos[Produto],T_Fretes[Frete Grão]),IF($H$2="GMAP",_xlfn.XLOOKUP(Cotação!A126,T_Fretes[Produto],T_Fretes[Frete GMAP]),IF($H$2="GMAP Nova Friburgo",_xlfn.XLOOKUP(Cotação!A126,T_Fretes[Produto],T_Fretes[Frete GMAP Nova Friburgo]),IF($H$2="Guanabara",_xlfn.XLOOKUP(Cotação!A126,T_Fretes[Produto],T_Fretes[Frete Guanabara]),_xlfn.XLOOKUP(Cotação!A126,T_Custos[Produto],T_Custos[Frete]))))),0)+_xlfn.XLOOKUP(A126,T_Custos[Produto],T_Custos[Embalado])+_xlfn.XLOOKUP(Cotação!A126,T_Custos[Produto],T_Custos[Avaria]),"Em falta"))</f>
        <v>Em falta</v>
      </c>
      <c r="E126" s="52" t="str">
        <f t="shared" si="1"/>
        <v>Em falta</v>
      </c>
    </row>
    <row r="127" spans="1:5" x14ac:dyDescent="0.35">
      <c r="A127" s="50" t="str">
        <v>LIMA DA PERSIA</v>
      </c>
      <c r="B127" s="51">
        <v>9</v>
      </c>
      <c r="C127" s="51" t="str">
        <v>kg</v>
      </c>
      <c r="D127" s="52" cm="1">
        <f t="array" ref="D127">IF(A127="","",IFERROR(_xlfn.XLOOKUP(A127,T_Custos[Produto],T_Custos[Custo])*(1+$H$3)+IF($H$4="SIM",IF($H$2="Armazém do Grão",_xlfn.XLOOKUP(Cotação!A127,T_Custos[Produto],T_Fretes[Frete Grão]),IF($H$2="GMAP",_xlfn.XLOOKUP(Cotação!A127,T_Fretes[Produto],T_Fretes[Frete GMAP]),IF($H$2="GMAP Nova Friburgo",_xlfn.XLOOKUP(Cotação!A127,T_Fretes[Produto],T_Fretes[Frete GMAP Nova Friburgo]),IF($H$2="Guanabara",_xlfn.XLOOKUP(Cotação!A127,T_Fretes[Produto],T_Fretes[Frete Guanabara]),_xlfn.XLOOKUP(Cotação!A127,T_Custos[Produto],T_Custos[Frete]))))),0)+_xlfn.XLOOKUP(A127,T_Custos[Produto],T_Custos[Embalado])+_xlfn.XLOOKUP(Cotação!A127,T_Custos[Produto],T_Custos[Avaria]),"Em falta"))</f>
        <v>121.49999999999999</v>
      </c>
      <c r="E127" s="52">
        <f t="shared" si="1"/>
        <v>13.499999999999998</v>
      </c>
    </row>
    <row r="128" spans="1:5" ht="15.5" x14ac:dyDescent="0.35">
      <c r="A128" s="54" t="str">
        <v>LIMAO GRAUDO</v>
      </c>
      <c r="B128" s="51">
        <v>20</v>
      </c>
      <c r="C128" s="51" t="str">
        <v>kg</v>
      </c>
      <c r="D128" s="52" t="str" cm="1">
        <f t="array" ref="D128">IF(A128="","",IFERROR(_xlfn.XLOOKUP(A128,T_Custos[Produto],T_Custos[Custo])*(1+$H$3)+IF($H$4="SIM",IF($H$2="Armazém do Grão",_xlfn.XLOOKUP(Cotação!A128,T_Custos[Produto],T_Fretes[Frete Grão]),IF($H$2="GMAP",_xlfn.XLOOKUP(Cotação!A128,T_Fretes[Produto],T_Fretes[Frete GMAP]),IF($H$2="GMAP Nova Friburgo",_xlfn.XLOOKUP(Cotação!A128,T_Fretes[Produto],T_Fretes[Frete GMAP Nova Friburgo]),IF($H$2="Guanabara",_xlfn.XLOOKUP(Cotação!A128,T_Fretes[Produto],T_Fretes[Frete Guanabara]),_xlfn.XLOOKUP(Cotação!A128,T_Custos[Produto],T_Custos[Frete]))))),0)+_xlfn.XLOOKUP(A128,T_Custos[Produto],T_Custos[Embalado])+_xlfn.XLOOKUP(Cotação!A128,T_Custos[Produto],T_Custos[Avaria]),"Em falta"))</f>
        <v>Em falta</v>
      </c>
      <c r="E128" s="52" t="str">
        <f t="shared" si="1"/>
        <v>Em falta</v>
      </c>
    </row>
    <row r="129" spans="1:5" x14ac:dyDescent="0.35">
      <c r="A129" s="50" t="str">
        <v>LIMAO NP</v>
      </c>
      <c r="B129" s="51">
        <v>20</v>
      </c>
      <c r="C129" s="51" t="str">
        <v>kg</v>
      </c>
      <c r="D129" s="52" cm="1">
        <f t="array" ref="D129">IF(A129="","",IFERROR(_xlfn.XLOOKUP(A129,T_Custos[Produto],T_Custos[Custo])*(1+$H$3)+IF($H$4="SIM",IF($H$2="Armazém do Grão",_xlfn.XLOOKUP(Cotação!A129,T_Custos[Produto],T_Fretes[Frete Grão]),IF($H$2="GMAP",_xlfn.XLOOKUP(Cotação!A129,T_Fretes[Produto],T_Fretes[Frete GMAP]),IF($H$2="GMAP Nova Friburgo",_xlfn.XLOOKUP(Cotação!A129,T_Fretes[Produto],T_Fretes[Frete GMAP Nova Friburgo]),IF($H$2="Guanabara",_xlfn.XLOOKUP(Cotação!A129,T_Fretes[Produto],T_Fretes[Frete Guanabara]),_xlfn.XLOOKUP(Cotação!A129,T_Custos[Produto],T_Custos[Frete]))))),0)+_xlfn.XLOOKUP(A129,T_Custos[Produto],T_Custos[Embalado])+_xlfn.XLOOKUP(Cotação!A129,T_Custos[Produto],T_Custos[Avaria]),"Em falta"))</f>
        <v>52.199999999999996</v>
      </c>
      <c r="E129" s="52">
        <f t="shared" si="1"/>
        <v>2.61</v>
      </c>
    </row>
    <row r="130" spans="1:5" x14ac:dyDescent="0.35">
      <c r="A130" s="50" t="str">
        <v>LIMAO SICILIANO</v>
      </c>
      <c r="B130" s="51">
        <v>15</v>
      </c>
      <c r="C130" s="51" t="str">
        <v>kg</v>
      </c>
      <c r="D130" s="52" cm="1">
        <f t="array" ref="D130">IF(A130="","",IFERROR(_xlfn.XLOOKUP(A130,T_Custos[Produto],T_Custos[Custo])*(1+$H$3)+IF($H$4="SIM",IF($H$2="Armazém do Grão",_xlfn.XLOOKUP(Cotação!A130,T_Custos[Produto],T_Fretes[Frete Grão]),IF($H$2="GMAP",_xlfn.XLOOKUP(Cotação!A130,T_Fretes[Produto],T_Fretes[Frete GMAP]),IF($H$2="GMAP Nova Friburgo",_xlfn.XLOOKUP(Cotação!A130,T_Fretes[Produto],T_Fretes[Frete GMAP Nova Friburgo]),IF($H$2="Guanabara",_xlfn.XLOOKUP(Cotação!A130,T_Fretes[Produto],T_Fretes[Frete Guanabara]),_xlfn.XLOOKUP(Cotação!A130,T_Custos[Produto],T_Custos[Frete]))))),0)+_xlfn.XLOOKUP(A130,T_Custos[Produto],T_Custos[Embalado])+_xlfn.XLOOKUP(Cotação!A130,T_Custos[Produto],T_Custos[Avaria]),"Em falta"))</f>
        <v>140.32449999999997</v>
      </c>
      <c r="E130" s="52">
        <f t="shared" si="1"/>
        <v>9.3549666666666642</v>
      </c>
    </row>
    <row r="131" spans="1:5" x14ac:dyDescent="0.35">
      <c r="A131" s="50" t="str">
        <v>LOURO KG</v>
      </c>
      <c r="B131" s="51">
        <v>1</v>
      </c>
      <c r="C131" s="51" t="str">
        <v>kg</v>
      </c>
      <c r="D131" s="52" cm="1">
        <f t="array" ref="D131">IF(A131="","",IFERROR(_xlfn.XLOOKUP(A131,T_Custos[Produto],T_Custos[Custo])*(1+$H$3)+IF($H$4="SIM",IF($H$2="Armazém do Grão",_xlfn.XLOOKUP(Cotação!A131,T_Custos[Produto],T_Fretes[Frete Grão]),IF($H$2="GMAP",_xlfn.XLOOKUP(Cotação!A131,T_Fretes[Produto],T_Fretes[Frete GMAP]),IF($H$2="GMAP Nova Friburgo",_xlfn.XLOOKUP(Cotação!A131,T_Fretes[Produto],T_Fretes[Frete GMAP Nova Friburgo]),IF($H$2="Guanabara",_xlfn.XLOOKUP(Cotação!A131,T_Fretes[Produto],T_Fretes[Frete Guanabara]),_xlfn.XLOOKUP(Cotação!A131,T_Custos[Produto],T_Custos[Frete]))))),0)+_xlfn.XLOOKUP(A131,T_Custos[Produto],T_Custos[Embalado])+_xlfn.XLOOKUP(Cotação!A131,T_Custos[Produto],T_Custos[Avaria]),"Em falta"))</f>
        <v>29.149999999999995</v>
      </c>
      <c r="E131" s="52">
        <f t="shared" si="1"/>
        <v>29.149999999999995</v>
      </c>
    </row>
    <row r="132" spans="1:5" x14ac:dyDescent="0.35">
      <c r="A132" s="50" t="str">
        <v>MAÇA ARGENTINA</v>
      </c>
      <c r="B132" s="51">
        <v>18</v>
      </c>
      <c r="C132" s="51" t="str">
        <v>kg</v>
      </c>
      <c r="D132" s="52" cm="1">
        <f t="array" ref="D132">IF(A132="","",IFERROR(_xlfn.XLOOKUP(A132,T_Custos[Produto],T_Custos[Custo])*(1+$H$3)+IF($H$4="SIM",IF($H$2="Armazém do Grão",_xlfn.XLOOKUP(Cotação!A132,T_Custos[Produto],T_Fretes[Frete Grão]),IF($H$2="GMAP",_xlfn.XLOOKUP(Cotação!A132,T_Fretes[Produto],T_Fretes[Frete GMAP]),IF($H$2="GMAP Nova Friburgo",_xlfn.XLOOKUP(Cotação!A132,T_Fretes[Produto],T_Fretes[Frete GMAP Nova Friburgo]),IF($H$2="Guanabara",_xlfn.XLOOKUP(Cotação!A132,T_Fretes[Produto],T_Fretes[Frete Guanabara]),_xlfn.XLOOKUP(Cotação!A132,T_Custos[Produto],T_Custos[Frete]))))),0)+_xlfn.XLOOKUP(A132,T_Custos[Produto],T_Custos[Embalado])+_xlfn.XLOOKUP(Cotação!A132,T_Custos[Produto],T_Custos[Avaria]),"Em falta"))</f>
        <v>223.17049999999998</v>
      </c>
      <c r="E132" s="52">
        <f t="shared" si="1"/>
        <v>12.398361111111109</v>
      </c>
    </row>
    <row r="133" spans="1:5" x14ac:dyDescent="0.35">
      <c r="A133" s="50" t="str">
        <v>MAÇA FUJI</v>
      </c>
      <c r="B133" s="51">
        <v>18</v>
      </c>
      <c r="C133" s="51" t="str">
        <v>kg</v>
      </c>
      <c r="D133" s="52" cm="1">
        <f t="array" ref="D133">IF(A133="","",IFERROR(_xlfn.XLOOKUP(A133,T_Custos[Produto],T_Custos[Custo])*(1+$H$3)+IF($H$4="SIM",IF($H$2="Armazém do Grão",_xlfn.XLOOKUP(Cotação!A133,T_Custos[Produto],T_Fretes[Frete Grão]),IF($H$2="GMAP",_xlfn.XLOOKUP(Cotação!A133,T_Fretes[Produto],T_Fretes[Frete GMAP]),IF($H$2="GMAP Nova Friburgo",_xlfn.XLOOKUP(Cotação!A133,T_Fretes[Produto],T_Fretes[Frete GMAP Nova Friburgo]),IF($H$2="Guanabara",_xlfn.XLOOKUP(Cotação!A133,T_Fretes[Produto],T_Fretes[Frete Guanabara]),_xlfn.XLOOKUP(Cotação!A133,T_Custos[Produto],T_Custos[Frete]))))),0)+_xlfn.XLOOKUP(A133,T_Custos[Produto],T_Custos[Embalado])+_xlfn.XLOOKUP(Cotação!A133,T_Custos[Produto],T_Custos[Avaria]),"Em falta"))</f>
        <v>186.75</v>
      </c>
      <c r="E133" s="52">
        <f t="shared" si="1"/>
        <v>10.375</v>
      </c>
    </row>
    <row r="134" spans="1:5" x14ac:dyDescent="0.35">
      <c r="A134" s="50" t="str">
        <v>MAÇA GALA CAT 1 100</v>
      </c>
      <c r="B134" s="51">
        <v>18</v>
      </c>
      <c r="C134" s="51" t="str">
        <v>kg</v>
      </c>
      <c r="D134" s="52" cm="1">
        <f t="array" ref="D134">IF(A134="","",IFERROR(_xlfn.XLOOKUP(A134,T_Custos[Produto],T_Custos[Custo])*(1+$H$3)+IF($H$4="SIM",IF($H$2="Armazém do Grão",_xlfn.XLOOKUP(Cotação!A134,T_Custos[Produto],T_Fretes[Frete Grão]),IF($H$2="GMAP",_xlfn.XLOOKUP(Cotação!A134,T_Fretes[Produto],T_Fretes[Frete GMAP]),IF($H$2="GMAP Nova Friburgo",_xlfn.XLOOKUP(Cotação!A134,T_Fretes[Produto],T_Fretes[Frete GMAP Nova Friburgo]),IF($H$2="Guanabara",_xlfn.XLOOKUP(Cotação!A134,T_Fretes[Produto],T_Fretes[Frete Guanabara]),_xlfn.XLOOKUP(Cotação!A134,T_Custos[Produto],T_Custos[Frete]))))),0)+_xlfn.XLOOKUP(A134,T_Custos[Produto],T_Custos[Embalado])+_xlfn.XLOOKUP(Cotação!A134,T_Custos[Produto],T_Custos[Avaria]),"Em falta"))</f>
        <v>173.8125</v>
      </c>
      <c r="E134" s="52">
        <f t="shared" si="1"/>
        <v>9.65625</v>
      </c>
    </row>
    <row r="135" spans="1:5" ht="15.5" x14ac:dyDescent="0.35">
      <c r="A135" s="54" t="str">
        <v>MAÇA GALA CAT 1 135</v>
      </c>
      <c r="B135" s="51">
        <v>18</v>
      </c>
      <c r="C135" s="51" t="str">
        <v>kg</v>
      </c>
      <c r="D135" s="52" cm="1">
        <f t="array" ref="D135">IF(A135="","",IFERROR(_xlfn.XLOOKUP(A135,T_Custos[Produto],T_Custos[Custo])*(1+$H$3)+IF($H$4="SIM",IF($H$2="Armazém do Grão",_xlfn.XLOOKUP(Cotação!A135,T_Custos[Produto],T_Fretes[Frete Grão]),IF($H$2="GMAP",_xlfn.XLOOKUP(Cotação!A135,T_Fretes[Produto],T_Fretes[Frete GMAP]),IF($H$2="GMAP Nova Friburgo",_xlfn.XLOOKUP(Cotação!A135,T_Fretes[Produto],T_Fretes[Frete GMAP Nova Friburgo]),IF($H$2="Guanabara",_xlfn.XLOOKUP(Cotação!A135,T_Fretes[Produto],T_Fretes[Frete Guanabara]),_xlfn.XLOOKUP(Cotação!A135,T_Custos[Produto],T_Custos[Frete]))))),0)+_xlfn.XLOOKUP(A135,T_Custos[Produto],T_Custos[Embalado])+_xlfn.XLOOKUP(Cotação!A135,T_Custos[Produto],T_Custos[Avaria]),"Em falta"))</f>
        <v>158.851</v>
      </c>
      <c r="E135" s="52">
        <f t="shared" si="1"/>
        <v>8.8250555555555561</v>
      </c>
    </row>
    <row r="136" spans="1:5" x14ac:dyDescent="0.35">
      <c r="A136" s="50" t="str">
        <v>MAÇA GALA CAT 3</v>
      </c>
      <c r="B136" s="51">
        <v>18</v>
      </c>
      <c r="C136" s="51" t="str">
        <v>kg</v>
      </c>
      <c r="D136" s="52" cm="1">
        <f t="array" ref="D136">IF(A136="","",IFERROR(_xlfn.XLOOKUP(A136,T_Custos[Produto],T_Custos[Custo])*(1+$H$3)+IF($H$4="SIM",IF($H$2="Armazém do Grão",_xlfn.XLOOKUP(Cotação!A136,T_Custos[Produto],T_Fretes[Frete Grão]),IF($H$2="GMAP",_xlfn.XLOOKUP(Cotação!A136,T_Fretes[Produto],T_Fretes[Frete GMAP]),IF($H$2="GMAP Nova Friburgo",_xlfn.XLOOKUP(Cotação!A136,T_Fretes[Produto],T_Fretes[Frete GMAP Nova Friburgo]),IF($H$2="Guanabara",_xlfn.XLOOKUP(Cotação!A136,T_Fretes[Produto],T_Fretes[Frete Guanabara]),_xlfn.XLOOKUP(Cotação!A136,T_Custos[Produto],T_Custos[Frete]))))),0)+_xlfn.XLOOKUP(A136,T_Custos[Produto],T_Custos[Embalado])+_xlfn.XLOOKUP(Cotação!A136,T_Custos[Produto],T_Custos[Avaria]),"Em falta"))</f>
        <v>124.70749999999998</v>
      </c>
      <c r="E136" s="52">
        <f t="shared" si="1"/>
        <v>6.9281944444444434</v>
      </c>
    </row>
    <row r="137" spans="1:5" ht="15.5" x14ac:dyDescent="0.35">
      <c r="A137" s="54" t="str">
        <v>MAÇA GALA SACOLINHA</v>
      </c>
      <c r="B137" s="51">
        <v>24</v>
      </c>
      <c r="C137" s="51" t="str">
        <v>pc</v>
      </c>
      <c r="D137" s="52" cm="1">
        <f t="array" ref="D137">IF(A137="","",IFERROR(_xlfn.XLOOKUP(A137,T_Custos[Produto],T_Custos[Custo])*(1+$H$3)+IF($H$4="SIM",IF($H$2="Armazém do Grão",_xlfn.XLOOKUP(Cotação!A137,T_Custos[Produto],T_Fretes[Frete Grão]),IF($H$2="GMAP",_xlfn.XLOOKUP(Cotação!A137,T_Fretes[Produto],T_Fretes[Frete GMAP]),IF($H$2="GMAP Nova Friburgo",_xlfn.XLOOKUP(Cotação!A137,T_Fretes[Produto],T_Fretes[Frete GMAP Nova Friburgo]),IF($H$2="Guanabara",_xlfn.XLOOKUP(Cotação!A137,T_Fretes[Produto],T_Fretes[Frete Guanabara]),_xlfn.XLOOKUP(Cotação!A137,T_Custos[Produto],T_Custos[Frete]))))),0)+_xlfn.XLOOKUP(A137,T_Custos[Produto],T_Custos[Embalado])+_xlfn.XLOOKUP(Cotação!A137,T_Custos[Produto],T_Custos[Avaria]),"Em falta"))</f>
        <v>148.0205</v>
      </c>
      <c r="E137" s="52">
        <f t="shared" ref="E137:E200" si="2">IF(A137="","",IFERROR(D137/B137,"Em falta"))</f>
        <v>6.1675208333333336</v>
      </c>
    </row>
    <row r="138" spans="1:5" x14ac:dyDescent="0.35">
      <c r="A138" s="50" t="str">
        <v>MAÇA GRANNY SMITH</v>
      </c>
      <c r="B138" s="51">
        <v>18</v>
      </c>
      <c r="C138" s="51" t="str">
        <v>kg</v>
      </c>
      <c r="D138" s="52" cm="1">
        <f t="array" ref="D138">IF(A138="","",IFERROR(_xlfn.XLOOKUP(A138,T_Custos[Produto],T_Custos[Custo])*(1+$H$3)+IF($H$4="SIM",IF($H$2="Armazém do Grão",_xlfn.XLOOKUP(Cotação!A138,T_Custos[Produto],T_Fretes[Frete Grão]),IF($H$2="GMAP",_xlfn.XLOOKUP(Cotação!A138,T_Fretes[Produto],T_Fretes[Frete GMAP]),IF($H$2="GMAP Nova Friburgo",_xlfn.XLOOKUP(Cotação!A138,T_Fretes[Produto],T_Fretes[Frete GMAP Nova Friburgo]),IF($H$2="Guanabara",_xlfn.XLOOKUP(Cotação!A138,T_Fretes[Produto],T_Fretes[Frete Guanabara]),_xlfn.XLOOKUP(Cotação!A138,T_Custos[Produto],T_Custos[Frete]))))),0)+_xlfn.XLOOKUP(A138,T_Custos[Produto],T_Custos[Embalado])+_xlfn.XLOOKUP(Cotação!A138,T_Custos[Produto],T_Custos[Avaria]),"Em falta"))</f>
        <v>220.90499999999997</v>
      </c>
      <c r="E138" s="52">
        <f t="shared" si="2"/>
        <v>12.272499999999999</v>
      </c>
    </row>
    <row r="139" spans="1:5" ht="15.5" x14ac:dyDescent="0.35">
      <c r="A139" s="54" t="str">
        <v>MAMAO FORMOSA</v>
      </c>
      <c r="B139" s="51">
        <v>13</v>
      </c>
      <c r="C139" s="51" t="str">
        <v>kg</v>
      </c>
      <c r="D139" s="52" cm="1">
        <f t="array" ref="D139">IF(A139="","",IFERROR(_xlfn.XLOOKUP(A139,T_Custos[Produto],T_Custos[Custo])*(1+$H$3)+IF($H$4="SIM",IF($H$2="Armazém do Grão",_xlfn.XLOOKUP(Cotação!A139,T_Custos[Produto],T_Fretes[Frete Grão]),IF($H$2="GMAP",_xlfn.XLOOKUP(Cotação!A139,T_Fretes[Produto],T_Fretes[Frete GMAP]),IF($H$2="GMAP Nova Friburgo",_xlfn.XLOOKUP(Cotação!A139,T_Fretes[Produto],T_Fretes[Frete GMAP Nova Friburgo]),IF($H$2="Guanabara",_xlfn.XLOOKUP(Cotação!A139,T_Fretes[Produto],T_Fretes[Frete Guanabara]),_xlfn.XLOOKUP(Cotação!A139,T_Custos[Produto],T_Custos[Frete]))))),0)+_xlfn.XLOOKUP(A139,T_Custos[Produto],T_Custos[Embalado])+_xlfn.XLOOKUP(Cotação!A139,T_Custos[Produto],T_Custos[Avaria]),"Em falta"))</f>
        <v>78.271499999999989</v>
      </c>
      <c r="E139" s="52">
        <f t="shared" si="2"/>
        <v>6.0208846153846149</v>
      </c>
    </row>
    <row r="140" spans="1:5" x14ac:dyDescent="0.35">
      <c r="A140" s="50" t="str">
        <v>MAMAO FORMOSA GAIA</v>
      </c>
      <c r="B140" s="51">
        <v>10</v>
      </c>
      <c r="C140" s="51" t="str">
        <v>kg</v>
      </c>
      <c r="D140" s="52" cm="1">
        <f t="array" ref="D140">IF(A140="","",IFERROR(_xlfn.XLOOKUP(A140,T_Custos[Produto],T_Custos[Custo])*(1+$H$3)+IF($H$4="SIM",IF($H$2="Armazém do Grão",_xlfn.XLOOKUP(Cotação!A140,T_Custos[Produto],T_Fretes[Frete Grão]),IF($H$2="GMAP",_xlfn.XLOOKUP(Cotação!A140,T_Fretes[Produto],T_Fretes[Frete GMAP]),IF($H$2="GMAP Nova Friburgo",_xlfn.XLOOKUP(Cotação!A140,T_Fretes[Produto],T_Fretes[Frete GMAP Nova Friburgo]),IF($H$2="Guanabara",_xlfn.XLOOKUP(Cotação!A140,T_Fretes[Produto],T_Fretes[Frete Guanabara]),_xlfn.XLOOKUP(Cotação!A140,T_Custos[Produto],T_Custos[Frete]))))),0)+_xlfn.XLOOKUP(A140,T_Custos[Produto],T_Custos[Embalado])+_xlfn.XLOOKUP(Cotação!A140,T_Custos[Produto],T_Custos[Avaria]),"Em falta"))</f>
        <v>69.75</v>
      </c>
      <c r="E140" s="52">
        <f t="shared" si="2"/>
        <v>6.9749999999999996</v>
      </c>
    </row>
    <row r="141" spans="1:5" x14ac:dyDescent="0.35">
      <c r="A141" s="50" t="str">
        <v>MAMAO GAIA - HAVAI</v>
      </c>
      <c r="B141" s="51">
        <v>10</v>
      </c>
      <c r="C141" s="51" t="str">
        <v>kg</v>
      </c>
      <c r="D141" s="52" cm="1">
        <f t="array" ref="D141">IF(A141="","",IFERROR(_xlfn.XLOOKUP(A141,T_Custos[Produto],T_Custos[Custo])*(1+$H$3)+IF($H$4="SIM",IF($H$2="Armazém do Grão",_xlfn.XLOOKUP(Cotação!A141,T_Custos[Produto],T_Fretes[Frete Grão]),IF($H$2="GMAP",_xlfn.XLOOKUP(Cotação!A141,T_Fretes[Produto],T_Fretes[Frete GMAP]),IF($H$2="GMAP Nova Friburgo",_xlfn.XLOOKUP(Cotação!A141,T_Fretes[Produto],T_Fretes[Frete GMAP Nova Friburgo]),IF($H$2="Guanabara",_xlfn.XLOOKUP(Cotação!A141,T_Fretes[Produto],T_Fretes[Frete Guanabara]),_xlfn.XLOOKUP(Cotação!A141,T_Custos[Produto],T_Custos[Frete]))))),0)+_xlfn.XLOOKUP(A141,T_Custos[Produto],T_Custos[Embalado])+_xlfn.XLOOKUP(Cotação!A141,T_Custos[Produto],T_Custos[Avaria]),"Em falta"))</f>
        <v>104.24999999999999</v>
      </c>
      <c r="E141" s="52">
        <f t="shared" si="2"/>
        <v>10.424999999999999</v>
      </c>
    </row>
    <row r="142" spans="1:5" x14ac:dyDescent="0.35">
      <c r="A142" s="50" t="str">
        <v>MAMAO HAVAI</v>
      </c>
      <c r="B142" s="51">
        <v>6</v>
      </c>
      <c r="C142" s="51" t="str">
        <v>kg</v>
      </c>
      <c r="D142" s="52" t="str" cm="1">
        <f t="array" ref="D142">IF(A142="","",IFERROR(_xlfn.XLOOKUP(A142,T_Custos[Produto],T_Custos[Custo])*(1+$H$3)+IF($H$4="SIM",IF($H$2="Armazém do Grão",_xlfn.XLOOKUP(Cotação!A142,T_Custos[Produto],T_Fretes[Frete Grão]),IF($H$2="GMAP",_xlfn.XLOOKUP(Cotação!A142,T_Fretes[Produto],T_Fretes[Frete GMAP]),IF($H$2="GMAP Nova Friburgo",_xlfn.XLOOKUP(Cotação!A142,T_Fretes[Produto],T_Fretes[Frete GMAP Nova Friburgo]),IF($H$2="Guanabara",_xlfn.XLOOKUP(Cotação!A142,T_Fretes[Produto],T_Fretes[Frete Guanabara]),_xlfn.XLOOKUP(Cotação!A142,T_Custos[Produto],T_Custos[Frete]))))),0)+_xlfn.XLOOKUP(A142,T_Custos[Produto],T_Custos[Embalado])+_xlfn.XLOOKUP(Cotação!A142,T_Custos[Produto],T_Custos[Avaria]),"Em falta"))</f>
        <v>Em falta</v>
      </c>
      <c r="E142" s="52" t="str">
        <f t="shared" si="2"/>
        <v>Em falta</v>
      </c>
    </row>
    <row r="143" spans="1:5" x14ac:dyDescent="0.35">
      <c r="A143" s="53" t="str">
        <v>MAMAO HAVAI 8</v>
      </c>
      <c r="B143" s="51">
        <v>8</v>
      </c>
      <c r="C143" s="51" t="str">
        <v>kg</v>
      </c>
      <c r="D143" s="52" t="str" cm="1">
        <f t="array" ref="D143">IF(A143="","",IFERROR(_xlfn.XLOOKUP(A143,T_Custos[Produto],T_Custos[Custo])*(1+$H$3)+IF($H$4="SIM",IF($H$2="Armazém do Grão",_xlfn.XLOOKUP(Cotação!A143,T_Custos[Produto],T_Fretes[Frete Grão]),IF($H$2="GMAP",_xlfn.XLOOKUP(Cotação!A143,T_Fretes[Produto],T_Fretes[Frete GMAP]),IF($H$2="GMAP Nova Friburgo",_xlfn.XLOOKUP(Cotação!A143,T_Fretes[Produto],T_Fretes[Frete GMAP Nova Friburgo]),IF($H$2="Guanabara",_xlfn.XLOOKUP(Cotação!A143,T_Fretes[Produto],T_Fretes[Frete Guanabara]),_xlfn.XLOOKUP(Cotação!A143,T_Custos[Produto],T_Custos[Frete]))))),0)+_xlfn.XLOOKUP(A143,T_Custos[Produto],T_Custos[Embalado])+_xlfn.XLOOKUP(Cotação!A143,T_Custos[Produto],T_Custos[Avaria]),"Em falta"))</f>
        <v>Em falta</v>
      </c>
      <c r="E143" s="52" t="str">
        <f t="shared" si="2"/>
        <v>Em falta</v>
      </c>
    </row>
    <row r="144" spans="1:5" x14ac:dyDescent="0.35">
      <c r="A144" s="50" t="str">
        <v>MAMAO VERDE</v>
      </c>
      <c r="B144" s="51">
        <v>1</v>
      </c>
      <c r="C144" s="51" t="str">
        <v>bd</v>
      </c>
      <c r="D144" s="52" t="str" cm="1">
        <f t="array" ref="D144">IF(A144="","",IFERROR(_xlfn.XLOOKUP(A144,T_Custos[Produto],T_Custos[Custo])*(1+$H$3)+IF($H$4="SIM",IF($H$2="Armazém do Grão",_xlfn.XLOOKUP(Cotação!A144,T_Custos[Produto],T_Fretes[Frete Grão]),IF($H$2="GMAP",_xlfn.XLOOKUP(Cotação!A144,T_Fretes[Produto],T_Fretes[Frete GMAP]),IF($H$2="GMAP Nova Friburgo",_xlfn.XLOOKUP(Cotação!A144,T_Fretes[Produto],T_Fretes[Frete GMAP Nova Friburgo]),IF($H$2="Guanabara",_xlfn.XLOOKUP(Cotação!A144,T_Fretes[Produto],T_Fretes[Frete Guanabara]),_xlfn.XLOOKUP(Cotação!A144,T_Custos[Produto],T_Custos[Frete]))))),0)+_xlfn.XLOOKUP(A144,T_Custos[Produto],T_Custos[Embalado])+_xlfn.XLOOKUP(Cotação!A144,T_Custos[Produto],T_Custos[Avaria]),"Em falta"))</f>
        <v>Em falta</v>
      </c>
      <c r="E144" s="52" t="str">
        <f t="shared" si="2"/>
        <v>Em falta</v>
      </c>
    </row>
    <row r="145" spans="1:5" x14ac:dyDescent="0.35">
      <c r="A145" s="50" t="str">
        <v>MANGA ESPADA</v>
      </c>
      <c r="B145" s="51">
        <v>15</v>
      </c>
      <c r="C145" s="51" t="str">
        <v>kg</v>
      </c>
      <c r="D145" s="52" t="str" cm="1">
        <f t="array" ref="D145">IF(A145="","",IFERROR(_xlfn.XLOOKUP(A145,T_Custos[Produto],T_Custos[Custo])*(1+$H$3)+IF($H$4="SIM",IF($H$2="Armazém do Grão",_xlfn.XLOOKUP(Cotação!A145,T_Custos[Produto],T_Fretes[Frete Grão]),IF($H$2="GMAP",_xlfn.XLOOKUP(Cotação!A145,T_Fretes[Produto],T_Fretes[Frete GMAP]),IF($H$2="GMAP Nova Friburgo",_xlfn.XLOOKUP(Cotação!A145,T_Fretes[Produto],T_Fretes[Frete GMAP Nova Friburgo]),IF($H$2="Guanabara",_xlfn.XLOOKUP(Cotação!A145,T_Fretes[Produto],T_Fretes[Frete Guanabara]),_xlfn.XLOOKUP(Cotação!A145,T_Custos[Produto],T_Custos[Frete]))))),0)+_xlfn.XLOOKUP(A145,T_Custos[Produto],T_Custos[Embalado])+_xlfn.XLOOKUP(Cotação!A145,T_Custos[Produto],T_Custos[Avaria]),"Em falta"))</f>
        <v>Em falta</v>
      </c>
      <c r="E145" s="52" t="str">
        <f t="shared" si="2"/>
        <v>Em falta</v>
      </c>
    </row>
    <row r="146" spans="1:5" ht="15.5" x14ac:dyDescent="0.35">
      <c r="A146" s="54" t="str">
        <v>MANGA PALMER</v>
      </c>
      <c r="B146" s="51">
        <v>18</v>
      </c>
      <c r="C146" s="51" t="str">
        <v>kg</v>
      </c>
      <c r="D146" s="52" cm="1">
        <f t="array" ref="D146">IF(A146="","",IFERROR(_xlfn.XLOOKUP(A146,T_Custos[Produto],T_Custos[Custo])*(1+$H$3)+IF($H$4="SIM",IF($H$2="Armazém do Grão",_xlfn.XLOOKUP(Cotação!A146,T_Custos[Produto],T_Fretes[Frete Grão]),IF($H$2="GMAP",_xlfn.XLOOKUP(Cotação!A146,T_Fretes[Produto],T_Fretes[Frete GMAP]),IF($H$2="GMAP Nova Friburgo",_xlfn.XLOOKUP(Cotação!A146,T_Fretes[Produto],T_Fretes[Frete GMAP Nova Friburgo]),IF($H$2="Guanabara",_xlfn.XLOOKUP(Cotação!A146,T_Fretes[Produto],T_Fretes[Frete Guanabara]),_xlfn.XLOOKUP(Cotação!A146,T_Custos[Produto],T_Custos[Frete]))))),0)+_xlfn.XLOOKUP(A146,T_Custos[Produto],T_Custos[Embalado])+_xlfn.XLOOKUP(Cotação!A146,T_Custos[Produto],T_Custos[Avaria]),"Em falta"))</f>
        <v>102.94999999999999</v>
      </c>
      <c r="E146" s="52">
        <f t="shared" si="2"/>
        <v>5.7194444444444441</v>
      </c>
    </row>
    <row r="147" spans="1:5" x14ac:dyDescent="0.35">
      <c r="A147" s="50" t="str">
        <v>MANGA TOMMY</v>
      </c>
      <c r="B147" s="51">
        <v>15</v>
      </c>
      <c r="C147" s="51" t="str">
        <v>kg</v>
      </c>
      <c r="D147" s="52" cm="1">
        <f t="array" ref="D147">IF(A147="","",IFERROR(_xlfn.XLOOKUP(A147,T_Custos[Produto],T_Custos[Custo])*(1+$H$3)+IF($H$4="SIM",IF($H$2="Armazém do Grão",_xlfn.XLOOKUP(Cotação!A147,T_Custos[Produto],T_Fretes[Frete Grão]),IF($H$2="GMAP",_xlfn.XLOOKUP(Cotação!A147,T_Fretes[Produto],T_Fretes[Frete GMAP]),IF($H$2="GMAP Nova Friburgo",_xlfn.XLOOKUP(Cotação!A147,T_Fretes[Produto],T_Fretes[Frete GMAP Nova Friburgo]),IF($H$2="Guanabara",_xlfn.XLOOKUP(Cotação!A147,T_Fretes[Produto],T_Fretes[Frete Guanabara]),_xlfn.XLOOKUP(Cotação!A147,T_Custos[Produto],T_Custos[Frete]))))),0)+_xlfn.XLOOKUP(A147,T_Custos[Produto],T_Custos[Embalado])+_xlfn.XLOOKUP(Cotação!A147,T_Custos[Produto],T_Custos[Avaria]),"Em falta"))</f>
        <v>119.2225</v>
      </c>
      <c r="E147" s="52">
        <f t="shared" si="2"/>
        <v>7.9481666666666664</v>
      </c>
    </row>
    <row r="148" spans="1:5" x14ac:dyDescent="0.35">
      <c r="A148" s="50" t="str">
        <v>MANJERICAO KG</v>
      </c>
      <c r="B148" s="51">
        <v>1</v>
      </c>
      <c r="C148" s="51" t="str">
        <v>kg</v>
      </c>
      <c r="D148" s="52" cm="1">
        <f t="array" ref="D148">IF(A148="","",IFERROR(_xlfn.XLOOKUP(A148,T_Custos[Produto],T_Custos[Custo])*(1+$H$3)+IF($H$4="SIM",IF($H$2="Armazém do Grão",_xlfn.XLOOKUP(Cotação!A148,T_Custos[Produto],T_Fretes[Frete Grão]),IF($H$2="GMAP",_xlfn.XLOOKUP(Cotação!A148,T_Fretes[Produto],T_Fretes[Frete GMAP]),IF($H$2="GMAP Nova Friburgo",_xlfn.XLOOKUP(Cotação!A148,T_Fretes[Produto],T_Fretes[Frete GMAP Nova Friburgo]),IF($H$2="Guanabara",_xlfn.XLOOKUP(Cotação!A148,T_Fretes[Produto],T_Fretes[Frete Guanabara]),_xlfn.XLOOKUP(Cotação!A148,T_Custos[Produto],T_Custos[Frete]))))),0)+_xlfn.XLOOKUP(A148,T_Custos[Produto],T_Custos[Embalado])+_xlfn.XLOOKUP(Cotação!A148,T_Custos[Produto],T_Custos[Avaria]),"Em falta"))</f>
        <v>29.149999999999995</v>
      </c>
      <c r="E148" s="52">
        <f t="shared" si="2"/>
        <v>29.149999999999995</v>
      </c>
    </row>
    <row r="149" spans="1:5" x14ac:dyDescent="0.35">
      <c r="A149" s="50" t="str">
        <v>MARACUJA</v>
      </c>
      <c r="B149" s="51">
        <v>10</v>
      </c>
      <c r="C149" s="51" t="str">
        <v>kg</v>
      </c>
      <c r="D149" s="52" cm="1">
        <f t="array" ref="D149">IF(A149="","",IFERROR(_xlfn.XLOOKUP(A149,T_Custos[Produto],T_Custos[Custo])*(1+$H$3)+IF($H$4="SIM",IF($H$2="Armazém do Grão",_xlfn.XLOOKUP(Cotação!A149,T_Custos[Produto],T_Fretes[Frete Grão]),IF($H$2="GMAP",_xlfn.XLOOKUP(Cotação!A149,T_Fretes[Produto],T_Fretes[Frete GMAP]),IF($H$2="GMAP Nova Friburgo",_xlfn.XLOOKUP(Cotação!A149,T_Fretes[Produto],T_Fretes[Frete GMAP Nova Friburgo]),IF($H$2="Guanabara",_xlfn.XLOOKUP(Cotação!A149,T_Fretes[Produto],T_Fretes[Frete Guanabara]),_xlfn.XLOOKUP(Cotação!A149,T_Custos[Produto],T_Custos[Frete]))))),0)+_xlfn.XLOOKUP(A149,T_Custos[Produto],T_Custos[Embalado])+_xlfn.XLOOKUP(Cotação!A149,T_Custos[Produto],T_Custos[Avaria]),"Em falta"))</f>
        <v>81.25</v>
      </c>
      <c r="E149" s="52">
        <f t="shared" si="2"/>
        <v>8.125</v>
      </c>
    </row>
    <row r="150" spans="1:5" x14ac:dyDescent="0.35">
      <c r="A150" s="50" t="str">
        <v>MAXIXE</v>
      </c>
      <c r="B150" s="51">
        <v>10</v>
      </c>
      <c r="C150" s="51" t="str">
        <v>kg</v>
      </c>
      <c r="D150" s="52" cm="1">
        <f t="array" ref="D150">IF(A150="","",IFERROR(_xlfn.XLOOKUP(A150,T_Custos[Produto],T_Custos[Custo])*(1+$H$3)+IF($H$4="SIM",IF($H$2="Armazém do Grão",_xlfn.XLOOKUP(Cotação!A150,T_Custos[Produto],T_Fretes[Frete Grão]),IF($H$2="GMAP",_xlfn.XLOOKUP(Cotação!A150,T_Fretes[Produto],T_Fretes[Frete GMAP]),IF($H$2="GMAP Nova Friburgo",_xlfn.XLOOKUP(Cotação!A150,T_Fretes[Produto],T_Fretes[Frete GMAP Nova Friburgo]),IF($H$2="Guanabara",_xlfn.XLOOKUP(Cotação!A150,T_Fretes[Produto],T_Fretes[Frete Guanabara]),_xlfn.XLOOKUP(Cotação!A150,T_Custos[Produto],T_Custos[Frete]))))),0)+_xlfn.XLOOKUP(A150,T_Custos[Produto],T_Custos[Embalado])+_xlfn.XLOOKUP(Cotação!A150,T_Custos[Produto],T_Custos[Avaria]),"Em falta"))</f>
        <v>146.5</v>
      </c>
      <c r="E150" s="52">
        <f t="shared" si="2"/>
        <v>14.65</v>
      </c>
    </row>
    <row r="151" spans="1:5" x14ac:dyDescent="0.35">
      <c r="A151" s="50" t="str">
        <v>MELANCIA</v>
      </c>
      <c r="B151" s="51">
        <v>1</v>
      </c>
      <c r="C151" s="51" t="str">
        <v>kg</v>
      </c>
      <c r="D151" s="52" cm="1">
        <f t="array" ref="D151">IF(A151="","",IFERROR(_xlfn.XLOOKUP(A151,T_Custos[Produto],T_Custos[Custo])*(1+$H$3)+IF($H$4="SIM",IF($H$2="Armazém do Grão",_xlfn.XLOOKUP(Cotação!A151,T_Custos[Produto],T_Fretes[Frete Grão]),IF($H$2="GMAP",_xlfn.XLOOKUP(Cotação!A151,T_Fretes[Produto],T_Fretes[Frete GMAP]),IF($H$2="GMAP Nova Friburgo",_xlfn.XLOOKUP(Cotação!A151,T_Fretes[Produto],T_Fretes[Frete GMAP Nova Friburgo]),IF($H$2="Guanabara",_xlfn.XLOOKUP(Cotação!A151,T_Fretes[Produto],T_Fretes[Frete Guanabara]),_xlfn.XLOOKUP(Cotação!A151,T_Custos[Produto],T_Custos[Frete]))))),0)+_xlfn.XLOOKUP(A151,T_Custos[Produto],T_Custos[Embalado])+_xlfn.XLOOKUP(Cotação!A151,T_Custos[Produto],T_Custos[Avaria]),"Em falta"))</f>
        <v>5.133</v>
      </c>
      <c r="E151" s="52">
        <f t="shared" si="2"/>
        <v>5.133</v>
      </c>
    </row>
    <row r="152" spans="1:5" x14ac:dyDescent="0.35">
      <c r="A152" s="50" t="str">
        <v>MELANCIA AMARELA</v>
      </c>
      <c r="B152" s="51">
        <v>1</v>
      </c>
      <c r="C152" s="51" t="str">
        <v>kg</v>
      </c>
      <c r="D152" s="52" t="str" cm="1">
        <f t="array" ref="D152">IF(A152="","",IFERROR(_xlfn.XLOOKUP(A152,T_Custos[Produto],T_Custos[Custo])*(1+$H$3)+IF($H$4="SIM",IF($H$2="Armazém do Grão",_xlfn.XLOOKUP(Cotação!A152,T_Custos[Produto],T_Fretes[Frete Grão]),IF($H$2="GMAP",_xlfn.XLOOKUP(Cotação!A152,T_Fretes[Produto],T_Fretes[Frete GMAP]),IF($H$2="GMAP Nova Friburgo",_xlfn.XLOOKUP(Cotação!A152,T_Fretes[Produto],T_Fretes[Frete GMAP Nova Friburgo]),IF($H$2="Guanabara",_xlfn.XLOOKUP(Cotação!A152,T_Fretes[Produto],T_Fretes[Frete Guanabara]),_xlfn.XLOOKUP(Cotação!A152,T_Custos[Produto],T_Custos[Frete]))))),0)+_xlfn.XLOOKUP(A152,T_Custos[Produto],T_Custos[Embalado])+_xlfn.XLOOKUP(Cotação!A152,T_Custos[Produto],T_Custos[Avaria]),"Em falta"))</f>
        <v>Em falta</v>
      </c>
      <c r="E152" s="52" t="str">
        <f t="shared" si="2"/>
        <v>Em falta</v>
      </c>
    </row>
    <row r="153" spans="1:5" ht="15.5" x14ac:dyDescent="0.35">
      <c r="A153" s="54" t="str">
        <v>MELANCIA BABY</v>
      </c>
      <c r="B153" s="51">
        <v>13</v>
      </c>
      <c r="C153" s="51" t="str">
        <v>kg</v>
      </c>
      <c r="D153" s="52" cm="1">
        <f t="array" ref="D153">IF(A153="","",IFERROR(_xlfn.XLOOKUP(A153,T_Custos[Produto],T_Custos[Custo])*(1+$H$3)+IF($H$4="SIM",IF($H$2="Armazém do Grão",_xlfn.XLOOKUP(Cotação!A153,T_Custos[Produto],T_Fretes[Frete Grão]),IF($H$2="GMAP",_xlfn.XLOOKUP(Cotação!A153,T_Fretes[Produto],T_Fretes[Frete GMAP]),IF($H$2="GMAP Nova Friburgo",_xlfn.XLOOKUP(Cotação!A153,T_Fretes[Produto],T_Fretes[Frete GMAP Nova Friburgo]),IF($H$2="Guanabara",_xlfn.XLOOKUP(Cotação!A153,T_Fretes[Produto],T_Fretes[Frete Guanabara]),_xlfn.XLOOKUP(Cotação!A153,T_Custos[Produto],T_Custos[Frete]))))),0)+_xlfn.XLOOKUP(A153,T_Custos[Produto],T_Custos[Embalado])+_xlfn.XLOOKUP(Cotação!A153,T_Custos[Produto],T_Custos[Avaria]),"Em falta"))</f>
        <v>61.699999999999996</v>
      </c>
      <c r="E153" s="52">
        <f t="shared" si="2"/>
        <v>4.7461538461538462</v>
      </c>
    </row>
    <row r="154" spans="1:5" x14ac:dyDescent="0.35">
      <c r="A154" s="50" t="str">
        <v>MELANCIA SEM SEMENTE</v>
      </c>
      <c r="B154" s="51">
        <v>13</v>
      </c>
      <c r="C154" s="51" t="str">
        <v>kg</v>
      </c>
      <c r="D154" s="52" cm="1">
        <f t="array" ref="D154">IF(A154="","",IFERROR(_xlfn.XLOOKUP(A154,T_Custos[Produto],T_Custos[Custo])*(1+$H$3)+IF($H$4="SIM",IF($H$2="Armazém do Grão",_xlfn.XLOOKUP(Cotação!A154,T_Custos[Produto],T_Fretes[Frete Grão]),IF($H$2="GMAP",_xlfn.XLOOKUP(Cotação!A154,T_Fretes[Produto],T_Fretes[Frete GMAP]),IF($H$2="GMAP Nova Friburgo",_xlfn.XLOOKUP(Cotação!A154,T_Fretes[Produto],T_Fretes[Frete GMAP Nova Friburgo]),IF($H$2="Guanabara",_xlfn.XLOOKUP(Cotação!A154,T_Fretes[Produto],T_Fretes[Frete Guanabara]),_xlfn.XLOOKUP(Cotação!A154,T_Custos[Produto],T_Custos[Frete]))))),0)+_xlfn.XLOOKUP(A154,T_Custos[Produto],T_Custos[Embalado])+_xlfn.XLOOKUP(Cotação!A154,T_Custos[Produto],T_Custos[Avaria]),"Em falta"))</f>
        <v>9.3149999999999995</v>
      </c>
      <c r="E154" s="52">
        <f t="shared" si="2"/>
        <v>0.71653846153846146</v>
      </c>
    </row>
    <row r="155" spans="1:5" ht="15.5" x14ac:dyDescent="0.35">
      <c r="A155" s="54" t="str">
        <v>MELAO AMARELO</v>
      </c>
      <c r="B155" s="51">
        <v>13</v>
      </c>
      <c r="C155" s="51" t="str">
        <v>kg</v>
      </c>
      <c r="D155" s="52" cm="1">
        <f t="array" ref="D155">IF(A155="","",IFERROR(_xlfn.XLOOKUP(A155,T_Custos[Produto],T_Custos[Custo])*(1+$H$3)+IF($H$4="SIM",IF($H$2="Armazém do Grão",_xlfn.XLOOKUP(Cotação!A155,T_Custos[Produto],T_Fretes[Frete Grão]),IF($H$2="GMAP",_xlfn.XLOOKUP(Cotação!A155,T_Fretes[Produto],T_Fretes[Frete GMAP]),IF($H$2="GMAP Nova Friburgo",_xlfn.XLOOKUP(Cotação!A155,T_Fretes[Produto],T_Fretes[Frete GMAP Nova Friburgo]),IF($H$2="Guanabara",_xlfn.XLOOKUP(Cotação!A155,T_Fretes[Produto],T_Fretes[Frete Guanabara]),_xlfn.XLOOKUP(Cotação!A155,T_Custos[Produto],T_Custos[Frete]))))),0)+_xlfn.XLOOKUP(A155,T_Custos[Produto],T_Custos[Embalado])+_xlfn.XLOOKUP(Cotação!A155,T_Custos[Produto],T_Custos[Avaria]),"Em falta"))</f>
        <v>76.649999999999991</v>
      </c>
      <c r="E155" s="52">
        <f t="shared" si="2"/>
        <v>5.8961538461538456</v>
      </c>
    </row>
    <row r="156" spans="1:5" x14ac:dyDescent="0.35">
      <c r="A156" s="50" t="str">
        <v>MELAO CANTALOUPE</v>
      </c>
      <c r="B156" s="51">
        <v>14</v>
      </c>
      <c r="C156" s="51" t="str">
        <v>kg</v>
      </c>
      <c r="D156" s="52" t="str" cm="1">
        <f t="array" ref="D156">IF(A156="","",IFERROR(_xlfn.XLOOKUP(A156,T_Custos[Produto],T_Custos[Custo])*(1+$H$3)+IF($H$4="SIM",IF($H$2="Armazém do Grão",_xlfn.XLOOKUP(Cotação!A156,T_Custos[Produto],T_Fretes[Frete Grão]),IF($H$2="GMAP",_xlfn.XLOOKUP(Cotação!A156,T_Fretes[Produto],T_Fretes[Frete GMAP]),IF($H$2="GMAP Nova Friburgo",_xlfn.XLOOKUP(Cotação!A156,T_Fretes[Produto],T_Fretes[Frete GMAP Nova Friburgo]),IF($H$2="Guanabara",_xlfn.XLOOKUP(Cotação!A156,T_Fretes[Produto],T_Fretes[Frete Guanabara]),_xlfn.XLOOKUP(Cotação!A156,T_Custos[Produto],T_Custos[Frete]))))),0)+_xlfn.XLOOKUP(A156,T_Custos[Produto],T_Custos[Embalado])+_xlfn.XLOOKUP(Cotação!A156,T_Custos[Produto],T_Custos[Avaria]),"Em falta"))</f>
        <v>Em falta</v>
      </c>
      <c r="E156" s="52" t="str">
        <f t="shared" si="2"/>
        <v>Em falta</v>
      </c>
    </row>
    <row r="157" spans="1:5" x14ac:dyDescent="0.35">
      <c r="A157" s="50" t="str">
        <v>MELAO GAIA</v>
      </c>
      <c r="B157" s="51">
        <v>10</v>
      </c>
      <c r="C157" s="51" t="str">
        <v>kg</v>
      </c>
      <c r="D157" s="52" t="str" cm="1">
        <f t="array" ref="D157">IF(A157="","",IFERROR(_xlfn.XLOOKUP(A157,T_Custos[Produto],T_Custos[Custo])*(1+$H$3)+IF($H$4="SIM",IF($H$2="Armazém do Grão",_xlfn.XLOOKUP(Cotação!A157,T_Custos[Produto],T_Fretes[Frete Grão]),IF($H$2="GMAP",_xlfn.XLOOKUP(Cotação!A157,T_Fretes[Produto],T_Fretes[Frete GMAP]),IF($H$2="GMAP Nova Friburgo",_xlfn.XLOOKUP(Cotação!A157,T_Fretes[Produto],T_Fretes[Frete GMAP Nova Friburgo]),IF($H$2="Guanabara",_xlfn.XLOOKUP(Cotação!A157,T_Fretes[Produto],T_Fretes[Frete Guanabara]),_xlfn.XLOOKUP(Cotação!A157,T_Custos[Produto],T_Custos[Frete]))))),0)+_xlfn.XLOOKUP(A157,T_Custos[Produto],T_Custos[Embalado])+_xlfn.XLOOKUP(Cotação!A157,T_Custos[Produto],T_Custos[Avaria]),"Em falta"))</f>
        <v>Em falta</v>
      </c>
      <c r="E157" s="52" t="str">
        <f t="shared" si="2"/>
        <v>Em falta</v>
      </c>
    </row>
    <row r="158" spans="1:5" x14ac:dyDescent="0.35">
      <c r="A158" s="50" t="str">
        <v>MELAO ORANGE</v>
      </c>
      <c r="B158" s="51">
        <v>6</v>
      </c>
      <c r="C158" s="51" t="str">
        <v>kg</v>
      </c>
      <c r="D158" s="52" cm="1">
        <f t="array" ref="D158">IF(A158="","",IFERROR(_xlfn.XLOOKUP(A158,T_Custos[Produto],T_Custos[Custo])*(1+$H$3)+IF($H$4="SIM",IF($H$2="Armazém do Grão",_xlfn.XLOOKUP(Cotação!A158,T_Custos[Produto],T_Fretes[Frete Grão]),IF($H$2="GMAP",_xlfn.XLOOKUP(Cotação!A158,T_Fretes[Produto],T_Fretes[Frete GMAP]),IF($H$2="GMAP Nova Friburgo",_xlfn.XLOOKUP(Cotação!A158,T_Fretes[Produto],T_Fretes[Frete GMAP Nova Friburgo]),IF($H$2="Guanabara",_xlfn.XLOOKUP(Cotação!A158,T_Fretes[Produto],T_Fretes[Frete Guanabara]),_xlfn.XLOOKUP(Cotação!A158,T_Custos[Produto],T_Custos[Frete]))))),0)+_xlfn.XLOOKUP(A158,T_Custos[Produto],T_Custos[Embalado])+_xlfn.XLOOKUP(Cotação!A158,T_Custos[Produto],T_Custos[Avaria]),"Em falta"))</f>
        <v>50.199999999999996</v>
      </c>
      <c r="E158" s="52">
        <f t="shared" si="2"/>
        <v>8.3666666666666654</v>
      </c>
    </row>
    <row r="159" spans="1:5" x14ac:dyDescent="0.35">
      <c r="A159" s="50" t="str">
        <v>MELAO PELE DE SAPO</v>
      </c>
      <c r="B159" s="51">
        <v>13</v>
      </c>
      <c r="C159" s="51" t="str">
        <v>kg</v>
      </c>
      <c r="D159" s="52" cm="1">
        <f t="array" ref="D159">IF(A159="","",IFERROR(_xlfn.XLOOKUP(A159,T_Custos[Produto],T_Custos[Custo])*(1+$H$3)+IF($H$4="SIM",IF($H$2="Armazém do Grão",_xlfn.XLOOKUP(Cotação!A159,T_Custos[Produto],T_Fretes[Frete Grão]),IF($H$2="GMAP",_xlfn.XLOOKUP(Cotação!A159,T_Fretes[Produto],T_Fretes[Frete GMAP]),IF($H$2="GMAP Nova Friburgo",_xlfn.XLOOKUP(Cotação!A159,T_Fretes[Produto],T_Fretes[Frete GMAP Nova Friburgo]),IF($H$2="Guanabara",_xlfn.XLOOKUP(Cotação!A159,T_Fretes[Produto],T_Fretes[Frete Guanabara]),_xlfn.XLOOKUP(Cotação!A159,T_Custos[Produto],T_Custos[Frete]))))),0)+_xlfn.XLOOKUP(A159,T_Custos[Produto],T_Custos[Embalado])+_xlfn.XLOOKUP(Cotação!A159,T_Custos[Produto],T_Custos[Avaria]),"Em falta"))</f>
        <v>84.699999999999989</v>
      </c>
      <c r="E159" s="52">
        <f t="shared" si="2"/>
        <v>6.5153846153846144</v>
      </c>
    </row>
    <row r="160" spans="1:5" x14ac:dyDescent="0.35">
      <c r="A160" s="50" t="str">
        <v>MELAO REDINHA</v>
      </c>
      <c r="B160" s="51">
        <v>10</v>
      </c>
      <c r="C160" s="51" t="str">
        <v>kg</v>
      </c>
      <c r="D160" s="52" cm="1">
        <f t="array" ref="D160">IF(A160="","",IFERROR(_xlfn.XLOOKUP(A160,T_Custos[Produto],T_Custos[Custo])*(1+$H$3)+IF($H$4="SIM",IF($H$2="Armazém do Grão",_xlfn.XLOOKUP(Cotação!A160,T_Custos[Produto],T_Fretes[Frete Grão]),IF($H$2="GMAP",_xlfn.XLOOKUP(Cotação!A160,T_Fretes[Produto],T_Fretes[Frete GMAP]),IF($H$2="GMAP Nova Friburgo",_xlfn.XLOOKUP(Cotação!A160,T_Fretes[Produto],T_Fretes[Frete GMAP Nova Friburgo]),IF($H$2="Guanabara",_xlfn.XLOOKUP(Cotação!A160,T_Fretes[Produto],T_Fretes[Frete Guanabara]),_xlfn.XLOOKUP(Cotação!A160,T_Custos[Produto],T_Custos[Frete]))))),0)+_xlfn.XLOOKUP(A160,T_Custos[Produto],T_Custos[Embalado])+_xlfn.XLOOKUP(Cotação!A160,T_Custos[Produto],T_Custos[Avaria]),"Em falta"))</f>
        <v>87</v>
      </c>
      <c r="E160" s="52">
        <f t="shared" si="2"/>
        <v>8.6999999999999993</v>
      </c>
    </row>
    <row r="161" spans="1:5" ht="15.5" x14ac:dyDescent="0.35">
      <c r="A161" s="54" t="str">
        <v>MELAO REI</v>
      </c>
      <c r="B161" s="51">
        <v>10</v>
      </c>
      <c r="C161" s="51" t="str">
        <v>kg</v>
      </c>
      <c r="D161" s="52" cm="1">
        <f t="array" ref="D161">IF(A161="","",IFERROR(_xlfn.XLOOKUP(A161,T_Custos[Produto],T_Custos[Custo])*(1+$H$3)+IF($H$4="SIM",IF($H$2="Armazém do Grão",_xlfn.XLOOKUP(Cotação!A161,T_Custos[Produto],T_Fretes[Frete Grão]),IF($H$2="GMAP",_xlfn.XLOOKUP(Cotação!A161,T_Fretes[Produto],T_Fretes[Frete GMAP]),IF($H$2="GMAP Nova Friburgo",_xlfn.XLOOKUP(Cotação!A161,T_Fretes[Produto],T_Fretes[Frete GMAP Nova Friburgo]),IF($H$2="Guanabara",_xlfn.XLOOKUP(Cotação!A161,T_Fretes[Produto],T_Fretes[Frete Guanabara]),_xlfn.XLOOKUP(Cotação!A161,T_Custos[Produto],T_Custos[Frete]))))),0)+_xlfn.XLOOKUP(A161,T_Custos[Produto],T_Custos[Embalado])+_xlfn.XLOOKUP(Cotação!A161,T_Custos[Produto],T_Custos[Avaria]),"Em falta"))</f>
        <v>121.49999999999999</v>
      </c>
      <c r="E161" s="52">
        <f t="shared" si="2"/>
        <v>12.149999999999999</v>
      </c>
    </row>
    <row r="162" spans="1:5" x14ac:dyDescent="0.35">
      <c r="A162" s="50" t="str">
        <v>MELAO SAO CAETANO</v>
      </c>
      <c r="B162" s="51">
        <v>10</v>
      </c>
      <c r="C162" s="51" t="str">
        <v>kg</v>
      </c>
      <c r="D162" s="52" cm="1">
        <f t="array" ref="D162">IF(A162="","",IFERROR(_xlfn.XLOOKUP(A162,T_Custos[Produto],T_Custos[Custo])*(1+$H$3)+IF($H$4="SIM",IF($H$2="Armazém do Grão",_xlfn.XLOOKUP(Cotação!A162,T_Custos[Produto],T_Fretes[Frete Grão]),IF($H$2="GMAP",_xlfn.XLOOKUP(Cotação!A162,T_Fretes[Produto],T_Fretes[Frete GMAP]),IF($H$2="GMAP Nova Friburgo",_xlfn.XLOOKUP(Cotação!A162,T_Fretes[Produto],T_Fretes[Frete GMAP Nova Friburgo]),IF($H$2="Guanabara",_xlfn.XLOOKUP(Cotação!A162,T_Fretes[Produto],T_Fretes[Frete Guanabara]),_xlfn.XLOOKUP(Cotação!A162,T_Custos[Produto],T_Custos[Frete]))))),0)+_xlfn.XLOOKUP(A162,T_Custos[Produto],T_Custos[Embalado])+_xlfn.XLOOKUP(Cotação!A162,T_Custos[Produto],T_Custos[Avaria]),"Em falta"))</f>
        <v>155.5</v>
      </c>
      <c r="E162" s="52">
        <f t="shared" si="2"/>
        <v>15.55</v>
      </c>
    </row>
    <row r="163" spans="1:5" x14ac:dyDescent="0.35">
      <c r="A163" s="50" t="str">
        <v>MELÃO SÃO CAETANO/ NIGAGURI</v>
      </c>
      <c r="B163" s="51">
        <v>10</v>
      </c>
      <c r="C163" s="51" t="str">
        <v>kg</v>
      </c>
      <c r="D163" s="52" cm="1">
        <f t="array" ref="D163">IF(A163="","",IFERROR(_xlfn.XLOOKUP(A163,T_Custos[Produto],T_Custos[Custo])*(1+$H$3)+IF($H$4="SIM",IF($H$2="Armazém do Grão",_xlfn.XLOOKUP(Cotação!A163,T_Custos[Produto],T_Fretes[Frete Grão]),IF($H$2="GMAP",_xlfn.XLOOKUP(Cotação!A163,T_Fretes[Produto],T_Fretes[Frete GMAP]),IF($H$2="GMAP Nova Friburgo",_xlfn.XLOOKUP(Cotação!A163,T_Fretes[Produto],T_Fretes[Frete GMAP Nova Friburgo]),IF($H$2="Guanabara",_xlfn.XLOOKUP(Cotação!A163,T_Fretes[Produto],T_Fretes[Frete Guanabara]),_xlfn.XLOOKUP(Cotação!A163,T_Custos[Produto],T_Custos[Frete]))))),0)+_xlfn.XLOOKUP(A163,T_Custos[Produto],T_Custos[Embalado])+_xlfn.XLOOKUP(Cotação!A163,T_Custos[Produto],T_Custos[Avaria]),"Em falta"))</f>
        <v>156</v>
      </c>
      <c r="E163" s="52">
        <f t="shared" si="2"/>
        <v>15.6</v>
      </c>
    </row>
    <row r="164" spans="1:5" x14ac:dyDescent="0.35">
      <c r="A164" s="50" t="str">
        <v>MILHO VERDE BDJ</v>
      </c>
      <c r="B164" s="51">
        <v>10</v>
      </c>
      <c r="C164" s="51" t="str">
        <v>bd</v>
      </c>
      <c r="D164" s="52" cm="1">
        <f t="array" ref="D164">IF(A164="","",IFERROR(_xlfn.XLOOKUP(A164,T_Custos[Produto],T_Custos[Custo])*(1+$H$3)+IF($H$4="SIM",IF($H$2="Armazém do Grão",_xlfn.XLOOKUP(Cotação!A164,T_Custos[Produto],T_Fretes[Frete Grão]),IF($H$2="GMAP",_xlfn.XLOOKUP(Cotação!A164,T_Fretes[Produto],T_Fretes[Frete GMAP]),IF($H$2="GMAP Nova Friburgo",_xlfn.XLOOKUP(Cotação!A164,T_Fretes[Produto],T_Fretes[Frete GMAP Nova Friburgo]),IF($H$2="Guanabara",_xlfn.XLOOKUP(Cotação!A164,T_Fretes[Produto],T_Fretes[Frete Guanabara]),_xlfn.XLOOKUP(Cotação!A164,T_Custos[Produto],T_Custos[Frete]))))),0)+_xlfn.XLOOKUP(A164,T_Custos[Produto],T_Custos[Embalado])+_xlfn.XLOOKUP(Cotação!A164,T_Custos[Produto],T_Custos[Avaria]),"Em falta"))</f>
        <v>72</v>
      </c>
      <c r="E164" s="52">
        <f t="shared" si="2"/>
        <v>7.2</v>
      </c>
    </row>
    <row r="165" spans="1:5" x14ac:dyDescent="0.35">
      <c r="A165" s="50" t="str">
        <v>MILHO VERDE SACO</v>
      </c>
      <c r="B165" s="51">
        <v>15</v>
      </c>
      <c r="C165" s="51" t="str">
        <v>kg</v>
      </c>
      <c r="D165" s="52" cm="1">
        <f t="array" ref="D165">IF(A165="","",IFERROR(_xlfn.XLOOKUP(A165,T_Custos[Produto],T_Custos[Custo])*(1+$H$3)+IF($H$4="SIM",IF($H$2="Armazém do Grão",_xlfn.XLOOKUP(Cotação!A165,T_Custos[Produto],T_Fretes[Frete Grão]),IF($H$2="GMAP",_xlfn.XLOOKUP(Cotação!A165,T_Fretes[Produto],T_Fretes[Frete GMAP]),IF($H$2="GMAP Nova Friburgo",_xlfn.XLOOKUP(Cotação!A165,T_Fretes[Produto],T_Fretes[Frete GMAP Nova Friburgo]),IF($H$2="Guanabara",_xlfn.XLOOKUP(Cotação!A165,T_Fretes[Produto],T_Fretes[Frete Guanabara]),_xlfn.XLOOKUP(Cotação!A165,T_Custos[Produto],T_Custos[Frete]))))),0)+_xlfn.XLOOKUP(A165,T_Custos[Produto],T_Custos[Embalado])+_xlfn.XLOOKUP(Cotação!A165,T_Custos[Produto],T_Custos[Avaria]),"Em falta"))</f>
        <v>77.5</v>
      </c>
      <c r="E165" s="52">
        <f t="shared" si="2"/>
        <v>5.166666666666667</v>
      </c>
    </row>
    <row r="166" spans="1:5" x14ac:dyDescent="0.35">
      <c r="A166" s="50" t="str">
        <v>MIRTILO</v>
      </c>
      <c r="B166" s="51">
        <v>1</v>
      </c>
      <c r="C166" s="51" t="str">
        <v>kg</v>
      </c>
      <c r="D166" s="52" cm="1">
        <f t="array" ref="D166">IF(A166="","",IFERROR(_xlfn.XLOOKUP(A166,T_Custos[Produto],T_Custos[Custo])*(1+$H$3)+IF($H$4="SIM",IF($H$2="Armazém do Grão",_xlfn.XLOOKUP(Cotação!A166,T_Custos[Produto],T_Fretes[Frete Grão]),IF($H$2="GMAP",_xlfn.XLOOKUP(Cotação!A166,T_Fretes[Produto],T_Fretes[Frete GMAP]),IF($H$2="GMAP Nova Friburgo",_xlfn.XLOOKUP(Cotação!A166,T_Fretes[Produto],T_Fretes[Frete GMAP Nova Friburgo]),IF($H$2="Guanabara",_xlfn.XLOOKUP(Cotação!A166,T_Fretes[Produto],T_Fretes[Frete Guanabara]),_xlfn.XLOOKUP(Cotação!A166,T_Custos[Produto],T_Custos[Frete]))))),0)+_xlfn.XLOOKUP(A166,T_Custos[Produto],T_Custos[Embalado])+_xlfn.XLOOKUP(Cotação!A166,T_Custos[Produto],T_Custos[Avaria]),"Em falta"))</f>
        <v>110.48349999999999</v>
      </c>
      <c r="E166" s="52">
        <f t="shared" si="2"/>
        <v>110.48349999999999</v>
      </c>
    </row>
    <row r="167" spans="1:5" ht="15.5" x14ac:dyDescent="0.35">
      <c r="A167" s="54" t="str">
        <v>MORANGO BANDEJA</v>
      </c>
      <c r="B167" s="51">
        <v>4</v>
      </c>
      <c r="C167" s="51" t="str">
        <v>bd</v>
      </c>
      <c r="D167" s="52" cm="1">
        <f t="array" ref="D167">IF(A167="","",IFERROR(_xlfn.XLOOKUP(A167,T_Custos[Produto],T_Custos[Custo])*(1+$H$3)+IF($H$4="SIM",IF($H$2="Armazém do Grão",_xlfn.XLOOKUP(Cotação!A167,T_Custos[Produto],T_Fretes[Frete Grão]),IF($H$2="GMAP",_xlfn.XLOOKUP(Cotação!A167,T_Fretes[Produto],T_Fretes[Frete GMAP]),IF($H$2="GMAP Nova Friburgo",_xlfn.XLOOKUP(Cotação!A167,T_Fretes[Produto],T_Fretes[Frete GMAP Nova Friburgo]),IF($H$2="Guanabara",_xlfn.XLOOKUP(Cotação!A167,T_Fretes[Produto],T_Fretes[Frete Guanabara]),_xlfn.XLOOKUP(Cotação!A167,T_Custos[Produto],T_Custos[Frete]))))),0)+_xlfn.XLOOKUP(A167,T_Custos[Produto],T_Custos[Embalado])+_xlfn.XLOOKUP(Cotação!A167,T_Custos[Produto],T_Custos[Avaria]),"Em falta"))</f>
        <v>28.999999999999996</v>
      </c>
      <c r="E167" s="52">
        <f t="shared" si="2"/>
        <v>7.2499999999999991</v>
      </c>
    </row>
    <row r="168" spans="1:5" ht="15.5" x14ac:dyDescent="0.35">
      <c r="A168" s="54" t="str">
        <v>MORCOTE</v>
      </c>
      <c r="B168" s="51">
        <v>10</v>
      </c>
      <c r="C168" s="51" t="str">
        <v>kg</v>
      </c>
      <c r="D168" s="52" cm="1">
        <f t="array" ref="D168">IF(A168="","",IFERROR(_xlfn.XLOOKUP(A168,T_Custos[Produto],T_Custos[Custo])*(1+$H$3)+IF($H$4="SIM",IF($H$2="Armazém do Grão",_xlfn.XLOOKUP(Cotação!A168,T_Custos[Produto],T_Fretes[Frete Grão]),IF($H$2="GMAP",_xlfn.XLOOKUP(Cotação!A168,T_Fretes[Produto],T_Fretes[Frete GMAP]),IF($H$2="GMAP Nova Friburgo",_xlfn.XLOOKUP(Cotação!A168,T_Fretes[Produto],T_Fretes[Frete GMAP Nova Friburgo]),IF($H$2="Guanabara",_xlfn.XLOOKUP(Cotação!A168,T_Fretes[Produto],T_Fretes[Frete Guanabara]),_xlfn.XLOOKUP(Cotação!A168,T_Custos[Produto],T_Custos[Frete]))))),0)+_xlfn.XLOOKUP(A168,T_Custos[Produto],T_Custos[Embalado])+_xlfn.XLOOKUP(Cotação!A168,T_Custos[Produto],T_Custos[Avaria]),"Em falta"))</f>
        <v>66</v>
      </c>
      <c r="E168" s="52">
        <f t="shared" si="2"/>
        <v>6.6</v>
      </c>
    </row>
    <row r="169" spans="1:5" x14ac:dyDescent="0.35">
      <c r="A169" s="50" t="str">
        <v>NABO</v>
      </c>
      <c r="B169" s="51">
        <v>2</v>
      </c>
      <c r="C169" s="51" t="str">
        <v>kg</v>
      </c>
      <c r="D169" s="52" cm="1">
        <f t="array" ref="D169">IF(A169="","",IFERROR(_xlfn.XLOOKUP(A169,T_Custos[Produto],T_Custos[Custo])*(1+$H$3)+IF($H$4="SIM",IF($H$2="Armazém do Grão",_xlfn.XLOOKUP(Cotação!A169,T_Custos[Produto],T_Fretes[Frete Grão]),IF($H$2="GMAP",_xlfn.XLOOKUP(Cotação!A169,T_Fretes[Produto],T_Fretes[Frete GMAP]),IF($H$2="GMAP Nova Friburgo",_xlfn.XLOOKUP(Cotação!A169,T_Fretes[Produto],T_Fretes[Frete GMAP Nova Friburgo]),IF($H$2="Guanabara",_xlfn.XLOOKUP(Cotação!A169,T_Fretes[Produto],T_Fretes[Frete Guanabara]),_xlfn.XLOOKUP(Cotação!A169,T_Custos[Produto],T_Custos[Frete]))))),0)+_xlfn.XLOOKUP(A169,T_Custos[Produto],T_Custos[Embalado])+_xlfn.XLOOKUP(Cotação!A169,T_Custos[Produto],T_Custos[Avaria]),"Em falta"))</f>
        <v>15.85</v>
      </c>
      <c r="E169" s="52">
        <f t="shared" si="2"/>
        <v>7.9249999999999998</v>
      </c>
    </row>
    <row r="170" spans="1:5" x14ac:dyDescent="0.35">
      <c r="A170" s="50" t="str">
        <v>NABO COMPRIDO KG</v>
      </c>
      <c r="B170" s="51">
        <v>1</v>
      </c>
      <c r="C170" s="51" t="str">
        <v>kg</v>
      </c>
      <c r="D170" s="52" cm="1">
        <f t="array" ref="D170">IF(A170="","",IFERROR(_xlfn.XLOOKUP(A170,T_Custos[Produto],T_Custos[Custo])*(1+$H$3)+IF($H$4="SIM",IF($H$2="Armazém do Grão",_xlfn.XLOOKUP(Cotação!A170,T_Custos[Produto],T_Fretes[Frete Grão]),IF($H$2="GMAP",_xlfn.XLOOKUP(Cotação!A170,T_Fretes[Produto],T_Fretes[Frete GMAP]),IF($H$2="GMAP Nova Friburgo",_xlfn.XLOOKUP(Cotação!A170,T_Fretes[Produto],T_Fretes[Frete GMAP Nova Friburgo]),IF($H$2="Guanabara",_xlfn.XLOOKUP(Cotação!A170,T_Fretes[Produto],T_Fretes[Frete Guanabara]),_xlfn.XLOOKUP(Cotação!A170,T_Custos[Produto],T_Custos[Frete]))))),0)+_xlfn.XLOOKUP(A170,T_Custos[Produto],T_Custos[Embalado])+_xlfn.XLOOKUP(Cotação!A170,T_Custos[Produto],T_Custos[Avaria]),"Em falta"))</f>
        <v>14.2</v>
      </c>
      <c r="E170" s="52">
        <f t="shared" si="2"/>
        <v>14.2</v>
      </c>
    </row>
    <row r="171" spans="1:5" x14ac:dyDescent="0.35">
      <c r="A171" s="50" t="str">
        <v>NABO REDONDO</v>
      </c>
      <c r="B171" s="51">
        <v>16</v>
      </c>
      <c r="C171" s="51" t="str">
        <v>kg</v>
      </c>
      <c r="D171" s="52" t="str" cm="1">
        <f t="array" ref="D171">IF(A171="","",IFERROR(_xlfn.XLOOKUP(A171,T_Custos[Produto],T_Custos[Custo])*(1+$H$3)+IF($H$4="SIM",IF($H$2="Armazém do Grão",_xlfn.XLOOKUP(Cotação!A171,T_Custos[Produto],T_Fretes[Frete Grão]),IF($H$2="GMAP",_xlfn.XLOOKUP(Cotação!A171,T_Fretes[Produto],T_Fretes[Frete GMAP]),IF($H$2="GMAP Nova Friburgo",_xlfn.XLOOKUP(Cotação!A171,T_Fretes[Produto],T_Fretes[Frete GMAP Nova Friburgo]),IF($H$2="Guanabara",_xlfn.XLOOKUP(Cotação!A171,T_Fretes[Produto],T_Fretes[Frete Guanabara]),_xlfn.XLOOKUP(Cotação!A171,T_Custos[Produto],T_Custos[Frete]))))),0)+_xlfn.XLOOKUP(A171,T_Custos[Produto],T_Custos[Embalado])+_xlfn.XLOOKUP(Cotação!A171,T_Custos[Produto],T_Custos[Avaria]),"Em falta"))</f>
        <v>Em falta</v>
      </c>
      <c r="E171" s="52" t="str">
        <f t="shared" si="2"/>
        <v>Em falta</v>
      </c>
    </row>
    <row r="172" spans="1:5" x14ac:dyDescent="0.35">
      <c r="A172" s="50" t="str">
        <v>NECTARINA</v>
      </c>
      <c r="B172" s="51">
        <v>8</v>
      </c>
      <c r="C172" s="51" t="str">
        <v>kg</v>
      </c>
      <c r="D172" s="52" t="str" cm="1">
        <f t="array" ref="D172">IF(A172="","",IFERROR(_xlfn.XLOOKUP(A172,T_Custos[Produto],T_Custos[Custo])*(1+$H$3)+IF($H$4="SIM",IF($H$2="Armazém do Grão",_xlfn.XLOOKUP(Cotação!A172,T_Custos[Produto],T_Fretes[Frete Grão]),IF($H$2="GMAP",_xlfn.XLOOKUP(Cotação!A172,T_Fretes[Produto],T_Fretes[Frete GMAP]),IF($H$2="GMAP Nova Friburgo",_xlfn.XLOOKUP(Cotação!A172,T_Fretes[Produto],T_Fretes[Frete GMAP Nova Friburgo]),IF($H$2="Guanabara",_xlfn.XLOOKUP(Cotação!A172,T_Fretes[Produto],T_Fretes[Frete Guanabara]),_xlfn.XLOOKUP(Cotação!A172,T_Custos[Produto],T_Custos[Frete]))))),0)+_xlfn.XLOOKUP(A172,T_Custos[Produto],T_Custos[Embalado])+_xlfn.XLOOKUP(Cotação!A172,T_Custos[Produto],T_Custos[Avaria]),"Em falta"))</f>
        <v>Em falta</v>
      </c>
      <c r="E172" s="52" t="str">
        <f t="shared" si="2"/>
        <v>Em falta</v>
      </c>
    </row>
    <row r="173" spans="1:5" x14ac:dyDescent="0.35">
      <c r="A173" s="50" t="str">
        <v>NESPERA</v>
      </c>
      <c r="B173" s="51">
        <v>8</v>
      </c>
      <c r="C173" s="51" t="str">
        <v>kg</v>
      </c>
      <c r="D173" s="52" t="str" cm="1">
        <f t="array" ref="D173">IF(A173="","",IFERROR(_xlfn.XLOOKUP(A173,T_Custos[Produto],T_Custos[Custo])*(1+$H$3)+IF($H$4="SIM",IF($H$2="Armazém do Grão",_xlfn.XLOOKUP(Cotação!A173,T_Custos[Produto],T_Fretes[Frete Grão]),IF($H$2="GMAP",_xlfn.XLOOKUP(Cotação!A173,T_Fretes[Produto],T_Fretes[Frete GMAP]),IF($H$2="GMAP Nova Friburgo",_xlfn.XLOOKUP(Cotação!A173,T_Fretes[Produto],T_Fretes[Frete GMAP Nova Friburgo]),IF($H$2="Guanabara",_xlfn.XLOOKUP(Cotação!A173,T_Fretes[Produto],T_Fretes[Frete Guanabara]),_xlfn.XLOOKUP(Cotação!A173,T_Custos[Produto],T_Custos[Frete]))))),0)+_xlfn.XLOOKUP(A173,T_Custos[Produto],T_Custos[Embalado])+_xlfn.XLOOKUP(Cotação!A173,T_Custos[Produto],T_Custos[Avaria]),"Em falta"))</f>
        <v>Em falta</v>
      </c>
      <c r="E173" s="52" t="str">
        <f t="shared" si="2"/>
        <v>Em falta</v>
      </c>
    </row>
    <row r="174" spans="1:5" x14ac:dyDescent="0.35">
      <c r="A174" s="50" t="str">
        <v>NIRA</v>
      </c>
      <c r="B174" s="51">
        <v>1</v>
      </c>
      <c r="C174" s="51" t="str">
        <v>kg</v>
      </c>
      <c r="D174" s="52" t="str" cm="1">
        <f t="array" ref="D174">IF(A174="","",IFERROR(_xlfn.XLOOKUP(A174,T_Custos[Produto],T_Custos[Custo])*(1+$H$3)+IF($H$4="SIM",IF($H$2="Armazém do Grão",_xlfn.XLOOKUP(Cotação!A174,T_Custos[Produto],T_Fretes[Frete Grão]),IF($H$2="GMAP",_xlfn.XLOOKUP(Cotação!A174,T_Fretes[Produto],T_Fretes[Frete GMAP]),IF($H$2="GMAP Nova Friburgo",_xlfn.XLOOKUP(Cotação!A174,T_Fretes[Produto],T_Fretes[Frete GMAP Nova Friburgo]),IF($H$2="Guanabara",_xlfn.XLOOKUP(Cotação!A174,T_Fretes[Produto],T_Fretes[Frete Guanabara]),_xlfn.XLOOKUP(Cotação!A174,T_Custos[Produto],T_Custos[Frete]))))),0)+_xlfn.XLOOKUP(A174,T_Custos[Produto],T_Custos[Embalado])+_xlfn.XLOOKUP(Cotação!A174,T_Custos[Produto],T_Custos[Avaria]),"Em falta"))</f>
        <v>Em falta</v>
      </c>
      <c r="E174" s="52" t="str">
        <f t="shared" si="2"/>
        <v>Em falta</v>
      </c>
    </row>
    <row r="175" spans="1:5" x14ac:dyDescent="0.35">
      <c r="A175" s="50" t="str">
        <v>OVO BRANCO FILMADO 10 CART. C/20</v>
      </c>
      <c r="B175" s="51">
        <v>10</v>
      </c>
      <c r="C175" s="51" t="str">
        <v>un</v>
      </c>
      <c r="D175" s="52" cm="1">
        <f t="array" ref="D175">IF(A175="","",IFERROR(_xlfn.XLOOKUP(A175,T_Custos[Produto],T_Custos[Custo])*(1+$H$3)+IF($H$4="SIM",IF($H$2="Armazém do Grão",_xlfn.XLOOKUP(Cotação!A175,T_Custos[Produto],T_Fretes[Frete Grão]),IF($H$2="GMAP",_xlfn.XLOOKUP(Cotação!A175,T_Fretes[Produto],T_Fretes[Frete GMAP]),IF($H$2="GMAP Nova Friburgo",_xlfn.XLOOKUP(Cotação!A175,T_Fretes[Produto],T_Fretes[Frete GMAP Nova Friburgo]),IF($H$2="Guanabara",_xlfn.XLOOKUP(Cotação!A175,T_Fretes[Produto],T_Fretes[Frete Guanabara]),_xlfn.XLOOKUP(Cotação!A175,T_Custos[Produto],T_Custos[Frete]))))),0)+_xlfn.XLOOKUP(A175,T_Custos[Produto],T_Custos[Embalado])+_xlfn.XLOOKUP(Cotação!A175,T_Custos[Produto],T_Custos[Avaria]),"Em falta"))</f>
        <v>161.79999999999998</v>
      </c>
      <c r="E175" s="52">
        <f t="shared" si="2"/>
        <v>16.18</v>
      </c>
    </row>
    <row r="176" spans="1:5" x14ac:dyDescent="0.35">
      <c r="A176" s="50" t="str">
        <v>OVO BRANCO FILMADO 12 CART. C/20</v>
      </c>
      <c r="B176" s="51">
        <v>12</v>
      </c>
      <c r="C176" s="51" t="str">
        <v>un</v>
      </c>
      <c r="D176" s="52" cm="1">
        <f t="array" ref="D176">IF(A176="","",IFERROR(_xlfn.XLOOKUP(A176,T_Custos[Produto],T_Custos[Custo])*(1+$H$3)+IF($H$4="SIM",IF($H$2="Armazém do Grão",_xlfn.XLOOKUP(Cotação!A176,T_Custos[Produto],T_Fretes[Frete Grão]),IF($H$2="GMAP",_xlfn.XLOOKUP(Cotação!A176,T_Fretes[Produto],T_Fretes[Frete GMAP]),IF($H$2="GMAP Nova Friburgo",_xlfn.XLOOKUP(Cotação!A176,T_Fretes[Produto],T_Fretes[Frete GMAP Nova Friburgo]),IF($H$2="Guanabara",_xlfn.XLOOKUP(Cotação!A176,T_Fretes[Produto],T_Fretes[Frete Guanabara]),_xlfn.XLOOKUP(Cotação!A176,T_Custos[Produto],T_Custos[Frete]))))),0)+_xlfn.XLOOKUP(A176,T_Custos[Produto],T_Custos[Embalado])+_xlfn.XLOOKUP(Cotação!A176,T_Custos[Produto],T_Custos[Avaria]),"Em falta"))</f>
        <v>175.6</v>
      </c>
      <c r="E176" s="52">
        <f t="shared" si="2"/>
        <v>14.633333333333333</v>
      </c>
    </row>
    <row r="177" spans="1:5" x14ac:dyDescent="0.35">
      <c r="A177" s="50" t="str">
        <v>OVO CAIPIRA</v>
      </c>
      <c r="B177" s="51">
        <v>20</v>
      </c>
      <c r="C177" s="51" t="str">
        <v>dz</v>
      </c>
      <c r="D177" s="52" cm="1">
        <f t="array" ref="D177">IF(A177="","",IFERROR(_xlfn.XLOOKUP(A177,T_Custos[Produto],T_Custos[Custo])*(1+$H$3)+IF($H$4="SIM",IF($H$2="Armazém do Grão",_xlfn.XLOOKUP(Cotação!A177,T_Custos[Produto],T_Fretes[Frete Grão]),IF($H$2="GMAP",_xlfn.XLOOKUP(Cotação!A177,T_Fretes[Produto],T_Fretes[Frete GMAP]),IF($H$2="GMAP Nova Friburgo",_xlfn.XLOOKUP(Cotação!A177,T_Fretes[Produto],T_Fretes[Frete GMAP Nova Friburgo]),IF($H$2="Guanabara",_xlfn.XLOOKUP(Cotação!A177,T_Fretes[Produto],T_Fretes[Frete Guanabara]),_xlfn.XLOOKUP(Cotação!A177,T_Custos[Produto],T_Custos[Frete]))))),0)+_xlfn.XLOOKUP(A177,T_Custos[Produto],T_Custos[Embalado])+_xlfn.XLOOKUP(Cotação!A177,T_Custos[Produto],T_Custos[Avaria]),"Em falta"))</f>
        <v>256.09999999999997</v>
      </c>
      <c r="E177" s="52">
        <f t="shared" si="2"/>
        <v>12.804999999999998</v>
      </c>
    </row>
    <row r="178" spans="1:5" x14ac:dyDescent="0.35">
      <c r="A178" s="53" t="str">
        <v>OVO CODORNA</v>
      </c>
      <c r="B178" s="51">
        <v>20</v>
      </c>
      <c r="C178" s="51" t="str">
        <v>dz</v>
      </c>
      <c r="D178" s="52" cm="1">
        <f t="array" ref="D178">IF(A178="","",IFERROR(_xlfn.XLOOKUP(A178,T_Custos[Produto],T_Custos[Custo])*(1+$H$3)+IF($H$4="SIM",IF($H$2="Armazém do Grão",_xlfn.XLOOKUP(Cotação!A178,T_Custos[Produto],T_Fretes[Frete Grão]),IF($H$2="GMAP",_xlfn.XLOOKUP(Cotação!A178,T_Fretes[Produto],T_Fretes[Frete GMAP]),IF($H$2="GMAP Nova Friburgo",_xlfn.XLOOKUP(Cotação!A178,T_Fretes[Produto],T_Fretes[Frete GMAP Nova Friburgo]),IF($H$2="Guanabara",_xlfn.XLOOKUP(Cotação!A178,T_Fretes[Produto],T_Fretes[Frete Guanabara]),_xlfn.XLOOKUP(Cotação!A178,T_Custos[Produto],T_Custos[Frete]))))),0)+_xlfn.XLOOKUP(A178,T_Custos[Produto],T_Custos[Embalado])+_xlfn.XLOOKUP(Cotação!A178,T_Custos[Produto],T_Custos[Avaria]),"Em falta"))</f>
        <v>129.6</v>
      </c>
      <c r="E178" s="52">
        <f t="shared" si="2"/>
        <v>6.4799999999999995</v>
      </c>
    </row>
    <row r="179" spans="1:5" x14ac:dyDescent="0.35">
      <c r="A179" s="50" t="str">
        <v>OVO CODORNA EM CONSERVA 700G</v>
      </c>
      <c r="B179" s="51">
        <v>1</v>
      </c>
      <c r="C179" s="51" t="str">
        <v>pc</v>
      </c>
      <c r="D179" s="52" cm="1">
        <f t="array" ref="D179">IF(A179="","",IFERROR(_xlfn.XLOOKUP(A179,T_Custos[Produto],T_Custos[Custo])*(1+$H$3)+IF($H$4="SIM",IF($H$2="Armazém do Grão",_xlfn.XLOOKUP(Cotação!A179,T_Custos[Produto],T_Fretes[Frete Grão]),IF($H$2="GMAP",_xlfn.XLOOKUP(Cotação!A179,T_Fretes[Produto],T_Fretes[Frete GMAP]),IF($H$2="GMAP Nova Friburgo",_xlfn.XLOOKUP(Cotação!A179,T_Fretes[Produto],T_Fretes[Frete GMAP Nova Friburgo]),IF($H$2="Guanabara",_xlfn.XLOOKUP(Cotação!A179,T_Fretes[Produto],T_Fretes[Frete Guanabara]),_xlfn.XLOOKUP(Cotação!A179,T_Custos[Produto],T_Custos[Frete]))))),0)+_xlfn.XLOOKUP(A179,T_Custos[Produto],T_Custos[Embalado])+_xlfn.XLOOKUP(Cotação!A179,T_Custos[Produto],T_Custos[Avaria]),"Em falta"))</f>
        <v>21.2</v>
      </c>
      <c r="E179" s="52">
        <f t="shared" si="2"/>
        <v>21.2</v>
      </c>
    </row>
    <row r="180" spans="1:5" x14ac:dyDescent="0.35">
      <c r="A180" s="50" t="str">
        <v>OVOS BR EMB. CX C/15DZ-BJ C/12</v>
      </c>
      <c r="B180" s="51">
        <v>15</v>
      </c>
      <c r="C180" s="51" t="str">
        <v>dz</v>
      </c>
      <c r="D180" s="52" cm="1">
        <f t="array" ref="D180">IF(A180="","",IFERROR(_xlfn.XLOOKUP(A180,T_Custos[Produto],T_Custos[Custo])*(1+$H$3)+IF($H$4="SIM",IF($H$2="Armazém do Grão",_xlfn.XLOOKUP(Cotação!A180,T_Custos[Produto],T_Fretes[Frete Grão]),IF($H$2="GMAP",_xlfn.XLOOKUP(Cotação!A180,T_Fretes[Produto],T_Fretes[Frete GMAP]),IF($H$2="GMAP Nova Friburgo",_xlfn.XLOOKUP(Cotação!A180,T_Fretes[Produto],T_Fretes[Frete GMAP Nova Friburgo]),IF($H$2="Guanabara",_xlfn.XLOOKUP(Cotação!A180,T_Fretes[Produto],T_Fretes[Frete Guanabara]),_xlfn.XLOOKUP(Cotação!A180,T_Custos[Produto],T_Custos[Frete]))))),0)+_xlfn.XLOOKUP(A180,T_Custos[Produto],T_Custos[Embalado])+_xlfn.XLOOKUP(Cotação!A180,T_Custos[Produto],T_Custos[Avaria]),"Em falta"))</f>
        <v>134.6</v>
      </c>
      <c r="E180" s="52">
        <f t="shared" si="2"/>
        <v>8.9733333333333327</v>
      </c>
    </row>
    <row r="181" spans="1:5" x14ac:dyDescent="0.35">
      <c r="A181" s="50" t="str">
        <v xml:space="preserve">OVOS BR EMB. CX C/20DZ-BJ C/12 </v>
      </c>
      <c r="B181" s="51">
        <v>20</v>
      </c>
      <c r="C181" s="51" t="str">
        <v>dz</v>
      </c>
      <c r="D181" s="52" t="str" cm="1">
        <f t="array" ref="D181">IF(A181="","",IFERROR(_xlfn.XLOOKUP(A181,T_Custos[Produto],T_Custos[Custo])*(1+$H$3)+IF($H$4="SIM",IF($H$2="Armazém do Grão",_xlfn.XLOOKUP(Cotação!A181,T_Custos[Produto],T_Fretes[Frete Grão]),IF($H$2="GMAP",_xlfn.XLOOKUP(Cotação!A181,T_Fretes[Produto],T_Fretes[Frete GMAP]),IF($H$2="GMAP Nova Friburgo",_xlfn.XLOOKUP(Cotação!A181,T_Fretes[Produto],T_Fretes[Frete GMAP Nova Friburgo]),IF($H$2="Guanabara",_xlfn.XLOOKUP(Cotação!A181,T_Fretes[Produto],T_Fretes[Frete Guanabara]),_xlfn.XLOOKUP(Cotação!A181,T_Custos[Produto],T_Custos[Frete]))))),0)+_xlfn.XLOOKUP(A181,T_Custos[Produto],T_Custos[Embalado])+_xlfn.XLOOKUP(Cotação!A181,T_Custos[Produto],T_Custos[Avaria]),"Em falta"))</f>
        <v>Em falta</v>
      </c>
      <c r="E181" s="52" t="str">
        <f t="shared" si="2"/>
        <v>Em falta</v>
      </c>
    </row>
    <row r="182" spans="1:5" x14ac:dyDescent="0.35">
      <c r="A182" s="50" t="str">
        <v>OVOS BR EXT KEROVOS -CX 30DZ</v>
      </c>
      <c r="B182" s="51">
        <v>30</v>
      </c>
      <c r="C182" s="51" t="str">
        <v>dz</v>
      </c>
      <c r="D182" s="52" cm="1">
        <f t="array" ref="D182">IF(A182="","",IFERROR(_xlfn.XLOOKUP(A182,T_Custos[Produto],T_Custos[Custo])*(1+$H$3)+IF($H$4="SIM",IF($H$2="Armazém do Grão",_xlfn.XLOOKUP(Cotação!A182,T_Custos[Produto],T_Fretes[Frete Grão]),IF($H$2="GMAP",_xlfn.XLOOKUP(Cotação!A182,T_Fretes[Produto],T_Fretes[Frete GMAP]),IF($H$2="GMAP Nova Friburgo",_xlfn.XLOOKUP(Cotação!A182,T_Fretes[Produto],T_Fretes[Frete GMAP Nova Friburgo]),IF($H$2="Guanabara",_xlfn.XLOOKUP(Cotação!A182,T_Fretes[Produto],T_Fretes[Frete Guanabara]),_xlfn.XLOOKUP(Cotação!A182,T_Custos[Produto],T_Custos[Frete]))))),0)+_xlfn.XLOOKUP(A182,T_Custos[Produto],T_Custos[Embalado])+_xlfn.XLOOKUP(Cotação!A182,T_Custos[Produto],T_Custos[Avaria]),"Em falta"))</f>
        <v>244.59999999999997</v>
      </c>
      <c r="E182" s="52">
        <f t="shared" si="2"/>
        <v>8.1533333333333324</v>
      </c>
    </row>
    <row r="183" spans="1:5" x14ac:dyDescent="0.35">
      <c r="A183" s="50" t="str">
        <v>OVOS BR FILMADO CARTELA C/30 CLASSE A</v>
      </c>
      <c r="B183" s="51">
        <v>10</v>
      </c>
      <c r="C183" s="51" t="str">
        <v>un</v>
      </c>
      <c r="D183" s="52" cm="1">
        <f t="array" ref="D183">IF(A183="","",IFERROR(_xlfn.XLOOKUP(A183,T_Custos[Produto],T_Custos[Custo])*(1+$H$3)+IF($H$4="SIM",IF($H$2="Armazém do Grão",_xlfn.XLOOKUP(Cotação!A183,T_Custos[Produto],T_Fretes[Frete Grão]),IF($H$2="GMAP",_xlfn.XLOOKUP(Cotação!A183,T_Fretes[Produto],T_Fretes[Frete GMAP]),IF($H$2="GMAP Nova Friburgo",_xlfn.XLOOKUP(Cotação!A183,T_Fretes[Produto],T_Fretes[Frete GMAP Nova Friburgo]),IF($H$2="Guanabara",_xlfn.XLOOKUP(Cotação!A183,T_Fretes[Produto],T_Fretes[Frete Guanabara]),_xlfn.XLOOKUP(Cotação!A183,T_Custos[Produto],T_Custos[Frete]))))),0)+_xlfn.XLOOKUP(A183,T_Custos[Produto],T_Custos[Embalado])+_xlfn.XLOOKUP(Cotação!A183,T_Custos[Produto],T_Custos[Avaria]),"Em falta"))</f>
        <v>210.09999999999997</v>
      </c>
      <c r="E183" s="52">
        <f t="shared" si="2"/>
        <v>21.009999999999998</v>
      </c>
    </row>
    <row r="184" spans="1:5" x14ac:dyDescent="0.35">
      <c r="A184" s="50" t="str">
        <v>OVOS BR FILMADO CARTELA C/30 KEROVOS</v>
      </c>
      <c r="B184" s="51">
        <v>10</v>
      </c>
      <c r="C184" s="51" t="str">
        <v>un</v>
      </c>
      <c r="D184" s="52" cm="1">
        <f t="array" ref="D184">IF(A184="","",IFERROR(_xlfn.XLOOKUP(A184,T_Custos[Produto],T_Custos[Custo])*(1+$H$3)+IF($H$4="SIM",IF($H$2="Armazém do Grão",_xlfn.XLOOKUP(Cotação!A184,T_Custos[Produto],T_Fretes[Frete Grão]),IF($H$2="GMAP",_xlfn.XLOOKUP(Cotação!A184,T_Fretes[Produto],T_Fretes[Frete GMAP]),IF($H$2="GMAP Nova Friburgo",_xlfn.XLOOKUP(Cotação!A184,T_Fretes[Produto],T_Fretes[Frete GMAP Nova Friburgo]),IF($H$2="Guanabara",_xlfn.XLOOKUP(Cotação!A184,T_Fretes[Produto],T_Fretes[Frete Guanabara]),_xlfn.XLOOKUP(Cotação!A184,T_Custos[Produto],T_Custos[Frete]))))),0)+_xlfn.XLOOKUP(A184,T_Custos[Produto],T_Custos[Embalado])+_xlfn.XLOOKUP(Cotação!A184,T_Custos[Produto],T_Custos[Avaria]),"Em falta"))</f>
        <v>302.10000000000002</v>
      </c>
      <c r="E184" s="52">
        <f t="shared" si="2"/>
        <v>30.21</v>
      </c>
    </row>
    <row r="185" spans="1:5" x14ac:dyDescent="0.35">
      <c r="A185" s="50" t="str">
        <v>OVOS BRANCO GRANDE EMBALADOS RESFRIADOS DZ</v>
      </c>
      <c r="B185" s="51">
        <v>1</v>
      </c>
      <c r="C185" s="51" t="str">
        <v>dz</v>
      </c>
      <c r="D185" s="52" t="str" cm="1">
        <f t="array" ref="D185">IF(A185="","",IFERROR(_xlfn.XLOOKUP(A185,T_Custos[Produto],T_Custos[Custo])*(1+$H$3)+IF($H$4="SIM",IF($H$2="Armazém do Grão",_xlfn.XLOOKUP(Cotação!A185,T_Custos[Produto],T_Fretes[Frete Grão]),IF($H$2="GMAP",_xlfn.XLOOKUP(Cotação!A185,T_Fretes[Produto],T_Fretes[Frete GMAP]),IF($H$2="GMAP Nova Friburgo",_xlfn.XLOOKUP(Cotação!A185,T_Fretes[Produto],T_Fretes[Frete GMAP Nova Friburgo]),IF($H$2="Guanabara",_xlfn.XLOOKUP(Cotação!A185,T_Fretes[Produto],T_Fretes[Frete Guanabara]),_xlfn.XLOOKUP(Cotação!A185,T_Custos[Produto],T_Custos[Frete]))))),0)+_xlfn.XLOOKUP(A185,T_Custos[Produto],T_Custos[Embalado])+_xlfn.XLOOKUP(Cotação!A185,T_Custos[Produto],T_Custos[Avaria]),"Em falta"))</f>
        <v>Em falta</v>
      </c>
      <c r="E185" s="52" t="str">
        <f t="shared" si="2"/>
        <v>Em falta</v>
      </c>
    </row>
    <row r="186" spans="1:5" x14ac:dyDescent="0.35">
      <c r="A186" s="50" t="str">
        <v>OVOS BRANCOS EMBALADOS DZ</v>
      </c>
      <c r="B186" s="51">
        <v>1</v>
      </c>
      <c r="C186" s="51" t="str">
        <v>dz</v>
      </c>
      <c r="D186" s="52" cm="1">
        <f t="array" ref="D186">IF(A186="","",IFERROR(_xlfn.XLOOKUP(A186,T_Custos[Produto],T_Custos[Custo])*(1+$H$3)+IF($H$4="SIM",IF($H$2="Armazém do Grão",_xlfn.XLOOKUP(Cotação!A186,T_Custos[Produto],T_Fretes[Frete Grão]),IF($H$2="GMAP",_xlfn.XLOOKUP(Cotação!A186,T_Fretes[Produto],T_Fretes[Frete GMAP]),IF($H$2="GMAP Nova Friburgo",_xlfn.XLOOKUP(Cotação!A186,T_Fretes[Produto],T_Fretes[Frete GMAP Nova Friburgo]),IF($H$2="Guanabara",_xlfn.XLOOKUP(Cotação!A186,T_Fretes[Produto],T_Fretes[Frete Guanabara]),_xlfn.XLOOKUP(Cotação!A186,T_Custos[Produto],T_Custos[Frete]))))),0)+_xlfn.XLOOKUP(A186,T_Custos[Produto],T_Custos[Embalado])+_xlfn.XLOOKUP(Cotação!A186,T_Custos[Produto],T_Custos[Avaria]),"Em falta"))</f>
        <v>164.1</v>
      </c>
      <c r="E186" s="52">
        <f t="shared" si="2"/>
        <v>164.1</v>
      </c>
    </row>
    <row r="187" spans="1:5" x14ac:dyDescent="0.35">
      <c r="A187" s="50" t="str">
        <v>OVOS BRANCOS EMBALADOS RESFRIADOS DZ</v>
      </c>
      <c r="B187" s="51">
        <v>1</v>
      </c>
      <c r="C187" s="51" t="str">
        <v>dz</v>
      </c>
      <c r="D187" s="52" t="str" cm="1">
        <f t="array" ref="D187">IF(A187="","",IFERROR(_xlfn.XLOOKUP(A187,T_Custos[Produto],T_Custos[Custo])*(1+$H$3)+IF($H$4="SIM",IF($H$2="Armazém do Grão",_xlfn.XLOOKUP(Cotação!A187,T_Custos[Produto],T_Fretes[Frete Grão]),IF($H$2="GMAP",_xlfn.XLOOKUP(Cotação!A187,T_Fretes[Produto],T_Fretes[Frete GMAP]),IF($H$2="GMAP Nova Friburgo",_xlfn.XLOOKUP(Cotação!A187,T_Fretes[Produto],T_Fretes[Frete GMAP Nova Friburgo]),IF($H$2="Guanabara",_xlfn.XLOOKUP(Cotação!A187,T_Fretes[Produto],T_Fretes[Frete Guanabara]),_xlfn.XLOOKUP(Cotação!A187,T_Custos[Produto],T_Custos[Frete]))))),0)+_xlfn.XLOOKUP(A187,T_Custos[Produto],T_Custos[Embalado])+_xlfn.XLOOKUP(Cotação!A187,T_Custos[Produto],T_Custos[Avaria]),"Em falta"))</f>
        <v>Em falta</v>
      </c>
      <c r="E187" s="52" t="str">
        <f t="shared" si="2"/>
        <v>Em falta</v>
      </c>
    </row>
    <row r="188" spans="1:5" x14ac:dyDescent="0.35">
      <c r="A188" s="50" t="str">
        <v>OVOS BRANCOS RESFRIADOS DZ</v>
      </c>
      <c r="B188" s="51">
        <v>1</v>
      </c>
      <c r="C188" s="51" t="str">
        <v>dz</v>
      </c>
      <c r="D188" s="52" t="str" cm="1">
        <f t="array" ref="D188">IF(A188="","",IFERROR(_xlfn.XLOOKUP(A188,T_Custos[Produto],T_Custos[Custo])*(1+$H$3)+IF($H$4="SIM",IF($H$2="Armazém do Grão",_xlfn.XLOOKUP(Cotação!A188,T_Custos[Produto],T_Fretes[Frete Grão]),IF($H$2="GMAP",_xlfn.XLOOKUP(Cotação!A188,T_Fretes[Produto],T_Fretes[Frete GMAP]),IF($H$2="GMAP Nova Friburgo",_xlfn.XLOOKUP(Cotação!A188,T_Fretes[Produto],T_Fretes[Frete GMAP Nova Friburgo]),IF($H$2="Guanabara",_xlfn.XLOOKUP(Cotação!A188,T_Fretes[Produto],T_Fretes[Frete Guanabara]),_xlfn.XLOOKUP(Cotação!A188,T_Custos[Produto],T_Custos[Frete]))))),0)+_xlfn.XLOOKUP(A188,T_Custos[Produto],T_Custos[Embalado])+_xlfn.XLOOKUP(Cotação!A188,T_Custos[Produto],T_Custos[Avaria]),"Em falta"))</f>
        <v>Em falta</v>
      </c>
      <c r="E188" s="52" t="str">
        <f t="shared" si="2"/>
        <v>Em falta</v>
      </c>
    </row>
    <row r="189" spans="1:5" x14ac:dyDescent="0.35">
      <c r="A189" s="50" t="str">
        <v>OVOS DE CODORNA EM CONSERVA 700G</v>
      </c>
      <c r="B189" s="51">
        <v>1</v>
      </c>
      <c r="C189" s="51" t="str">
        <v>pc</v>
      </c>
      <c r="D189" s="52" cm="1">
        <f t="array" ref="D189">IF(A189="","",IFERROR(_xlfn.XLOOKUP(A189,T_Custos[Produto],T_Custos[Custo])*(1+$H$3)+IF($H$4="SIM",IF($H$2="Armazém do Grão",_xlfn.XLOOKUP(Cotação!A189,T_Custos[Produto],T_Fretes[Frete Grão]),IF($H$2="GMAP",_xlfn.XLOOKUP(Cotação!A189,T_Fretes[Produto],T_Fretes[Frete GMAP]),IF($H$2="GMAP Nova Friburgo",_xlfn.XLOOKUP(Cotação!A189,T_Fretes[Produto],T_Fretes[Frete GMAP Nova Friburgo]),IF($H$2="Guanabara",_xlfn.XLOOKUP(Cotação!A189,T_Fretes[Produto],T_Fretes[Frete Guanabara]),_xlfn.XLOOKUP(Cotação!A189,T_Custos[Produto],T_Custos[Frete]))))),0)+_xlfn.XLOOKUP(A189,T_Custos[Produto],T_Custos[Embalado])+_xlfn.XLOOKUP(Cotação!A189,T_Custos[Produto],T_Custos[Avaria]),"Em falta"))</f>
        <v>16.399999999999999</v>
      </c>
      <c r="E189" s="52">
        <f t="shared" si="2"/>
        <v>16.399999999999999</v>
      </c>
    </row>
    <row r="190" spans="1:5" x14ac:dyDescent="0.35">
      <c r="A190" s="53" t="str">
        <v>OVOS VERM. ESP. EMB - CX/30 DZ</v>
      </c>
      <c r="B190" s="51">
        <v>30</v>
      </c>
      <c r="C190" s="51" t="str">
        <v>dz</v>
      </c>
      <c r="D190" s="52" cm="1">
        <f t="array" ref="D190">IF(A190="","",IFERROR(_xlfn.XLOOKUP(A190,T_Custos[Produto],T_Custos[Custo])*(1+$H$3)+IF($H$4="SIM",IF($H$2="Armazém do Grão",_xlfn.XLOOKUP(Cotação!A190,T_Custos[Produto],T_Fretes[Frete Grão]),IF($H$2="GMAP",_xlfn.XLOOKUP(Cotação!A190,T_Fretes[Produto],T_Fretes[Frete GMAP]),IF($H$2="GMAP Nova Friburgo",_xlfn.XLOOKUP(Cotação!A190,T_Fretes[Produto],T_Fretes[Frete GMAP Nova Friburgo]),IF($H$2="Guanabara",_xlfn.XLOOKUP(Cotação!A190,T_Fretes[Produto],T_Fretes[Frete Guanabara]),_xlfn.XLOOKUP(Cotação!A190,T_Custos[Produto],T_Custos[Frete]))))),0)+_xlfn.XLOOKUP(A190,T_Custos[Produto],T_Custos[Embalado])+_xlfn.XLOOKUP(Cotação!A190,T_Custos[Produto],T_Custos[Avaria]),"Em falta"))</f>
        <v>348.1</v>
      </c>
      <c r="E190" s="52">
        <f t="shared" si="2"/>
        <v>11.603333333333333</v>
      </c>
    </row>
    <row r="191" spans="1:5" x14ac:dyDescent="0.35">
      <c r="A191" s="50" t="str">
        <v>PALMITO IN NATURA</v>
      </c>
      <c r="B191" s="51">
        <v>1</v>
      </c>
      <c r="C191" s="51" t="str">
        <v>bd</v>
      </c>
      <c r="D191" s="52" cm="1">
        <f t="array" ref="D191">IF(A191="","",IFERROR(_xlfn.XLOOKUP(A191,T_Custos[Produto],T_Custos[Custo])*(1+$H$3)+IF($H$4="SIM",IF($H$2="Armazém do Grão",_xlfn.XLOOKUP(Cotação!A191,T_Custos[Produto],T_Fretes[Frete Grão]),IF($H$2="GMAP",_xlfn.XLOOKUP(Cotação!A191,T_Fretes[Produto],T_Fretes[Frete GMAP]),IF($H$2="GMAP Nova Friburgo",_xlfn.XLOOKUP(Cotação!A191,T_Fretes[Produto],T_Fretes[Frete GMAP Nova Friburgo]),IF($H$2="Guanabara",_xlfn.XLOOKUP(Cotação!A191,T_Fretes[Produto],T_Fretes[Frete Guanabara]),_xlfn.XLOOKUP(Cotação!A191,T_Custos[Produto],T_Custos[Frete]))))),0)+_xlfn.XLOOKUP(A191,T_Custos[Produto],T_Custos[Embalado])+_xlfn.XLOOKUP(Cotação!A191,T_Custos[Produto],T_Custos[Avaria]),"Em falta"))</f>
        <v>15.25</v>
      </c>
      <c r="E191" s="52">
        <f t="shared" si="2"/>
        <v>15.25</v>
      </c>
    </row>
    <row r="192" spans="1:5" x14ac:dyDescent="0.35">
      <c r="A192" s="50" t="str">
        <v>PEPINO</v>
      </c>
      <c r="B192" s="51">
        <v>18</v>
      </c>
      <c r="C192" s="51" t="str">
        <v>kg</v>
      </c>
      <c r="D192" s="52" cm="1">
        <f t="array" ref="D192">IF(A192="","",IFERROR(_xlfn.XLOOKUP(A192,T_Custos[Produto],T_Custos[Custo])*(1+$H$3)+IF($H$4="SIM",IF($H$2="Armazém do Grão",_xlfn.XLOOKUP(Cotação!A192,T_Custos[Produto],T_Fretes[Frete Grão]),IF($H$2="GMAP",_xlfn.XLOOKUP(Cotação!A192,T_Fretes[Produto],T_Fretes[Frete GMAP]),IF($H$2="GMAP Nova Friburgo",_xlfn.XLOOKUP(Cotação!A192,T_Fretes[Produto],T_Fretes[Frete GMAP Nova Friburgo]),IF($H$2="Guanabara",_xlfn.XLOOKUP(Cotação!A192,T_Fretes[Produto],T_Fretes[Frete Guanabara]),_xlfn.XLOOKUP(Cotação!A192,T_Custos[Produto],T_Custos[Frete]))))),0)+_xlfn.XLOOKUP(A192,T_Custos[Produto],T_Custos[Embalado])+_xlfn.XLOOKUP(Cotação!A192,T_Custos[Produto],T_Custos[Avaria]),"Em falta"))</f>
        <v>31.5</v>
      </c>
      <c r="E192" s="52">
        <f t="shared" si="2"/>
        <v>1.75</v>
      </c>
    </row>
    <row r="193" spans="1:5" x14ac:dyDescent="0.35">
      <c r="A193" s="50" t="str">
        <v>PEPINO JAPONES</v>
      </c>
      <c r="B193" s="51">
        <v>18</v>
      </c>
      <c r="C193" s="51" t="str">
        <v>kg</v>
      </c>
      <c r="D193" s="52" cm="1">
        <f t="array" ref="D193">IF(A193="","",IFERROR(_xlfn.XLOOKUP(A193,T_Custos[Produto],T_Custos[Custo])*(1+$H$3)+IF($H$4="SIM",IF($H$2="Armazém do Grão",_xlfn.XLOOKUP(Cotação!A193,T_Custos[Produto],T_Fretes[Frete Grão]),IF($H$2="GMAP",_xlfn.XLOOKUP(Cotação!A193,T_Fretes[Produto],T_Fretes[Frete GMAP]),IF($H$2="GMAP Nova Friburgo",_xlfn.XLOOKUP(Cotação!A193,T_Fretes[Produto],T_Fretes[Frete GMAP Nova Friburgo]),IF($H$2="Guanabara",_xlfn.XLOOKUP(Cotação!A193,T_Fretes[Produto],T_Fretes[Frete Guanabara]),_xlfn.XLOOKUP(Cotação!A193,T_Custos[Produto],T_Custos[Frete]))))),0)+_xlfn.XLOOKUP(A193,T_Custos[Produto],T_Custos[Embalado])+_xlfn.XLOOKUP(Cotação!A193,T_Custos[Produto],T_Custos[Avaria]),"Em falta"))</f>
        <v>60.249999999999993</v>
      </c>
      <c r="E193" s="52">
        <f t="shared" si="2"/>
        <v>3.3472222222222219</v>
      </c>
    </row>
    <row r="194" spans="1:5" x14ac:dyDescent="0.35">
      <c r="A194" s="50" t="str">
        <v>PERA D'ANJOU</v>
      </c>
      <c r="B194" s="51">
        <v>10</v>
      </c>
      <c r="C194" s="51" t="str">
        <v>kg</v>
      </c>
      <c r="D194" s="52" t="str" cm="1">
        <f t="array" ref="D194">IF(A194="","",IFERROR(_xlfn.XLOOKUP(A194,T_Custos[Produto],T_Custos[Custo])*(1+$H$3)+IF($H$4="SIM",IF($H$2="Armazém do Grão",_xlfn.XLOOKUP(Cotação!A194,T_Custos[Produto],T_Fretes[Frete Grão]),IF($H$2="GMAP",_xlfn.XLOOKUP(Cotação!A194,T_Fretes[Produto],T_Fretes[Frete GMAP]),IF($H$2="GMAP Nova Friburgo",_xlfn.XLOOKUP(Cotação!A194,T_Fretes[Produto],T_Fretes[Frete GMAP Nova Friburgo]),IF($H$2="Guanabara",_xlfn.XLOOKUP(Cotação!A194,T_Fretes[Produto],T_Fretes[Frete Guanabara]),_xlfn.XLOOKUP(Cotação!A194,T_Custos[Produto],T_Custos[Frete]))))),0)+_xlfn.XLOOKUP(A194,T_Custos[Produto],T_Custos[Embalado])+_xlfn.XLOOKUP(Cotação!A194,T_Custos[Produto],T_Custos[Avaria]),"Em falta"))</f>
        <v>Em falta</v>
      </c>
      <c r="E194" s="52" t="str">
        <f t="shared" si="2"/>
        <v>Em falta</v>
      </c>
    </row>
    <row r="195" spans="1:5" x14ac:dyDescent="0.35">
      <c r="A195" s="50" t="str">
        <v>PERA FORELLI</v>
      </c>
      <c r="B195" s="51">
        <v>1</v>
      </c>
      <c r="C195" s="51" t="str">
        <v>kg</v>
      </c>
      <c r="D195" s="52" t="str" cm="1">
        <f t="array" ref="D195">IF(A195="","",IFERROR(_xlfn.XLOOKUP(A195,T_Custos[Produto],T_Custos[Custo])*(1+$H$3)+IF($H$4="SIM",IF($H$2="Armazém do Grão",_xlfn.XLOOKUP(Cotação!A195,T_Custos[Produto],T_Fretes[Frete Grão]),IF($H$2="GMAP",_xlfn.XLOOKUP(Cotação!A195,T_Fretes[Produto],T_Fretes[Frete GMAP]),IF($H$2="GMAP Nova Friburgo",_xlfn.XLOOKUP(Cotação!A195,T_Fretes[Produto],T_Fretes[Frete GMAP Nova Friburgo]),IF($H$2="Guanabara",_xlfn.XLOOKUP(Cotação!A195,T_Fretes[Produto],T_Fretes[Frete Guanabara]),_xlfn.XLOOKUP(Cotação!A195,T_Custos[Produto],T_Custos[Frete]))))),0)+_xlfn.XLOOKUP(A195,T_Custos[Produto],T_Custos[Embalado])+_xlfn.XLOOKUP(Cotação!A195,T_Custos[Produto],T_Custos[Avaria]),"Em falta"))</f>
        <v>Em falta</v>
      </c>
      <c r="E195" s="52" t="str">
        <f t="shared" si="2"/>
        <v>Em falta</v>
      </c>
    </row>
    <row r="196" spans="1:5" x14ac:dyDescent="0.35">
      <c r="A196" s="50" t="str">
        <v>PERA PACKHAM´S</v>
      </c>
      <c r="B196" s="51">
        <v>18</v>
      </c>
      <c r="C196" s="51" t="str">
        <v>kg</v>
      </c>
      <c r="D196" s="52" t="str" cm="1">
        <f t="array" ref="D196">IF(A196="","",IFERROR(_xlfn.XLOOKUP(A196,T_Custos[Produto],T_Custos[Custo])*(1+$H$3)+IF($H$4="SIM",IF($H$2="Armazém do Grão",_xlfn.XLOOKUP(Cotação!A196,T_Custos[Produto],T_Fretes[Frete Grão]),IF($H$2="GMAP",_xlfn.XLOOKUP(Cotação!A196,T_Fretes[Produto],T_Fretes[Frete GMAP]),IF($H$2="GMAP Nova Friburgo",_xlfn.XLOOKUP(Cotação!A196,T_Fretes[Produto],T_Fretes[Frete GMAP Nova Friburgo]),IF($H$2="Guanabara",_xlfn.XLOOKUP(Cotação!A196,T_Fretes[Produto],T_Fretes[Frete Guanabara]),_xlfn.XLOOKUP(Cotação!A196,T_Custos[Produto],T_Custos[Frete]))))),0)+_xlfn.XLOOKUP(A196,T_Custos[Produto],T_Custos[Embalado])+_xlfn.XLOOKUP(Cotação!A196,T_Custos[Produto],T_Custos[Avaria]),"Em falta"))</f>
        <v>Em falta</v>
      </c>
      <c r="E196" s="52" t="str">
        <f t="shared" si="2"/>
        <v>Em falta</v>
      </c>
    </row>
    <row r="197" spans="1:5" x14ac:dyDescent="0.35">
      <c r="A197" s="53" t="str">
        <v>PERA PORTUGUESA</v>
      </c>
      <c r="B197" s="51">
        <v>9</v>
      </c>
      <c r="C197" s="51" t="str">
        <v>kg</v>
      </c>
      <c r="D197" s="52" cm="1">
        <f t="array" ref="D197">IF(A197="","",IFERROR(_xlfn.XLOOKUP(A197,T_Custos[Produto],T_Custos[Custo])*(1+$H$3)+IF($H$4="SIM",IF($H$2="Armazém do Grão",_xlfn.XLOOKUP(Cotação!A197,T_Custos[Produto],T_Fretes[Frete Grão]),IF($H$2="GMAP",_xlfn.XLOOKUP(Cotação!A197,T_Fretes[Produto],T_Fretes[Frete GMAP]),IF($H$2="GMAP Nova Friburgo",_xlfn.XLOOKUP(Cotação!A197,T_Fretes[Produto],T_Fretes[Frete GMAP Nova Friburgo]),IF($H$2="Guanabara",_xlfn.XLOOKUP(Cotação!A197,T_Fretes[Produto],T_Fretes[Frete Guanabara]),_xlfn.XLOOKUP(Cotação!A197,T_Custos[Produto],T_Custos[Frete]))))),0)+_xlfn.XLOOKUP(A197,T_Custos[Produto],T_Custos[Embalado])+_xlfn.XLOOKUP(Cotação!A197,T_Custos[Produto],T_Custos[Avaria]),"Em falta"))</f>
        <v>167.52599999999998</v>
      </c>
      <c r="E197" s="52">
        <f t="shared" si="2"/>
        <v>18.613999999999997</v>
      </c>
    </row>
    <row r="198" spans="1:5" x14ac:dyDescent="0.35">
      <c r="A198" s="50" t="str">
        <v>PERA PT</v>
      </c>
      <c r="B198" s="51">
        <v>18</v>
      </c>
      <c r="C198" s="51" t="str">
        <v>kg</v>
      </c>
      <c r="D198" s="52" t="str" cm="1">
        <f t="array" ref="D198">IF(A198="","",IFERROR(_xlfn.XLOOKUP(A198,T_Custos[Produto],T_Custos[Custo])*(1+$H$3)+IF($H$4="SIM",IF($H$2="Armazém do Grão",_xlfn.XLOOKUP(Cotação!A198,T_Custos[Produto],T_Fretes[Frete Grão]),IF($H$2="GMAP",_xlfn.XLOOKUP(Cotação!A198,T_Fretes[Produto],T_Fretes[Frete GMAP]),IF($H$2="GMAP Nova Friburgo",_xlfn.XLOOKUP(Cotação!A198,T_Fretes[Produto],T_Fretes[Frete GMAP Nova Friburgo]),IF($H$2="Guanabara",_xlfn.XLOOKUP(Cotação!A198,T_Fretes[Produto],T_Fretes[Frete Guanabara]),_xlfn.XLOOKUP(Cotação!A198,T_Custos[Produto],T_Custos[Frete]))))),0)+_xlfn.XLOOKUP(A198,T_Custos[Produto],T_Custos[Embalado])+_xlfn.XLOOKUP(Cotação!A198,T_Custos[Produto],T_Custos[Avaria]),"Em falta"))</f>
        <v>Em falta</v>
      </c>
      <c r="E198" s="52" t="str">
        <f t="shared" si="2"/>
        <v>Em falta</v>
      </c>
    </row>
    <row r="199" spans="1:5" x14ac:dyDescent="0.35">
      <c r="A199" s="50" t="str">
        <v>PERA WILLIAMS T90</v>
      </c>
      <c r="B199" s="51">
        <v>18</v>
      </c>
      <c r="C199" s="51" t="str">
        <v>kg</v>
      </c>
      <c r="D199" s="52" cm="1">
        <f t="array" ref="D199">IF(A199="","",IFERROR(_xlfn.XLOOKUP(A199,T_Custos[Produto],T_Custos[Custo])*(1+$H$3)+IF($H$4="SIM",IF($H$2="Armazém do Grão",_xlfn.XLOOKUP(Cotação!A199,T_Custos[Produto],T_Fretes[Frete Grão]),IF($H$2="GMAP",_xlfn.XLOOKUP(Cotação!A199,T_Fretes[Produto],T_Fretes[Frete GMAP]),IF($H$2="GMAP Nova Friburgo",_xlfn.XLOOKUP(Cotação!A199,T_Fretes[Produto],T_Fretes[Frete GMAP Nova Friburgo]),IF($H$2="Guanabara",_xlfn.XLOOKUP(Cotação!A199,T_Fretes[Produto],T_Fretes[Frete Guanabara]),_xlfn.XLOOKUP(Cotação!A199,T_Custos[Produto],T_Custos[Frete]))))),0)+_xlfn.XLOOKUP(A199,T_Custos[Produto],T_Custos[Embalado])+_xlfn.XLOOKUP(Cotação!A199,T_Custos[Produto],T_Custos[Avaria]),"Em falta"))</f>
        <v>148.79999999999998</v>
      </c>
      <c r="E199" s="52">
        <f t="shared" si="2"/>
        <v>8.2666666666666657</v>
      </c>
    </row>
    <row r="200" spans="1:5" ht="15.5" x14ac:dyDescent="0.35">
      <c r="A200" s="54" t="str">
        <v>PESSEGO IMPORTADO</v>
      </c>
      <c r="B200" s="51">
        <v>8</v>
      </c>
      <c r="C200" s="51" t="str">
        <v>kg</v>
      </c>
      <c r="D200" s="52" t="str" cm="1">
        <f t="array" ref="D200">IF(A200="","",IFERROR(_xlfn.XLOOKUP(A200,T_Custos[Produto],T_Custos[Custo])*(1+$H$3)+IF($H$4="SIM",IF($H$2="Armazém do Grão",_xlfn.XLOOKUP(Cotação!A200,T_Custos[Produto],T_Fretes[Frete Grão]),IF($H$2="GMAP",_xlfn.XLOOKUP(Cotação!A200,T_Fretes[Produto],T_Fretes[Frete GMAP]),IF($H$2="GMAP Nova Friburgo",_xlfn.XLOOKUP(Cotação!A200,T_Fretes[Produto],T_Fretes[Frete GMAP Nova Friburgo]),IF($H$2="Guanabara",_xlfn.XLOOKUP(Cotação!A200,T_Fretes[Produto],T_Fretes[Frete Guanabara]),_xlfn.XLOOKUP(Cotação!A200,T_Custos[Produto],T_Custos[Frete]))))),0)+_xlfn.XLOOKUP(A200,T_Custos[Produto],T_Custos[Embalado])+_xlfn.XLOOKUP(Cotação!A200,T_Custos[Produto],T_Custos[Avaria]),"Em falta"))</f>
        <v>Em falta</v>
      </c>
      <c r="E200" s="52" t="str">
        <f t="shared" si="2"/>
        <v>Em falta</v>
      </c>
    </row>
    <row r="201" spans="1:5" x14ac:dyDescent="0.35">
      <c r="A201" s="50" t="str">
        <v>PESSEGO NACIONAL</v>
      </c>
      <c r="B201" s="51">
        <v>6</v>
      </c>
      <c r="C201" s="51" t="str">
        <v>kg</v>
      </c>
      <c r="D201" s="52" t="str" cm="1">
        <f t="array" ref="D201">IF(A201="","",IFERROR(_xlfn.XLOOKUP(A201,T_Custos[Produto],T_Custos[Custo])*(1+$H$3)+IF($H$4="SIM",IF($H$2="Armazém do Grão",_xlfn.XLOOKUP(Cotação!A201,T_Custos[Produto],T_Fretes[Frete Grão]),IF($H$2="GMAP",_xlfn.XLOOKUP(Cotação!A201,T_Fretes[Produto],T_Fretes[Frete GMAP]),IF($H$2="GMAP Nova Friburgo",_xlfn.XLOOKUP(Cotação!A201,T_Fretes[Produto],T_Fretes[Frete GMAP Nova Friburgo]),IF($H$2="Guanabara",_xlfn.XLOOKUP(Cotação!A201,T_Fretes[Produto],T_Fretes[Frete Guanabara]),_xlfn.XLOOKUP(Cotação!A201,T_Custos[Produto],T_Custos[Frete]))))),0)+_xlfn.XLOOKUP(A201,T_Custos[Produto],T_Custos[Embalado])+_xlfn.XLOOKUP(Cotação!A201,T_Custos[Produto],T_Custos[Avaria]),"Em falta"))</f>
        <v>Em falta</v>
      </c>
      <c r="E201" s="52" t="str">
        <f t="shared" ref="E201:E264" si="3">IF(A201="","",IFERROR(D201/B201,"Em falta"))</f>
        <v>Em falta</v>
      </c>
    </row>
    <row r="202" spans="1:5" x14ac:dyDescent="0.35">
      <c r="A202" s="50" t="str">
        <v>PIMENTA BIQUINHO</v>
      </c>
      <c r="B202" s="51">
        <v>1</v>
      </c>
      <c r="C202" s="51" t="str">
        <v>kg</v>
      </c>
      <c r="D202" s="52" t="str" cm="1">
        <f t="array" ref="D202">IF(A202="","",IFERROR(_xlfn.XLOOKUP(A202,T_Custos[Produto],T_Custos[Custo])*(1+$H$3)+IF($H$4="SIM",IF($H$2="Armazém do Grão",_xlfn.XLOOKUP(Cotação!A202,T_Custos[Produto],T_Fretes[Frete Grão]),IF($H$2="GMAP",_xlfn.XLOOKUP(Cotação!A202,T_Fretes[Produto],T_Fretes[Frete GMAP]),IF($H$2="GMAP Nova Friburgo",_xlfn.XLOOKUP(Cotação!A202,T_Fretes[Produto],T_Fretes[Frete GMAP Nova Friburgo]),IF($H$2="Guanabara",_xlfn.XLOOKUP(Cotação!A202,T_Fretes[Produto],T_Fretes[Frete Guanabara]),_xlfn.XLOOKUP(Cotação!A202,T_Custos[Produto],T_Custos[Frete]))))),0)+_xlfn.XLOOKUP(A202,T_Custos[Produto],T_Custos[Embalado])+_xlfn.XLOOKUP(Cotação!A202,T_Custos[Produto],T_Custos[Avaria]),"Em falta"))</f>
        <v>Em falta</v>
      </c>
      <c r="E202" s="52" t="str">
        <f t="shared" si="3"/>
        <v>Em falta</v>
      </c>
    </row>
    <row r="203" spans="1:5" x14ac:dyDescent="0.35">
      <c r="A203" s="50" t="str">
        <v>PIMENTA CHIFRE DE BODE VERDE</v>
      </c>
      <c r="B203" s="51">
        <v>1</v>
      </c>
      <c r="C203" s="51" t="str">
        <v>kg</v>
      </c>
      <c r="D203" s="52" t="str" cm="1">
        <f t="array" ref="D203">IF(A203="","",IFERROR(_xlfn.XLOOKUP(A203,T_Custos[Produto],T_Custos[Custo])*(1+$H$3)+IF($H$4="SIM",IF($H$2="Armazém do Grão",_xlfn.XLOOKUP(Cotação!A203,T_Custos[Produto],T_Fretes[Frete Grão]),IF($H$2="GMAP",_xlfn.XLOOKUP(Cotação!A203,T_Fretes[Produto],T_Fretes[Frete GMAP]),IF($H$2="GMAP Nova Friburgo",_xlfn.XLOOKUP(Cotação!A203,T_Fretes[Produto],T_Fretes[Frete GMAP Nova Friburgo]),IF($H$2="Guanabara",_xlfn.XLOOKUP(Cotação!A203,T_Fretes[Produto],T_Fretes[Frete Guanabara]),_xlfn.XLOOKUP(Cotação!A203,T_Custos[Produto],T_Custos[Frete]))))),0)+_xlfn.XLOOKUP(A203,T_Custos[Produto],T_Custos[Embalado])+_xlfn.XLOOKUP(Cotação!A203,T_Custos[Produto],T_Custos[Avaria]),"Em falta"))</f>
        <v>Em falta</v>
      </c>
      <c r="E203" s="52" t="str">
        <f t="shared" si="3"/>
        <v>Em falta</v>
      </c>
    </row>
    <row r="204" spans="1:5" x14ac:dyDescent="0.35">
      <c r="A204" s="50" t="str">
        <v>PIMENTA CHIFRE DE BODE VERMELHA</v>
      </c>
      <c r="B204" s="51">
        <v>1</v>
      </c>
      <c r="C204" s="51" t="str">
        <v>kg</v>
      </c>
      <c r="D204" s="52" t="str" cm="1">
        <f t="array" ref="D204">IF(A204="","",IFERROR(_xlfn.XLOOKUP(A204,T_Custos[Produto],T_Custos[Custo])*(1+$H$3)+IF($H$4="SIM",IF($H$2="Armazém do Grão",_xlfn.XLOOKUP(Cotação!A204,T_Custos[Produto],T_Fretes[Frete Grão]),IF($H$2="GMAP",_xlfn.XLOOKUP(Cotação!A204,T_Fretes[Produto],T_Fretes[Frete GMAP]),IF($H$2="GMAP Nova Friburgo",_xlfn.XLOOKUP(Cotação!A204,T_Fretes[Produto],T_Fretes[Frete GMAP Nova Friburgo]),IF($H$2="Guanabara",_xlfn.XLOOKUP(Cotação!A204,T_Fretes[Produto],T_Fretes[Frete Guanabara]),_xlfn.XLOOKUP(Cotação!A204,T_Custos[Produto],T_Custos[Frete]))))),0)+_xlfn.XLOOKUP(A204,T_Custos[Produto],T_Custos[Embalado])+_xlfn.XLOOKUP(Cotação!A204,T_Custos[Produto],T_Custos[Avaria]),"Em falta"))</f>
        <v>Em falta</v>
      </c>
      <c r="E204" s="52" t="str">
        <f t="shared" si="3"/>
        <v>Em falta</v>
      </c>
    </row>
    <row r="205" spans="1:5" ht="15.5" x14ac:dyDescent="0.35">
      <c r="A205" s="54" t="str">
        <v>PIMENTA DE CHEIRO</v>
      </c>
      <c r="B205" s="51">
        <v>1</v>
      </c>
      <c r="C205" s="51" t="str">
        <v>kg</v>
      </c>
      <c r="D205" s="52" cm="1">
        <f t="array" ref="D205">IF(A205="","",IFERROR(_xlfn.XLOOKUP(A205,T_Custos[Produto],T_Custos[Custo])*(1+$H$3)+IF($H$4="SIM",IF($H$2="Armazém do Grão",_xlfn.XLOOKUP(Cotação!A205,T_Custos[Produto],T_Fretes[Frete Grão]),IF($H$2="GMAP",_xlfn.XLOOKUP(Cotação!A205,T_Fretes[Produto],T_Fretes[Frete GMAP]),IF($H$2="GMAP Nova Friburgo",_xlfn.XLOOKUP(Cotação!A205,T_Fretes[Produto],T_Fretes[Frete GMAP Nova Friburgo]),IF($H$2="Guanabara",_xlfn.XLOOKUP(Cotação!A205,T_Fretes[Produto],T_Fretes[Frete Guanabara]),_xlfn.XLOOKUP(Cotação!A205,T_Custos[Produto],T_Custos[Frete]))))),0)+_xlfn.XLOOKUP(A205,T_Custos[Produto],T_Custos[Embalado])+_xlfn.XLOOKUP(Cotação!A205,T_Custos[Produto],T_Custos[Avaria]),"Em falta"))</f>
        <v>25.3</v>
      </c>
      <c r="E205" s="52">
        <f t="shared" si="3"/>
        <v>25.3</v>
      </c>
    </row>
    <row r="206" spans="1:5" ht="15.5" x14ac:dyDescent="0.35">
      <c r="A206" s="54" t="str">
        <v>PIMENTA DEDO DE MOCA</v>
      </c>
      <c r="B206" s="51">
        <v>1</v>
      </c>
      <c r="C206" s="51" t="str">
        <v>kg</v>
      </c>
      <c r="D206" s="52" cm="1">
        <f t="array" ref="D206">IF(A206="","",IFERROR(_xlfn.XLOOKUP(A206,T_Custos[Produto],T_Custos[Custo])*(1+$H$3)+IF($H$4="SIM",IF($H$2="Armazém do Grão",_xlfn.XLOOKUP(Cotação!A206,T_Custos[Produto],T_Fretes[Frete Grão]),IF($H$2="GMAP",_xlfn.XLOOKUP(Cotação!A206,T_Fretes[Produto],T_Fretes[Frete GMAP]),IF($H$2="GMAP Nova Friburgo",_xlfn.XLOOKUP(Cotação!A206,T_Fretes[Produto],T_Fretes[Frete GMAP Nova Friburgo]),IF($H$2="Guanabara",_xlfn.XLOOKUP(Cotação!A206,T_Fretes[Produto],T_Fretes[Frete Guanabara]),_xlfn.XLOOKUP(Cotação!A206,T_Custos[Produto],T_Custos[Frete]))))),0)+_xlfn.XLOOKUP(A206,T_Custos[Produto],T_Custos[Embalado])+_xlfn.XLOOKUP(Cotação!A206,T_Custos[Produto],T_Custos[Avaria]),"Em falta"))</f>
        <v>19.600000000000001</v>
      </c>
      <c r="E206" s="52">
        <f t="shared" si="3"/>
        <v>19.600000000000001</v>
      </c>
    </row>
    <row r="207" spans="1:5" x14ac:dyDescent="0.35">
      <c r="A207" s="50" t="str">
        <v>PIMENTA DEDO DE MOCA VERDE</v>
      </c>
      <c r="B207" s="51">
        <v>1</v>
      </c>
      <c r="C207" s="51" t="str">
        <v>kg</v>
      </c>
      <c r="D207" s="52" cm="1">
        <f t="array" ref="D207">IF(A207="","",IFERROR(_xlfn.XLOOKUP(A207,T_Custos[Produto],T_Custos[Custo])*(1+$H$3)+IF($H$4="SIM",IF($H$2="Armazém do Grão",_xlfn.XLOOKUP(Cotação!A207,T_Custos[Produto],T_Fretes[Frete Grão]),IF($H$2="GMAP",_xlfn.XLOOKUP(Cotação!A207,T_Fretes[Produto],T_Fretes[Frete GMAP]),IF($H$2="GMAP Nova Friburgo",_xlfn.XLOOKUP(Cotação!A207,T_Fretes[Produto],T_Fretes[Frete GMAP Nova Friburgo]),IF($H$2="Guanabara",_xlfn.XLOOKUP(Cotação!A207,T_Fretes[Produto],T_Fretes[Frete Guanabara]),_xlfn.XLOOKUP(Cotação!A207,T_Custos[Produto],T_Custos[Frete]))))),0)+_xlfn.XLOOKUP(A207,T_Custos[Produto],T_Custos[Embalado])+_xlfn.XLOOKUP(Cotação!A207,T_Custos[Produto],T_Custos[Avaria]),"Em falta"))</f>
        <v>42.55</v>
      </c>
      <c r="E207" s="52">
        <f t="shared" si="3"/>
        <v>42.55</v>
      </c>
    </row>
    <row r="208" spans="1:5" x14ac:dyDescent="0.35">
      <c r="A208" s="50" t="str">
        <v>PIMENTA JALAPENO</v>
      </c>
      <c r="B208" s="51">
        <v>1</v>
      </c>
      <c r="C208" s="51" t="str">
        <v>kg</v>
      </c>
      <c r="D208" s="52" cm="1">
        <f t="array" ref="D208">IF(A208="","",IFERROR(_xlfn.XLOOKUP(A208,T_Custos[Produto],T_Custos[Custo])*(1+$H$3)+IF($H$4="SIM",IF($H$2="Armazém do Grão",_xlfn.XLOOKUP(Cotação!A208,T_Custos[Produto],T_Fretes[Frete Grão]),IF($H$2="GMAP",_xlfn.XLOOKUP(Cotação!A208,T_Fretes[Produto],T_Fretes[Frete GMAP]),IF($H$2="GMAP Nova Friburgo",_xlfn.XLOOKUP(Cotação!A208,T_Fretes[Produto],T_Fretes[Frete GMAP Nova Friburgo]),IF($H$2="Guanabara",_xlfn.XLOOKUP(Cotação!A208,T_Fretes[Produto],T_Fretes[Frete Guanabara]),_xlfn.XLOOKUP(Cotação!A208,T_Custos[Produto],T_Custos[Frete]))))),0)+_xlfn.XLOOKUP(A208,T_Custos[Produto],T_Custos[Embalado])+_xlfn.XLOOKUP(Cotação!A208,T_Custos[Produto],T_Custos[Avaria]),"Em falta"))</f>
        <v>31.049999999999997</v>
      </c>
      <c r="E208" s="52">
        <f t="shared" si="3"/>
        <v>31.049999999999997</v>
      </c>
    </row>
    <row r="209" spans="1:5" x14ac:dyDescent="0.35">
      <c r="A209" s="50" t="str">
        <v>PIMENTA MALAGUETA</v>
      </c>
      <c r="B209" s="51">
        <v>1</v>
      </c>
      <c r="C209" s="51" t="str">
        <v>kg</v>
      </c>
      <c r="D209" s="52" cm="1">
        <f t="array" ref="D209">IF(A209="","",IFERROR(_xlfn.XLOOKUP(A209,T_Custos[Produto],T_Custos[Custo])*(1+$H$3)+IF($H$4="SIM",IF($H$2="Armazém do Grão",_xlfn.XLOOKUP(Cotação!A209,T_Custos[Produto],T_Fretes[Frete Grão]),IF($H$2="GMAP",_xlfn.XLOOKUP(Cotação!A209,T_Fretes[Produto],T_Fretes[Frete GMAP]),IF($H$2="GMAP Nova Friburgo",_xlfn.XLOOKUP(Cotação!A209,T_Fretes[Produto],T_Fretes[Frete GMAP Nova Friburgo]),IF($H$2="Guanabara",_xlfn.XLOOKUP(Cotação!A209,T_Fretes[Produto],T_Fretes[Frete Guanabara]),_xlfn.XLOOKUP(Cotação!A209,T_Custos[Produto],T_Custos[Frete]))))),0)+_xlfn.XLOOKUP(A209,T_Custos[Produto],T_Custos[Embalado])+_xlfn.XLOOKUP(Cotação!A209,T_Custos[Produto],T_Custos[Avaria]),"Em falta"))</f>
        <v>31.099999999999998</v>
      </c>
      <c r="E209" s="52">
        <f t="shared" si="3"/>
        <v>31.099999999999998</v>
      </c>
    </row>
    <row r="210" spans="1:5" x14ac:dyDescent="0.35">
      <c r="A210" s="50" t="str">
        <v>PIMENTAO AMARELO</v>
      </c>
      <c r="B210" s="51">
        <v>10</v>
      </c>
      <c r="C210" s="51" t="str">
        <v>kg</v>
      </c>
      <c r="D210" s="52" cm="1">
        <f t="array" ref="D210">IF(A210="","",IFERROR(_xlfn.XLOOKUP(A210,T_Custos[Produto],T_Custos[Custo])*(1+$H$3)+IF($H$4="SIM",IF($H$2="Armazém do Grão",_xlfn.XLOOKUP(Cotação!A210,T_Custos[Produto],T_Fretes[Frete Grão]),IF($H$2="GMAP",_xlfn.XLOOKUP(Cotação!A210,T_Fretes[Produto],T_Fretes[Frete GMAP]),IF($H$2="GMAP Nova Friburgo",_xlfn.XLOOKUP(Cotação!A210,T_Fretes[Produto],T_Fretes[Frete GMAP Nova Friburgo]),IF($H$2="Guanabara",_xlfn.XLOOKUP(Cotação!A210,T_Fretes[Produto],T_Fretes[Frete Guanabara]),_xlfn.XLOOKUP(Cotação!A210,T_Custos[Produto],T_Custos[Frete]))))),0)+_xlfn.XLOOKUP(A210,T_Custos[Produto],T_Custos[Embalado])+_xlfn.XLOOKUP(Cotação!A210,T_Custos[Produto],T_Custos[Avaria]),"Em falta"))</f>
        <v>109.99999999999999</v>
      </c>
      <c r="E210" s="52">
        <f t="shared" si="3"/>
        <v>10.999999999999998</v>
      </c>
    </row>
    <row r="211" spans="1:5" x14ac:dyDescent="0.35">
      <c r="A211" s="53" t="str">
        <v>PIMENTAO VERDE</v>
      </c>
      <c r="B211" s="51">
        <v>10</v>
      </c>
      <c r="C211" s="51" t="str">
        <v>kg</v>
      </c>
      <c r="D211" s="52" cm="1">
        <f t="array" ref="D211">IF(A211="","",IFERROR(_xlfn.XLOOKUP(A211,T_Custos[Produto],T_Custos[Custo])*(1+$H$3)+IF($H$4="SIM",IF($H$2="Armazém do Grão",_xlfn.XLOOKUP(Cotação!A211,T_Custos[Produto],T_Fretes[Frete Grão]),IF($H$2="GMAP",_xlfn.XLOOKUP(Cotação!A211,T_Fretes[Produto],T_Fretes[Frete GMAP]),IF($H$2="GMAP Nova Friburgo",_xlfn.XLOOKUP(Cotação!A211,T_Fretes[Produto],T_Fretes[Frete GMAP Nova Friburgo]),IF($H$2="Guanabara",_xlfn.XLOOKUP(Cotação!A211,T_Fretes[Produto],T_Fretes[Frete Guanabara]),_xlfn.XLOOKUP(Cotação!A211,T_Custos[Produto],T_Custos[Frete]))))),0)+_xlfn.XLOOKUP(A211,T_Custos[Produto],T_Custos[Embalado])+_xlfn.XLOOKUP(Cotação!A211,T_Custos[Produto],T_Custos[Avaria]),"Em falta"))</f>
        <v>54.5</v>
      </c>
      <c r="E211" s="52">
        <f t="shared" si="3"/>
        <v>5.45</v>
      </c>
    </row>
    <row r="212" spans="1:5" x14ac:dyDescent="0.35">
      <c r="A212" s="53" t="str">
        <v>PIMENTAO VERMELHO</v>
      </c>
      <c r="B212" s="51">
        <v>10</v>
      </c>
      <c r="C212" s="51" t="str">
        <v>kg</v>
      </c>
      <c r="D212" s="52" cm="1">
        <f t="array" ref="D212">IF(A212="","",IFERROR(_xlfn.XLOOKUP(A212,T_Custos[Produto],T_Custos[Custo])*(1+$H$3)+IF($H$4="SIM",IF($H$2="Armazém do Grão",_xlfn.XLOOKUP(Cotação!A212,T_Custos[Produto],T_Fretes[Frete Grão]),IF($H$2="GMAP",_xlfn.XLOOKUP(Cotação!A212,T_Fretes[Produto],T_Fretes[Frete GMAP]),IF($H$2="GMAP Nova Friburgo",_xlfn.XLOOKUP(Cotação!A212,T_Fretes[Produto],T_Fretes[Frete GMAP Nova Friburgo]),IF($H$2="Guanabara",_xlfn.XLOOKUP(Cotação!A212,T_Fretes[Produto],T_Fretes[Frete Guanabara]),_xlfn.XLOOKUP(Cotação!A212,T_Custos[Produto],T_Custos[Frete]))))),0)+_xlfn.XLOOKUP(A212,T_Custos[Produto],T_Custos[Embalado])+_xlfn.XLOOKUP(Cotação!A212,T_Custos[Produto],T_Custos[Avaria]),"Em falta"))</f>
        <v>109.99999999999999</v>
      </c>
      <c r="E212" s="52">
        <f t="shared" si="3"/>
        <v>10.999999999999998</v>
      </c>
    </row>
    <row r="213" spans="1:5" x14ac:dyDescent="0.35">
      <c r="A213" s="50" t="str">
        <v>PINHA</v>
      </c>
      <c r="B213" s="51">
        <v>1</v>
      </c>
      <c r="C213" s="51" t="str">
        <v>kg</v>
      </c>
      <c r="D213" s="52" cm="1">
        <f t="array" ref="D213">IF(A213="","",IFERROR(_xlfn.XLOOKUP(A213,T_Custos[Produto],T_Custos[Custo])*(1+$H$3)+IF($H$4="SIM",IF($H$2="Armazém do Grão",_xlfn.XLOOKUP(Cotação!A213,T_Custos[Produto],T_Fretes[Frete Grão]),IF($H$2="GMAP",_xlfn.XLOOKUP(Cotação!A213,T_Fretes[Produto],T_Fretes[Frete GMAP]),IF($H$2="GMAP Nova Friburgo",_xlfn.XLOOKUP(Cotação!A213,T_Fretes[Produto],T_Fretes[Frete GMAP Nova Friburgo]),IF($H$2="Guanabara",_xlfn.XLOOKUP(Cotação!A213,T_Fretes[Produto],T_Fretes[Frete Guanabara]),_xlfn.XLOOKUP(Cotação!A213,T_Custos[Produto],T_Custos[Frete]))))),0)+_xlfn.XLOOKUP(A213,T_Custos[Produto],T_Custos[Embalado])+_xlfn.XLOOKUP(Cotação!A213,T_Custos[Produto],T_Custos[Avaria]),"Em falta"))</f>
        <v>14.1</v>
      </c>
      <c r="E213" s="52">
        <f t="shared" si="3"/>
        <v>14.1</v>
      </c>
    </row>
    <row r="214" spans="1:5" x14ac:dyDescent="0.35">
      <c r="A214" s="50" t="str">
        <v>PINHAO</v>
      </c>
      <c r="B214" s="51">
        <v>20</v>
      </c>
      <c r="C214" s="51" t="str">
        <v>kg</v>
      </c>
      <c r="D214" s="52" t="str" cm="1">
        <f t="array" ref="D214">IF(A214="","",IFERROR(_xlfn.XLOOKUP(A214,T_Custos[Produto],T_Custos[Custo])*(1+$H$3)+IF($H$4="SIM",IF($H$2="Armazém do Grão",_xlfn.XLOOKUP(Cotação!A214,T_Custos[Produto],T_Fretes[Frete Grão]),IF($H$2="GMAP",_xlfn.XLOOKUP(Cotação!A214,T_Fretes[Produto],T_Fretes[Frete GMAP]),IF($H$2="GMAP Nova Friburgo",_xlfn.XLOOKUP(Cotação!A214,T_Fretes[Produto],T_Fretes[Frete GMAP Nova Friburgo]),IF($H$2="Guanabara",_xlfn.XLOOKUP(Cotação!A214,T_Fretes[Produto],T_Fretes[Frete Guanabara]),_xlfn.XLOOKUP(Cotação!A214,T_Custos[Produto],T_Custos[Frete]))))),0)+_xlfn.XLOOKUP(A214,T_Custos[Produto],T_Custos[Embalado])+_xlfn.XLOOKUP(Cotação!A214,T_Custos[Produto],T_Custos[Avaria]),"Em falta"))</f>
        <v>Em falta</v>
      </c>
      <c r="E214" s="52" t="str">
        <f t="shared" si="3"/>
        <v>Em falta</v>
      </c>
    </row>
    <row r="215" spans="1:5" x14ac:dyDescent="0.35">
      <c r="A215" s="50" t="str">
        <v>PITAYA</v>
      </c>
      <c r="B215" s="51">
        <v>4</v>
      </c>
      <c r="C215" s="51" t="str">
        <v>kg</v>
      </c>
      <c r="D215" s="52" cm="1">
        <f t="array" ref="D215">IF(A215="","",IFERROR(_xlfn.XLOOKUP(A215,T_Custos[Produto],T_Custos[Custo])*(1+$H$3)+IF($H$4="SIM",IF($H$2="Armazém do Grão",_xlfn.XLOOKUP(Cotação!A215,T_Custos[Produto],T_Fretes[Frete Grão]),IF($H$2="GMAP",_xlfn.XLOOKUP(Cotação!A215,T_Fretes[Produto],T_Fretes[Frete GMAP]),IF($H$2="GMAP Nova Friburgo",_xlfn.XLOOKUP(Cotação!A215,T_Fretes[Produto],T_Fretes[Frete GMAP Nova Friburgo]),IF($H$2="Guanabara",_xlfn.XLOOKUP(Cotação!A215,T_Fretes[Produto],T_Fretes[Frete Guanabara]),_xlfn.XLOOKUP(Cotação!A215,T_Custos[Produto],T_Custos[Frete]))))),0)+_xlfn.XLOOKUP(A215,T_Custos[Produto],T_Custos[Embalado])+_xlfn.XLOOKUP(Cotação!A215,T_Custos[Produto],T_Custos[Avaria]),"Em falta"))</f>
        <v>38.543499999999995</v>
      </c>
      <c r="E215" s="52">
        <f t="shared" si="3"/>
        <v>9.6358749999999986</v>
      </c>
    </row>
    <row r="216" spans="1:5" x14ac:dyDescent="0.35">
      <c r="A216" s="50" t="str">
        <v>PONKAN</v>
      </c>
      <c r="B216" s="51">
        <v>9</v>
      </c>
      <c r="C216" s="51" t="str">
        <v>kg</v>
      </c>
      <c r="D216" s="52" cm="1">
        <f t="array" ref="D216">IF(A216="","",IFERROR(_xlfn.XLOOKUP(A216,T_Custos[Produto],T_Custos[Custo])*(1+$H$3)+IF($H$4="SIM",IF($H$2="Armazém do Grão",_xlfn.XLOOKUP(Cotação!A216,T_Custos[Produto],T_Fretes[Frete Grão]),IF($H$2="GMAP",_xlfn.XLOOKUP(Cotação!A216,T_Fretes[Produto],T_Fretes[Frete GMAP]),IF($H$2="GMAP Nova Friburgo",_xlfn.XLOOKUP(Cotação!A216,T_Fretes[Produto],T_Fretes[Frete GMAP Nova Friburgo]),IF($H$2="Guanabara",_xlfn.XLOOKUP(Cotação!A216,T_Fretes[Produto],T_Fretes[Frete Guanabara]),_xlfn.XLOOKUP(Cotação!A216,T_Custos[Produto],T_Custos[Frete]))))),0)+_xlfn.XLOOKUP(A216,T_Custos[Produto],T_Custos[Embalado])+_xlfn.XLOOKUP(Cotação!A216,T_Custos[Produto],T_Custos[Avaria]),"Em falta"))</f>
        <v>63.999999999999993</v>
      </c>
      <c r="E216" s="52">
        <f t="shared" si="3"/>
        <v>7.1111111111111107</v>
      </c>
    </row>
    <row r="217" spans="1:5" x14ac:dyDescent="0.35">
      <c r="A217" s="50" t="str">
        <v>PONKAN 16</v>
      </c>
      <c r="B217" s="51">
        <v>16</v>
      </c>
      <c r="C217" s="51" t="str">
        <v>kg</v>
      </c>
      <c r="D217" s="52" t="str" cm="1">
        <f t="array" ref="D217">IF(A217="","",IFERROR(_xlfn.XLOOKUP(A217,T_Custos[Produto],T_Custos[Custo])*(1+$H$3)+IF($H$4="SIM",IF($H$2="Armazém do Grão",_xlfn.XLOOKUP(Cotação!A217,T_Custos[Produto],T_Fretes[Frete Grão]),IF($H$2="GMAP",_xlfn.XLOOKUP(Cotação!A217,T_Fretes[Produto],T_Fretes[Frete GMAP]),IF($H$2="GMAP Nova Friburgo",_xlfn.XLOOKUP(Cotação!A217,T_Fretes[Produto],T_Fretes[Frete GMAP Nova Friburgo]),IF($H$2="Guanabara",_xlfn.XLOOKUP(Cotação!A217,T_Fretes[Produto],T_Fretes[Frete Guanabara]),_xlfn.XLOOKUP(Cotação!A217,T_Custos[Produto],T_Custos[Frete]))))),0)+_xlfn.XLOOKUP(A217,T_Custos[Produto],T_Custos[Embalado])+_xlfn.XLOOKUP(Cotação!A217,T_Custos[Produto],T_Custos[Avaria]),"Em falta"))</f>
        <v>Em falta</v>
      </c>
      <c r="E217" s="52" t="str">
        <f t="shared" si="3"/>
        <v>Em falta</v>
      </c>
    </row>
    <row r="218" spans="1:5" x14ac:dyDescent="0.35">
      <c r="A218" s="50" t="str">
        <v>QUIABO BJ 400 GR</v>
      </c>
      <c r="B218" s="51">
        <v>1</v>
      </c>
      <c r="C218" s="51" t="str">
        <v>bd</v>
      </c>
      <c r="D218" s="52" t="str" cm="1">
        <f t="array" ref="D218">IF(A218="","",IFERROR(_xlfn.XLOOKUP(A218,T_Custos[Produto],T_Custos[Custo])*(1+$H$3)+IF($H$4="SIM",IF($H$2="Armazém do Grão",_xlfn.XLOOKUP(Cotação!A218,T_Custos[Produto],T_Fretes[Frete Grão]),IF($H$2="GMAP",_xlfn.XLOOKUP(Cotação!A218,T_Fretes[Produto],T_Fretes[Frete GMAP]),IF($H$2="GMAP Nova Friburgo",_xlfn.XLOOKUP(Cotação!A218,T_Fretes[Produto],T_Fretes[Frete GMAP Nova Friburgo]),IF($H$2="Guanabara",_xlfn.XLOOKUP(Cotação!A218,T_Fretes[Produto],T_Fretes[Frete Guanabara]),_xlfn.XLOOKUP(Cotação!A218,T_Custos[Produto],T_Custos[Frete]))))),0)+_xlfn.XLOOKUP(A218,T_Custos[Produto],T_Custos[Embalado])+_xlfn.XLOOKUP(Cotação!A218,T_Custos[Produto],T_Custos[Avaria]),"Em falta"))</f>
        <v>Em falta</v>
      </c>
      <c r="E218" s="52" t="str">
        <f t="shared" si="3"/>
        <v>Em falta</v>
      </c>
    </row>
    <row r="219" spans="1:5" x14ac:dyDescent="0.35">
      <c r="A219" s="50" t="str">
        <v>QUIABO EMBALADO 500g</v>
      </c>
      <c r="B219" s="51">
        <v>20</v>
      </c>
      <c r="C219" s="51" t="str">
        <v>bd</v>
      </c>
      <c r="D219" s="52" cm="1">
        <f t="array" ref="D219">IF(A219="","",IFERROR(_xlfn.XLOOKUP(A219,T_Custos[Produto],T_Custos[Custo])*(1+$H$3)+IF($H$4="SIM",IF($H$2="Armazém do Grão",_xlfn.XLOOKUP(Cotação!A219,T_Custos[Produto],T_Fretes[Frete Grão]),IF($H$2="GMAP",_xlfn.XLOOKUP(Cotação!A219,T_Fretes[Produto],T_Fretes[Frete GMAP]),IF($H$2="GMAP Nova Friburgo",_xlfn.XLOOKUP(Cotação!A219,T_Fretes[Produto],T_Fretes[Frete GMAP Nova Friburgo]),IF($H$2="Guanabara",_xlfn.XLOOKUP(Cotação!A219,T_Fretes[Produto],T_Fretes[Frete Guanabara]),_xlfn.XLOOKUP(Cotação!A219,T_Custos[Produto],T_Custos[Frete]))))),0)+_xlfn.XLOOKUP(A219,T_Custos[Produto],T_Custos[Embalado])+_xlfn.XLOOKUP(Cotação!A219,T_Custos[Produto],T_Custos[Avaria]),"Em falta"))</f>
        <v>94.75</v>
      </c>
      <c r="E219" s="52">
        <f t="shared" si="3"/>
        <v>4.7374999999999998</v>
      </c>
    </row>
    <row r="220" spans="1:5" x14ac:dyDescent="0.35">
      <c r="A220" s="50" t="str">
        <v>QUIABO SOLTO</v>
      </c>
      <c r="B220" s="51">
        <v>10</v>
      </c>
      <c r="C220" s="51" t="str">
        <v>kg</v>
      </c>
      <c r="D220" s="52" cm="1">
        <f t="array" ref="D220">IF(A220="","",IFERROR(_xlfn.XLOOKUP(A220,T_Custos[Produto],T_Custos[Custo])*(1+$H$3)+IF($H$4="SIM",IF($H$2="Armazém do Grão",_xlfn.XLOOKUP(Cotação!A220,T_Custos[Produto],T_Fretes[Frete Grão]),IF($H$2="GMAP",_xlfn.XLOOKUP(Cotação!A220,T_Fretes[Produto],T_Fretes[Frete GMAP]),IF($H$2="GMAP Nova Friburgo",_xlfn.XLOOKUP(Cotação!A220,T_Fretes[Produto],T_Fretes[Frete GMAP Nova Friburgo]),IF($H$2="Guanabara",_xlfn.XLOOKUP(Cotação!A220,T_Fretes[Produto],T_Fretes[Frete Guanabara]),_xlfn.XLOOKUP(Cotação!A220,T_Custos[Produto],T_Custos[Frete]))))),0)+_xlfn.XLOOKUP(A220,T_Custos[Produto],T_Custos[Embalado])+_xlfn.XLOOKUP(Cotação!A220,T_Custos[Produto],T_Custos[Avaria]),"Em falta"))</f>
        <v>100.5</v>
      </c>
      <c r="E220" s="52">
        <f t="shared" si="3"/>
        <v>10.050000000000001</v>
      </c>
    </row>
    <row r="221" spans="1:5" x14ac:dyDescent="0.35">
      <c r="A221" s="50" t="str">
        <v>RABANETE KG</v>
      </c>
      <c r="B221" s="51">
        <v>1</v>
      </c>
      <c r="C221" s="51" t="str">
        <v>kg</v>
      </c>
      <c r="D221" s="52" cm="1">
        <f t="array" ref="D221">IF(A221="","",IFERROR(_xlfn.XLOOKUP(A221,T_Custos[Produto],T_Custos[Custo])*(1+$H$3)+IF($H$4="SIM",IF($H$2="Armazém do Grão",_xlfn.XLOOKUP(Cotação!A221,T_Custos[Produto],T_Fretes[Frete Grão]),IF($H$2="GMAP",_xlfn.XLOOKUP(Cotação!A221,T_Fretes[Produto],T_Fretes[Frete GMAP]),IF($H$2="GMAP Nova Friburgo",_xlfn.XLOOKUP(Cotação!A221,T_Fretes[Produto],T_Fretes[Frete GMAP Nova Friburgo]),IF($H$2="Guanabara",_xlfn.XLOOKUP(Cotação!A221,T_Fretes[Produto],T_Fretes[Frete Guanabara]),_xlfn.XLOOKUP(Cotação!A221,T_Custos[Produto],T_Custos[Frete]))))),0)+_xlfn.XLOOKUP(A221,T_Custos[Produto],T_Custos[Embalado])+_xlfn.XLOOKUP(Cotação!A221,T_Custos[Produto],T_Custos[Avaria]),"Em falta"))</f>
        <v>14.2</v>
      </c>
      <c r="E221" s="52">
        <f t="shared" si="3"/>
        <v>14.2</v>
      </c>
    </row>
    <row r="222" spans="1:5" x14ac:dyDescent="0.35">
      <c r="A222" s="50" t="str">
        <v>REPOLHO ROXO KG</v>
      </c>
      <c r="B222" s="51">
        <v>1</v>
      </c>
      <c r="C222" s="51" t="str">
        <v>kg</v>
      </c>
      <c r="D222" s="52" cm="1">
        <f t="array" ref="D222">IF(A222="","",IFERROR(_xlfn.XLOOKUP(A222,T_Custos[Produto],T_Custos[Custo])*(1+$H$3)+IF($H$4="SIM",IF($H$2="Armazém do Grão",_xlfn.XLOOKUP(Cotação!A222,T_Custos[Produto],T_Fretes[Frete Grão]),IF($H$2="GMAP",_xlfn.XLOOKUP(Cotação!A222,T_Fretes[Produto],T_Fretes[Frete GMAP]),IF($H$2="GMAP Nova Friburgo",_xlfn.XLOOKUP(Cotação!A222,T_Fretes[Produto],T_Fretes[Frete GMAP Nova Friburgo]),IF($H$2="Guanabara",_xlfn.XLOOKUP(Cotação!A222,T_Fretes[Produto],T_Fretes[Frete Guanabara]),_xlfn.XLOOKUP(Cotação!A222,T_Custos[Produto],T_Custos[Frete]))))),0)+_xlfn.XLOOKUP(A222,T_Custos[Produto],T_Custos[Embalado])+_xlfn.XLOOKUP(Cotação!A222,T_Custos[Produto],T_Custos[Avaria]),"Em falta"))</f>
        <v>10.174999999999999</v>
      </c>
      <c r="E222" s="52">
        <f t="shared" si="3"/>
        <v>10.174999999999999</v>
      </c>
    </row>
    <row r="223" spans="1:5" x14ac:dyDescent="0.35">
      <c r="A223" s="50" t="str">
        <v>REPOLHO VERDE KG</v>
      </c>
      <c r="B223" s="51">
        <v>1</v>
      </c>
      <c r="C223" s="51" t="str">
        <v>kg</v>
      </c>
      <c r="D223" s="52" cm="1">
        <f t="array" ref="D223">IF(A223="","",IFERROR(_xlfn.XLOOKUP(A223,T_Custos[Produto],T_Custos[Custo])*(1+$H$3)+IF($H$4="SIM",IF($H$2="Armazém do Grão",_xlfn.XLOOKUP(Cotação!A223,T_Custos[Produto],T_Fretes[Frete Grão]),IF($H$2="GMAP",_xlfn.XLOOKUP(Cotação!A223,T_Fretes[Produto],T_Fretes[Frete GMAP]),IF($H$2="GMAP Nova Friburgo",_xlfn.XLOOKUP(Cotação!A223,T_Fretes[Produto],T_Fretes[Frete GMAP Nova Friburgo]),IF($H$2="Guanabara",_xlfn.XLOOKUP(Cotação!A223,T_Fretes[Produto],T_Fretes[Frete Guanabara]),_xlfn.XLOOKUP(Cotação!A223,T_Custos[Produto],T_Custos[Frete]))))),0)+_xlfn.XLOOKUP(A223,T_Custos[Produto],T_Custos[Embalado])+_xlfn.XLOOKUP(Cotação!A223,T_Custos[Produto],T_Custos[Avaria]),"Em falta"))</f>
        <v>10.75</v>
      </c>
      <c r="E223" s="52">
        <f t="shared" si="3"/>
        <v>10.75</v>
      </c>
    </row>
    <row r="224" spans="1:5" x14ac:dyDescent="0.35">
      <c r="A224" s="50" t="str">
        <v>ROMA</v>
      </c>
      <c r="B224" s="51">
        <v>3</v>
      </c>
      <c r="C224" s="51" t="str">
        <v>kg</v>
      </c>
      <c r="D224" s="52" t="str" cm="1">
        <f t="array" ref="D224">IF(A224="","",IFERROR(_xlfn.XLOOKUP(A224,T_Custos[Produto],T_Custos[Custo])*(1+$H$3)+IF($H$4="SIM",IF($H$2="Armazém do Grão",_xlfn.XLOOKUP(Cotação!A224,T_Custos[Produto],T_Fretes[Frete Grão]),IF($H$2="GMAP",_xlfn.XLOOKUP(Cotação!A224,T_Fretes[Produto],T_Fretes[Frete GMAP]),IF($H$2="GMAP Nova Friburgo",_xlfn.XLOOKUP(Cotação!A224,T_Fretes[Produto],T_Fretes[Frete GMAP Nova Friburgo]),IF($H$2="Guanabara",_xlfn.XLOOKUP(Cotação!A224,T_Fretes[Produto],T_Fretes[Frete Guanabara]),_xlfn.XLOOKUP(Cotação!A224,T_Custos[Produto],T_Custos[Frete]))))),0)+_xlfn.XLOOKUP(A224,T_Custos[Produto],T_Custos[Embalado])+_xlfn.XLOOKUP(Cotação!A224,T_Custos[Produto],T_Custos[Avaria]),"Em falta"))</f>
        <v>Em falta</v>
      </c>
      <c r="E224" s="52" t="str">
        <f t="shared" si="3"/>
        <v>Em falta</v>
      </c>
    </row>
    <row r="225" spans="1:5" x14ac:dyDescent="0.35">
      <c r="A225" s="50" t="str">
        <v>ROMA IMPORTADO</v>
      </c>
      <c r="B225" s="51">
        <v>4</v>
      </c>
      <c r="C225" s="51" t="str">
        <v>kg</v>
      </c>
      <c r="D225" s="52" cm="1">
        <f t="array" ref="D225">IF(A225="","",IFERROR(_xlfn.XLOOKUP(A225,T_Custos[Produto],T_Custos[Custo])*(1+$H$3)+IF($H$4="SIM",IF($H$2="Armazém do Grão",_xlfn.XLOOKUP(Cotação!A225,T_Custos[Produto],T_Fretes[Frete Grão]),IF($H$2="GMAP",_xlfn.XLOOKUP(Cotação!A225,T_Fretes[Produto],T_Fretes[Frete GMAP]),IF($H$2="GMAP Nova Friburgo",_xlfn.XLOOKUP(Cotação!A225,T_Fretes[Produto],T_Fretes[Frete GMAP Nova Friburgo]),IF($H$2="Guanabara",_xlfn.XLOOKUP(Cotação!A225,T_Fretes[Produto],T_Fretes[Frete Guanabara]),_xlfn.XLOOKUP(Cotação!A225,T_Custos[Produto],T_Custos[Frete]))))),0)+_xlfn.XLOOKUP(A225,T_Custos[Produto],T_Custos[Embalado])+_xlfn.XLOOKUP(Cotação!A225,T_Custos[Produto],T_Custos[Avaria]),"Em falta"))</f>
        <v>106.39999999999999</v>
      </c>
      <c r="E225" s="52">
        <f t="shared" si="3"/>
        <v>26.599999999999998</v>
      </c>
    </row>
    <row r="226" spans="1:5" x14ac:dyDescent="0.35">
      <c r="A226" s="50" t="str">
        <v>RUCULA KG</v>
      </c>
      <c r="B226" s="51">
        <v>1</v>
      </c>
      <c r="C226" s="51" t="str">
        <v>kg</v>
      </c>
      <c r="D226" s="52" cm="1">
        <f t="array" ref="D226">IF(A226="","",IFERROR(_xlfn.XLOOKUP(A226,T_Custos[Produto],T_Custos[Custo])*(1+$H$3)+IF($H$4="SIM",IF($H$2="Armazém do Grão",_xlfn.XLOOKUP(Cotação!A226,T_Custos[Produto],T_Fretes[Frete Grão]),IF($H$2="GMAP",_xlfn.XLOOKUP(Cotação!A226,T_Fretes[Produto],T_Fretes[Frete GMAP]),IF($H$2="GMAP Nova Friburgo",_xlfn.XLOOKUP(Cotação!A226,T_Fretes[Produto],T_Fretes[Frete GMAP Nova Friburgo]),IF($H$2="Guanabara",_xlfn.XLOOKUP(Cotação!A226,T_Fretes[Produto],T_Fretes[Frete Guanabara]),_xlfn.XLOOKUP(Cotação!A226,T_Custos[Produto],T_Custos[Frete]))))),0)+_xlfn.XLOOKUP(A226,T_Custos[Produto],T_Custos[Embalado])+_xlfn.XLOOKUP(Cotação!A226,T_Custos[Produto],T_Custos[Avaria]),"Em falta"))</f>
        <v>18.799999999999997</v>
      </c>
      <c r="E226" s="52">
        <f t="shared" si="3"/>
        <v>18.799999999999997</v>
      </c>
    </row>
    <row r="227" spans="1:5" x14ac:dyDescent="0.35">
      <c r="A227" s="53" t="str">
        <v>SALSA KG</v>
      </c>
      <c r="B227" s="51">
        <v>1</v>
      </c>
      <c r="C227" s="51" t="str">
        <v>kg</v>
      </c>
      <c r="D227" s="52" cm="1">
        <f t="array" ref="D227">IF(A227="","",IFERROR(_xlfn.XLOOKUP(A227,T_Custos[Produto],T_Custos[Custo])*(1+$H$3)+IF($H$4="SIM",IF($H$2="Armazém do Grão",_xlfn.XLOOKUP(Cotação!A227,T_Custos[Produto],T_Fretes[Frete Grão]),IF($H$2="GMAP",_xlfn.XLOOKUP(Cotação!A227,T_Fretes[Produto],T_Fretes[Frete GMAP]),IF($H$2="GMAP Nova Friburgo",_xlfn.XLOOKUP(Cotação!A227,T_Fretes[Produto],T_Fretes[Frete GMAP Nova Friburgo]),IF($H$2="Guanabara",_xlfn.XLOOKUP(Cotação!A227,T_Fretes[Produto],T_Fretes[Frete Guanabara]),_xlfn.XLOOKUP(Cotação!A227,T_Custos[Produto],T_Custos[Frete]))))),0)+_xlfn.XLOOKUP(A227,T_Custos[Produto],T_Custos[Embalado])+_xlfn.XLOOKUP(Cotação!A227,T_Custos[Produto],T_Custos[Avaria]),"Em falta"))</f>
        <v>15.35</v>
      </c>
      <c r="E227" s="52">
        <f t="shared" si="3"/>
        <v>15.35</v>
      </c>
    </row>
    <row r="228" spans="1:5" x14ac:dyDescent="0.35">
      <c r="A228" s="53" t="str">
        <v>SALVIA KG</v>
      </c>
      <c r="B228" s="51">
        <v>1</v>
      </c>
      <c r="C228" s="51" t="str">
        <v>kg</v>
      </c>
      <c r="D228" s="52" cm="1">
        <f t="array" ref="D228">IF(A228="","",IFERROR(_xlfn.XLOOKUP(A228,T_Custos[Produto],T_Custos[Custo])*(1+$H$3)+IF($H$4="SIM",IF($H$2="Armazém do Grão",_xlfn.XLOOKUP(Cotação!A228,T_Custos[Produto],T_Fretes[Frete Grão]),IF($H$2="GMAP",_xlfn.XLOOKUP(Cotação!A228,T_Fretes[Produto],T_Fretes[Frete GMAP]),IF($H$2="GMAP Nova Friburgo",_xlfn.XLOOKUP(Cotação!A228,T_Fretes[Produto],T_Fretes[Frete GMAP Nova Friburgo]),IF($H$2="Guanabara",_xlfn.XLOOKUP(Cotação!A228,T_Fretes[Produto],T_Fretes[Frete Guanabara]),_xlfn.XLOOKUP(Cotação!A228,T_Custos[Produto],T_Custos[Frete]))))),0)+_xlfn.XLOOKUP(A228,T_Custos[Produto],T_Custos[Embalado])+_xlfn.XLOOKUP(Cotação!A228,T_Custos[Produto],T_Custos[Avaria]),"Em falta"))</f>
        <v>34.9</v>
      </c>
      <c r="E228" s="52">
        <f t="shared" si="3"/>
        <v>34.9</v>
      </c>
    </row>
    <row r="229" spans="1:5" x14ac:dyDescent="0.35">
      <c r="A229" s="53" t="str">
        <v>TAMARINDO FRESCO</v>
      </c>
      <c r="B229" s="51">
        <v>1</v>
      </c>
      <c r="C229" s="51" t="str">
        <v>kg</v>
      </c>
      <c r="D229" s="52" cm="1">
        <f t="array" ref="D229">IF(A229="","",IFERROR(_xlfn.XLOOKUP(A229,T_Custos[Produto],T_Custos[Custo])*(1+$H$3)+IF($H$4="SIM",IF($H$2="Armazém do Grão",_xlfn.XLOOKUP(Cotação!A229,T_Custos[Produto],T_Fretes[Frete Grão]),IF($H$2="GMAP",_xlfn.XLOOKUP(Cotação!A229,T_Fretes[Produto],T_Fretes[Frete GMAP]),IF($H$2="GMAP Nova Friburgo",_xlfn.XLOOKUP(Cotação!A229,T_Fretes[Produto],T_Fretes[Frete GMAP Nova Friburgo]),IF($H$2="Guanabara",_xlfn.XLOOKUP(Cotação!A229,T_Fretes[Produto],T_Fretes[Frete Guanabara]),_xlfn.XLOOKUP(Cotação!A229,T_Custos[Produto],T_Custos[Frete]))))),0)+_xlfn.XLOOKUP(A229,T_Custos[Produto],T_Custos[Embalado])+_xlfn.XLOOKUP(Cotação!A229,T_Custos[Produto],T_Custos[Avaria]),"Em falta"))</f>
        <v>44.53949999999999</v>
      </c>
      <c r="E229" s="52">
        <f t="shared" si="3"/>
        <v>44.53949999999999</v>
      </c>
    </row>
    <row r="230" spans="1:5" x14ac:dyDescent="0.35">
      <c r="A230" s="53" t="str">
        <v>TANGERINA / MEXERICA IMPORTADA</v>
      </c>
      <c r="B230" s="51">
        <v>9</v>
      </c>
      <c r="C230" s="51" t="str">
        <v>kg</v>
      </c>
      <c r="D230" s="52" cm="1">
        <f t="array" ref="D230">IF(A230="","",IFERROR(_xlfn.XLOOKUP(A230,T_Custos[Produto],T_Custos[Custo])*(1+$H$3)+IF($H$4="SIM",IF($H$2="Armazém do Grão",_xlfn.XLOOKUP(Cotação!A230,T_Custos[Produto],T_Fretes[Frete Grão]),IF($H$2="GMAP",_xlfn.XLOOKUP(Cotação!A230,T_Fretes[Produto],T_Fretes[Frete GMAP]),IF($H$2="GMAP Nova Friburgo",_xlfn.XLOOKUP(Cotação!A230,T_Fretes[Produto],T_Fretes[Frete GMAP Nova Friburgo]),IF($H$2="Guanabara",_xlfn.XLOOKUP(Cotação!A230,T_Fretes[Produto],T_Fretes[Frete Guanabara]),_xlfn.XLOOKUP(Cotação!A230,T_Custos[Produto],T_Custos[Frete]))))),0)+_xlfn.XLOOKUP(A230,T_Custos[Produto],T_Custos[Embalado])+_xlfn.XLOOKUP(Cotação!A230,T_Custos[Produto],T_Custos[Avaria]),"Em falta"))</f>
        <v>120.69999999999999</v>
      </c>
      <c r="E230" s="52">
        <f t="shared" si="3"/>
        <v>13.41111111111111</v>
      </c>
    </row>
    <row r="231" spans="1:5" x14ac:dyDescent="0.35">
      <c r="A231" s="53" t="str">
        <v>TANGERINA BERGAMOTA</v>
      </c>
      <c r="B231" s="51">
        <v>9</v>
      </c>
      <c r="C231" s="51" t="str">
        <v>kg</v>
      </c>
      <c r="D231" s="52" t="str" cm="1">
        <f t="array" ref="D231">IF(A231="","",IFERROR(_xlfn.XLOOKUP(A231,T_Custos[Produto],T_Custos[Custo])*(1+$H$3)+IF($H$4="SIM",IF($H$2="Armazém do Grão",_xlfn.XLOOKUP(Cotação!A231,T_Custos[Produto],T_Fretes[Frete Grão]),IF($H$2="GMAP",_xlfn.XLOOKUP(Cotação!A231,T_Fretes[Produto],T_Fretes[Frete GMAP]),IF($H$2="GMAP Nova Friburgo",_xlfn.XLOOKUP(Cotação!A231,T_Fretes[Produto],T_Fretes[Frete GMAP Nova Friburgo]),IF($H$2="Guanabara",_xlfn.XLOOKUP(Cotação!A231,T_Fretes[Produto],T_Fretes[Frete Guanabara]),_xlfn.XLOOKUP(Cotação!A231,T_Custos[Produto],T_Custos[Frete]))))),0)+_xlfn.XLOOKUP(A231,T_Custos[Produto],T_Custos[Embalado])+_xlfn.XLOOKUP(Cotação!A231,T_Custos[Produto],T_Custos[Avaria]),"Em falta"))</f>
        <v>Em falta</v>
      </c>
      <c r="E231" s="52" t="str">
        <f t="shared" si="3"/>
        <v>Em falta</v>
      </c>
    </row>
    <row r="232" spans="1:5" x14ac:dyDescent="0.35">
      <c r="A232" s="53" t="str">
        <v>TANGERINA CRAVO</v>
      </c>
      <c r="B232" s="51">
        <v>20</v>
      </c>
      <c r="C232" s="51" t="str">
        <v>kg</v>
      </c>
      <c r="D232" s="52" t="str" cm="1">
        <f t="array" ref="D232">IF(A232="","",IFERROR(_xlfn.XLOOKUP(A232,T_Custos[Produto],T_Custos[Custo])*(1+$H$3)+IF($H$4="SIM",IF($H$2="Armazém do Grão",_xlfn.XLOOKUP(Cotação!A232,T_Custos[Produto],T_Fretes[Frete Grão]),IF($H$2="GMAP",_xlfn.XLOOKUP(Cotação!A232,T_Fretes[Produto],T_Fretes[Frete GMAP]),IF($H$2="GMAP Nova Friburgo",_xlfn.XLOOKUP(Cotação!A232,T_Fretes[Produto],T_Fretes[Frete GMAP Nova Friburgo]),IF($H$2="Guanabara",_xlfn.XLOOKUP(Cotação!A232,T_Fretes[Produto],T_Fretes[Frete Guanabara]),_xlfn.XLOOKUP(Cotação!A232,T_Custos[Produto],T_Custos[Frete]))))),0)+_xlfn.XLOOKUP(A232,T_Custos[Produto],T_Custos[Embalado])+_xlfn.XLOOKUP(Cotação!A232,T_Custos[Produto],T_Custos[Avaria]),"Em falta"))</f>
        <v>Em falta</v>
      </c>
      <c r="E232" s="52" t="str">
        <f t="shared" si="3"/>
        <v>Em falta</v>
      </c>
    </row>
    <row r="233" spans="1:5" x14ac:dyDescent="0.35">
      <c r="A233" s="53" t="str">
        <v>TOMATE</v>
      </c>
      <c r="B233" s="51">
        <v>20</v>
      </c>
      <c r="C233" s="51" t="str">
        <v>kg</v>
      </c>
      <c r="D233" s="52" cm="1">
        <f t="array" ref="D233">IF(A233="","",IFERROR(_xlfn.XLOOKUP(A233,T_Custos[Produto],T_Custos[Custo])*(1+$H$3)+IF($H$4="SIM",IF($H$2="Armazém do Grão",_xlfn.XLOOKUP(Cotação!A233,T_Custos[Produto],T_Fretes[Frete Grão]),IF($H$2="GMAP",_xlfn.XLOOKUP(Cotação!A233,T_Fretes[Produto],T_Fretes[Frete GMAP]),IF($H$2="GMAP Nova Friburgo",_xlfn.XLOOKUP(Cotação!A233,T_Fretes[Produto],T_Fretes[Frete GMAP Nova Friburgo]),IF($H$2="Guanabara",_xlfn.XLOOKUP(Cotação!A233,T_Fretes[Produto],T_Fretes[Frete Guanabara]),_xlfn.XLOOKUP(Cotação!A233,T_Custos[Produto],T_Custos[Frete]))))),0)+_xlfn.XLOOKUP(A233,T_Custos[Produto],T_Custos[Embalado])+_xlfn.XLOOKUP(Cotação!A233,T_Custos[Produto],T_Custos[Avaria]),"Em falta"))</f>
        <v>181</v>
      </c>
      <c r="E233" s="52">
        <f t="shared" si="3"/>
        <v>9.0500000000000007</v>
      </c>
    </row>
    <row r="234" spans="1:5" x14ac:dyDescent="0.35">
      <c r="A234" s="53" t="str">
        <v>TOMATE CEREJA</v>
      </c>
      <c r="B234" s="51">
        <v>1</v>
      </c>
      <c r="C234" s="51" t="str">
        <v>kg</v>
      </c>
      <c r="D234" s="52" cm="1">
        <f t="array" ref="D234">IF(A234="","",IFERROR(_xlfn.XLOOKUP(A234,T_Custos[Produto],T_Custos[Custo])*(1+$H$3)+IF($H$4="SIM",IF($H$2="Armazém do Grão",_xlfn.XLOOKUP(Cotação!A234,T_Custos[Produto],T_Fretes[Frete Grão]),IF($H$2="GMAP",_xlfn.XLOOKUP(Cotação!A234,T_Fretes[Produto],T_Fretes[Frete GMAP]),IF($H$2="GMAP Nova Friburgo",_xlfn.XLOOKUP(Cotação!A234,T_Fretes[Produto],T_Fretes[Frete GMAP Nova Friburgo]),IF($H$2="Guanabara",_xlfn.XLOOKUP(Cotação!A234,T_Fretes[Produto],T_Fretes[Frete Guanabara]),_xlfn.XLOOKUP(Cotação!A234,T_Custos[Produto],T_Custos[Frete]))))),0)+_xlfn.XLOOKUP(A234,T_Custos[Produto],T_Custos[Embalado])+_xlfn.XLOOKUP(Cotação!A234,T_Custos[Produto],T_Custos[Avaria]),"Em falta"))</f>
        <v>22.4</v>
      </c>
      <c r="E234" s="52">
        <f t="shared" si="3"/>
        <v>22.4</v>
      </c>
    </row>
    <row r="235" spans="1:5" x14ac:dyDescent="0.35">
      <c r="A235" s="53" t="str">
        <v>TOMATE CEREJA BDJ 300G</v>
      </c>
      <c r="B235" s="51">
        <v>1</v>
      </c>
      <c r="C235" s="51" t="str">
        <v>bd</v>
      </c>
      <c r="D235" s="52" cm="1">
        <f t="array" ref="D235">IF(A235="","",IFERROR(_xlfn.XLOOKUP(A235,T_Custos[Produto],T_Custos[Custo])*(1+$H$3)+IF($H$4="SIM",IF($H$2="Armazém do Grão",_xlfn.XLOOKUP(Cotação!A235,T_Custos[Produto],T_Fretes[Frete Grão]),IF($H$2="GMAP",_xlfn.XLOOKUP(Cotação!A235,T_Fretes[Produto],T_Fretes[Frete GMAP]),IF($H$2="GMAP Nova Friburgo",_xlfn.XLOOKUP(Cotação!A235,T_Fretes[Produto],T_Fretes[Frete GMAP Nova Friburgo]),IF($H$2="Guanabara",_xlfn.XLOOKUP(Cotação!A235,T_Fretes[Produto],T_Fretes[Frete Guanabara]),_xlfn.XLOOKUP(Cotação!A235,T_Custos[Produto],T_Custos[Frete]))))),0)+_xlfn.XLOOKUP(A235,T_Custos[Produto],T_Custos[Embalado])+_xlfn.XLOOKUP(Cotação!A235,T_Custos[Produto],T_Custos[Avaria]),"Em falta"))</f>
        <v>5.0264999999999995</v>
      </c>
      <c r="E235" s="52">
        <f t="shared" si="3"/>
        <v>5.0264999999999995</v>
      </c>
    </row>
    <row r="236" spans="1:5" x14ac:dyDescent="0.35">
      <c r="A236" s="53" t="str">
        <v>TOMATE CEREJA BDJ 350G</v>
      </c>
      <c r="B236" s="51">
        <v>1</v>
      </c>
      <c r="C236" s="51" t="str">
        <v>bd</v>
      </c>
      <c r="D236" s="52" cm="1">
        <f t="array" ref="D236">IF(A236="","",IFERROR(_xlfn.XLOOKUP(A236,T_Custos[Produto],T_Custos[Custo])*(1+$H$3)+IF($H$4="SIM",IF($H$2="Armazém do Grão",_xlfn.XLOOKUP(Cotação!A236,T_Custos[Produto],T_Fretes[Frete Grão]),IF($H$2="GMAP",_xlfn.XLOOKUP(Cotação!A236,T_Fretes[Produto],T_Fretes[Frete GMAP]),IF($H$2="GMAP Nova Friburgo",_xlfn.XLOOKUP(Cotação!A236,T_Fretes[Produto],T_Fretes[Frete GMAP Nova Friburgo]),IF($H$2="Guanabara",_xlfn.XLOOKUP(Cotação!A236,T_Fretes[Produto],T_Fretes[Frete Guanabara]),_xlfn.XLOOKUP(Cotação!A236,T_Custos[Produto],T_Custos[Frete]))))),0)+_xlfn.XLOOKUP(A236,T_Custos[Produto],T_Custos[Embalado])+_xlfn.XLOOKUP(Cotação!A236,T_Custos[Produto],T_Custos[Avaria]),"Em falta"))</f>
        <v>5.4749999999999996</v>
      </c>
      <c r="E236" s="52">
        <f t="shared" si="3"/>
        <v>5.4749999999999996</v>
      </c>
    </row>
    <row r="237" spans="1:5" x14ac:dyDescent="0.35">
      <c r="A237" s="53" t="str">
        <v>TOMATE GRAPE</v>
      </c>
      <c r="B237" s="51">
        <v>1</v>
      </c>
      <c r="C237" s="51" t="str">
        <v>bd</v>
      </c>
      <c r="D237" s="52" t="str" cm="1">
        <f t="array" ref="D237">IF(A237="","",IFERROR(_xlfn.XLOOKUP(A237,T_Custos[Produto],T_Custos[Custo])*(1+$H$3)+IF($H$4="SIM",IF($H$2="Armazém do Grão",_xlfn.XLOOKUP(Cotação!A237,T_Custos[Produto],T_Fretes[Frete Grão]),IF($H$2="GMAP",_xlfn.XLOOKUP(Cotação!A237,T_Fretes[Produto],T_Fretes[Frete GMAP]),IF($H$2="GMAP Nova Friburgo",_xlfn.XLOOKUP(Cotação!A237,T_Fretes[Produto],T_Fretes[Frete GMAP Nova Friburgo]),IF($H$2="Guanabara",_xlfn.XLOOKUP(Cotação!A237,T_Fretes[Produto],T_Fretes[Frete Guanabara]),_xlfn.XLOOKUP(Cotação!A237,T_Custos[Produto],T_Custos[Frete]))))),0)+_xlfn.XLOOKUP(A237,T_Custos[Produto],T_Custos[Embalado])+_xlfn.XLOOKUP(Cotação!A237,T_Custos[Produto],T_Custos[Avaria]),"Em falta"))</f>
        <v>Em falta</v>
      </c>
      <c r="E237" s="52" t="str">
        <f t="shared" si="3"/>
        <v>Em falta</v>
      </c>
    </row>
    <row r="238" spans="1:5" x14ac:dyDescent="0.35">
      <c r="A238" s="53" t="str">
        <v>TOMATE GRAPE 180G</v>
      </c>
      <c r="B238" s="51">
        <v>1</v>
      </c>
      <c r="C238" s="51" t="str">
        <v>bd</v>
      </c>
      <c r="D238" s="52" cm="1">
        <f t="array" ref="D238">IF(A238="","",IFERROR(_xlfn.XLOOKUP(A238,T_Custos[Produto],T_Custos[Custo])*(1+$H$3)+IF($H$4="SIM",IF($H$2="Armazém do Grão",_xlfn.XLOOKUP(Cotação!A238,T_Custos[Produto],T_Fretes[Frete Grão]),IF($H$2="GMAP",_xlfn.XLOOKUP(Cotação!A238,T_Fretes[Produto],T_Fretes[Frete GMAP]),IF($H$2="GMAP Nova Friburgo",_xlfn.XLOOKUP(Cotação!A238,T_Fretes[Produto],T_Fretes[Frete GMAP Nova Friburgo]),IF($H$2="Guanabara",_xlfn.XLOOKUP(Cotação!A238,T_Fretes[Produto],T_Fretes[Frete Guanabara]),_xlfn.XLOOKUP(Cotação!A238,T_Custos[Produto],T_Custos[Frete]))))),0)+_xlfn.XLOOKUP(A238,T_Custos[Produto],T_Custos[Embalado])+_xlfn.XLOOKUP(Cotação!A238,T_Custos[Produto],T_Custos[Avaria]),"Em falta"))</f>
        <v>5.0149999999999988</v>
      </c>
      <c r="E238" s="52">
        <f t="shared" si="3"/>
        <v>5.0149999999999988</v>
      </c>
    </row>
    <row r="239" spans="1:5" x14ac:dyDescent="0.35">
      <c r="A239" s="53" t="str">
        <v>TOMATE ITALIANO</v>
      </c>
      <c r="B239" s="51">
        <v>20</v>
      </c>
      <c r="C239" s="51" t="str">
        <v>kg</v>
      </c>
      <c r="D239" s="52" cm="1">
        <f t="array" ref="D239">IF(A239="","",IFERROR(_xlfn.XLOOKUP(A239,T_Custos[Produto],T_Custos[Custo])*(1+$H$3)+IF($H$4="SIM",IF($H$2="Armazém do Grão",_xlfn.XLOOKUP(Cotação!A239,T_Custos[Produto],T_Fretes[Frete Grão]),IF($H$2="GMAP",_xlfn.XLOOKUP(Cotação!A239,T_Fretes[Produto],T_Fretes[Frete GMAP]),IF($H$2="GMAP Nova Friburgo",_xlfn.XLOOKUP(Cotação!A239,T_Fretes[Produto],T_Fretes[Frete GMAP Nova Friburgo]),IF($H$2="Guanabara",_xlfn.XLOOKUP(Cotação!A239,T_Fretes[Produto],T_Fretes[Frete Guanabara]),_xlfn.XLOOKUP(Cotação!A239,T_Custos[Produto],T_Custos[Frete]))))),0)+_xlfn.XLOOKUP(A239,T_Custos[Produto],T_Custos[Embalado])+_xlfn.XLOOKUP(Cotação!A239,T_Custos[Produto],T_Custos[Avaria]),"Em falta"))</f>
        <v>181</v>
      </c>
      <c r="E239" s="52">
        <f t="shared" si="3"/>
        <v>9.0500000000000007</v>
      </c>
    </row>
    <row r="240" spans="1:5" x14ac:dyDescent="0.35">
      <c r="A240" s="53" t="str">
        <v>TOMILHO KG</v>
      </c>
      <c r="B240" s="51">
        <v>1</v>
      </c>
      <c r="C240" s="51" t="str">
        <v>kg</v>
      </c>
      <c r="D240" s="52" cm="1">
        <f t="array" ref="D240">IF(A240="","",IFERROR(_xlfn.XLOOKUP(A240,T_Custos[Produto],T_Custos[Custo])*(1+$H$3)+IF($H$4="SIM",IF($H$2="Armazém do Grão",_xlfn.XLOOKUP(Cotação!A240,T_Custos[Produto],T_Fretes[Frete Grão]),IF($H$2="GMAP",_xlfn.XLOOKUP(Cotação!A240,T_Fretes[Produto],T_Fretes[Frete GMAP]),IF($H$2="GMAP Nova Friburgo",_xlfn.XLOOKUP(Cotação!A240,T_Fretes[Produto],T_Fretes[Frete GMAP Nova Friburgo]),IF($H$2="Guanabara",_xlfn.XLOOKUP(Cotação!A240,T_Fretes[Produto],T_Fretes[Frete Guanabara]),_xlfn.XLOOKUP(Cotação!A240,T_Custos[Produto],T_Custos[Frete]))))),0)+_xlfn.XLOOKUP(A240,T_Custos[Produto],T_Custos[Embalado])+_xlfn.XLOOKUP(Cotação!A240,T_Custos[Produto],T_Custos[Avaria]),"Em falta"))</f>
        <v>46.4</v>
      </c>
      <c r="E240" s="52">
        <f t="shared" si="3"/>
        <v>46.4</v>
      </c>
    </row>
    <row r="241" spans="1:5" x14ac:dyDescent="0.35">
      <c r="A241" s="53" t="str">
        <v>UVA BENITAKA</v>
      </c>
      <c r="B241" s="51">
        <v>10</v>
      </c>
      <c r="C241" s="51" t="str">
        <v>bd</v>
      </c>
      <c r="D241" s="52" cm="1">
        <f t="array" ref="D241">IF(A241="","",IFERROR(_xlfn.XLOOKUP(A241,T_Custos[Produto],T_Custos[Custo])*(1+$H$3)+IF($H$4="SIM",IF($H$2="Armazém do Grão",_xlfn.XLOOKUP(Cotação!A241,T_Custos[Produto],T_Fretes[Frete Grão]),IF($H$2="GMAP",_xlfn.XLOOKUP(Cotação!A241,T_Fretes[Produto],T_Fretes[Frete GMAP]),IF($H$2="GMAP Nova Friburgo",_xlfn.XLOOKUP(Cotação!A241,T_Fretes[Produto],T_Fretes[Frete GMAP Nova Friburgo]),IF($H$2="Guanabara",_xlfn.XLOOKUP(Cotação!A241,T_Fretes[Produto],T_Fretes[Frete Guanabara]),_xlfn.XLOOKUP(Cotação!A241,T_Custos[Produto],T_Custos[Frete]))))),0)+_xlfn.XLOOKUP(A241,T_Custos[Produto],T_Custos[Embalado])+_xlfn.XLOOKUP(Cotação!A241,T_Custos[Produto],T_Custos[Avaria]),"Em falta"))</f>
        <v>65.012999999999991</v>
      </c>
      <c r="E241" s="52">
        <f t="shared" si="3"/>
        <v>6.5012999999999987</v>
      </c>
    </row>
    <row r="242" spans="1:5" x14ac:dyDescent="0.35">
      <c r="A242" s="53" t="str">
        <v>UVA CRIMSON</v>
      </c>
      <c r="B242" s="51">
        <v>10</v>
      </c>
      <c r="C242" s="51" t="str">
        <v>bd</v>
      </c>
      <c r="D242" s="52" t="str" cm="1">
        <f t="array" ref="D242">IF(A242="","",IFERROR(_xlfn.XLOOKUP(A242,T_Custos[Produto],T_Custos[Custo])*(1+$H$3)+IF($H$4="SIM",IF($H$2="Armazém do Grão",_xlfn.XLOOKUP(Cotação!A242,T_Custos[Produto],T_Fretes[Frete Grão]),IF($H$2="GMAP",_xlfn.XLOOKUP(Cotação!A242,T_Fretes[Produto],T_Fretes[Frete GMAP]),IF($H$2="GMAP Nova Friburgo",_xlfn.XLOOKUP(Cotação!A242,T_Fretes[Produto],T_Fretes[Frete GMAP Nova Friburgo]),IF($H$2="Guanabara",_xlfn.XLOOKUP(Cotação!A242,T_Fretes[Produto],T_Fretes[Frete Guanabara]),_xlfn.XLOOKUP(Cotação!A242,T_Custos[Produto],T_Custos[Frete]))))),0)+_xlfn.XLOOKUP(A242,T_Custos[Produto],T_Custos[Embalado])+_xlfn.XLOOKUP(Cotação!A242,T_Custos[Produto],T_Custos[Avaria]),"Em falta"))</f>
        <v>Em falta</v>
      </c>
      <c r="E242" s="52" t="str">
        <f t="shared" si="3"/>
        <v>Em falta</v>
      </c>
    </row>
    <row r="243" spans="1:5" x14ac:dyDescent="0.35">
      <c r="A243" s="53" t="str">
        <v>UVA ISABEL / VERMELHA</v>
      </c>
      <c r="B243" s="51">
        <v>10</v>
      </c>
      <c r="C243" s="51" t="str">
        <v>bd</v>
      </c>
      <c r="D243" s="52" cm="1">
        <f t="array" ref="D243">IF(A243="","",IFERROR(_xlfn.XLOOKUP(A243,T_Custos[Produto],T_Custos[Custo])*(1+$H$3)+IF($H$4="SIM",IF($H$2="Armazém do Grão",_xlfn.XLOOKUP(Cotação!A243,T_Custos[Produto],T_Fretes[Frete Grão]),IF($H$2="GMAP",_xlfn.XLOOKUP(Cotação!A243,T_Fretes[Produto],T_Fretes[Frete GMAP]),IF($H$2="GMAP Nova Friburgo",_xlfn.XLOOKUP(Cotação!A243,T_Fretes[Produto],T_Fretes[Frete GMAP Nova Friburgo]),IF($H$2="Guanabara",_xlfn.XLOOKUP(Cotação!A243,T_Fretes[Produto],T_Fretes[Frete Guanabara]),_xlfn.XLOOKUP(Cotação!A243,T_Custos[Produto],T_Custos[Frete]))))),0)+_xlfn.XLOOKUP(A243,T_Custos[Produto],T_Custos[Embalado])+_xlfn.XLOOKUP(Cotação!A243,T_Custos[Produto],T_Custos[Avaria]),"Em falta"))</f>
        <v>82.35</v>
      </c>
      <c r="E243" s="52">
        <f t="shared" si="3"/>
        <v>8.2349999999999994</v>
      </c>
    </row>
    <row r="244" spans="1:5" x14ac:dyDescent="0.35">
      <c r="A244" s="53" t="str">
        <v>UVA ITALIA</v>
      </c>
      <c r="B244" s="51">
        <v>10</v>
      </c>
      <c r="C244" s="51" t="str">
        <v>bd</v>
      </c>
      <c r="D244" s="52" cm="1">
        <f t="array" ref="D244">IF(A244="","",IFERROR(_xlfn.XLOOKUP(A244,T_Custos[Produto],T_Custos[Custo])*(1+$H$3)+IF($H$4="SIM",IF($H$2="Armazém do Grão",_xlfn.XLOOKUP(Cotação!A244,T_Custos[Produto],T_Fretes[Frete Grão]),IF($H$2="GMAP",_xlfn.XLOOKUP(Cotação!A244,T_Fretes[Produto],T_Fretes[Frete GMAP]),IF($H$2="GMAP Nova Friburgo",_xlfn.XLOOKUP(Cotação!A244,T_Fretes[Produto],T_Fretes[Frete GMAP Nova Friburgo]),IF($H$2="Guanabara",_xlfn.XLOOKUP(Cotação!A244,T_Fretes[Produto],T_Fretes[Frete Guanabara]),_xlfn.XLOOKUP(Cotação!A244,T_Custos[Produto],T_Custos[Frete]))))),0)+_xlfn.XLOOKUP(A244,T_Custos[Produto],T_Custos[Embalado])+_xlfn.XLOOKUP(Cotação!A244,T_Custos[Produto],T_Custos[Avaria]),"Em falta"))</f>
        <v>71.728999999999999</v>
      </c>
      <c r="E244" s="52">
        <f t="shared" si="3"/>
        <v>7.1729000000000003</v>
      </c>
    </row>
    <row r="245" spans="1:5" x14ac:dyDescent="0.35">
      <c r="A245" s="53" t="str">
        <v>UVA JUBILE</v>
      </c>
      <c r="B245" s="51">
        <v>10</v>
      </c>
      <c r="C245" s="51" t="str">
        <v>bd</v>
      </c>
      <c r="D245" s="52" cm="1">
        <f t="array" ref="D245">IF(A245="","",IFERROR(_xlfn.XLOOKUP(A245,T_Custos[Produto],T_Custos[Custo])*(1+$H$3)+IF($H$4="SIM",IF($H$2="Armazém do Grão",_xlfn.XLOOKUP(Cotação!A245,T_Custos[Produto],T_Fretes[Frete Grão]),IF($H$2="GMAP",_xlfn.XLOOKUP(Cotação!A245,T_Fretes[Produto],T_Fretes[Frete GMAP]),IF($H$2="GMAP Nova Friburgo",_xlfn.XLOOKUP(Cotação!A245,T_Fretes[Produto],T_Fretes[Frete GMAP Nova Friburgo]),IF($H$2="Guanabara",_xlfn.XLOOKUP(Cotação!A245,T_Fretes[Produto],T_Fretes[Frete Guanabara]),_xlfn.XLOOKUP(Cotação!A245,T_Custos[Produto],T_Custos[Frete]))))),0)+_xlfn.XLOOKUP(A245,T_Custos[Produto],T_Custos[Embalado])+_xlfn.XLOOKUP(Cotação!A245,T_Custos[Produto],T_Custos[Avaria]),"Em falta"))</f>
        <v>81.55</v>
      </c>
      <c r="E245" s="52">
        <f t="shared" si="3"/>
        <v>8.1549999999999994</v>
      </c>
    </row>
    <row r="246" spans="1:5" x14ac:dyDescent="0.35">
      <c r="A246" s="50" t="str">
        <v>UVA PRETA SEM CAROCO / VITORIA</v>
      </c>
      <c r="B246" s="51">
        <v>10</v>
      </c>
      <c r="C246" s="51" t="str">
        <v>bd</v>
      </c>
      <c r="D246" s="52" cm="1">
        <f t="array" ref="D246">IF(A246="","",IFERROR(_xlfn.XLOOKUP(A246,T_Custos[Produto],T_Custos[Custo])*(1+$H$3)+IF($H$4="SIM",IF($H$2="Armazém do Grão",_xlfn.XLOOKUP(Cotação!A246,T_Custos[Produto],T_Fretes[Frete Grão]),IF($H$2="GMAP",_xlfn.XLOOKUP(Cotação!A246,T_Fretes[Produto],T_Fretes[Frete GMAP]),IF($H$2="GMAP Nova Friburgo",_xlfn.XLOOKUP(Cotação!A246,T_Fretes[Produto],T_Fretes[Frete GMAP Nova Friburgo]),IF($H$2="Guanabara",_xlfn.XLOOKUP(Cotação!A246,T_Fretes[Produto],T_Fretes[Frete Guanabara]),_xlfn.XLOOKUP(Cotação!A246,T_Custos[Produto],T_Custos[Frete]))))),0)+_xlfn.XLOOKUP(A246,T_Custos[Produto],T_Custos[Embalado])+_xlfn.XLOOKUP(Cotação!A246,T_Custos[Produto],T_Custos[Avaria]),"Em falta"))</f>
        <v>72.183999999999997</v>
      </c>
      <c r="E246" s="52">
        <f t="shared" si="3"/>
        <v>7.2183999999999999</v>
      </c>
    </row>
    <row r="247" spans="1:5" x14ac:dyDescent="0.35">
      <c r="A247" s="50" t="str">
        <v>UVA RED GLOBE</v>
      </c>
      <c r="B247" s="51">
        <v>10</v>
      </c>
      <c r="C247" s="51" t="str">
        <v>bd</v>
      </c>
      <c r="D247" s="52" cm="1">
        <f t="array" ref="D247">IF(A247="","",IFERROR(_xlfn.XLOOKUP(A247,T_Custos[Produto],T_Custos[Custo])*(1+$H$3)+IF($H$4="SIM",IF($H$2="Armazém do Grão",_xlfn.XLOOKUP(Cotação!A247,T_Custos[Produto],T_Fretes[Frete Grão]),IF($H$2="GMAP",_xlfn.XLOOKUP(Cotação!A247,T_Fretes[Produto],T_Fretes[Frete GMAP]),IF($H$2="GMAP Nova Friburgo",_xlfn.XLOOKUP(Cotação!A247,T_Fretes[Produto],T_Fretes[Frete GMAP Nova Friburgo]),IF($H$2="Guanabara",_xlfn.XLOOKUP(Cotação!A247,T_Fretes[Produto],T_Fretes[Frete Guanabara]),_xlfn.XLOOKUP(Cotação!A247,T_Custos[Produto],T_Custos[Frete]))))),0)+_xlfn.XLOOKUP(A247,T_Custos[Produto],T_Custos[Embalado])+_xlfn.XLOOKUP(Cotação!A247,T_Custos[Produto],T_Custos[Avaria]),"Em falta"))</f>
        <v>94.2</v>
      </c>
      <c r="E247" s="52">
        <f t="shared" si="3"/>
        <v>9.42</v>
      </c>
    </row>
    <row r="248" spans="1:5" x14ac:dyDescent="0.35">
      <c r="A248" s="50" t="str">
        <v>UVA ROSADA</v>
      </c>
      <c r="B248" s="51">
        <v>10</v>
      </c>
      <c r="C248" s="51" t="str">
        <v>bd</v>
      </c>
      <c r="D248" s="52" cm="1">
        <f t="array" ref="D248">IF(A248="","",IFERROR(_xlfn.XLOOKUP(A248,T_Custos[Produto],T_Custos[Custo])*(1+$H$3)+IF($H$4="SIM",IF($H$2="Armazém do Grão",_xlfn.XLOOKUP(Cotação!A248,T_Custos[Produto],T_Fretes[Frete Grão]),IF($H$2="GMAP",_xlfn.XLOOKUP(Cotação!A248,T_Fretes[Produto],T_Fretes[Frete GMAP]),IF($H$2="GMAP Nova Friburgo",_xlfn.XLOOKUP(Cotação!A248,T_Fretes[Produto],T_Fretes[Frete GMAP Nova Friburgo]),IF($H$2="Guanabara",_xlfn.XLOOKUP(Cotação!A248,T_Fretes[Produto],T_Fretes[Frete Guanabara]),_xlfn.XLOOKUP(Cotação!A248,T_Custos[Produto],T_Custos[Frete]))))),0)+_xlfn.XLOOKUP(A248,T_Custos[Produto],T_Custos[Embalado])+_xlfn.XLOOKUP(Cotação!A248,T_Custos[Produto],T_Custos[Avaria]),"Em falta"))</f>
        <v>65.449999999999989</v>
      </c>
      <c r="E248" s="52">
        <f t="shared" si="3"/>
        <v>6.544999999999999</v>
      </c>
    </row>
    <row r="249" spans="1:5" x14ac:dyDescent="0.35">
      <c r="A249" s="50" t="str">
        <v>UVA RUBI</v>
      </c>
      <c r="B249" s="51">
        <v>10</v>
      </c>
      <c r="C249" s="51" t="str">
        <v>bd</v>
      </c>
      <c r="D249" s="52" cm="1">
        <f t="array" ref="D249">IF(A249="","",IFERROR(_xlfn.XLOOKUP(A249,T_Custos[Produto],T_Custos[Custo])*(1+$H$3)+IF($H$4="SIM",IF($H$2="Armazém do Grão",_xlfn.XLOOKUP(Cotação!A249,T_Custos[Produto],T_Fretes[Frete Grão]),IF($H$2="GMAP",_xlfn.XLOOKUP(Cotação!A249,T_Fretes[Produto],T_Fretes[Frete GMAP]),IF($H$2="GMAP Nova Friburgo",_xlfn.XLOOKUP(Cotação!A249,T_Fretes[Produto],T_Fretes[Frete GMAP Nova Friburgo]),IF($H$2="Guanabara",_xlfn.XLOOKUP(Cotação!A249,T_Fretes[Produto],T_Fretes[Frete Guanabara]),_xlfn.XLOOKUP(Cotação!A249,T_Custos[Produto],T_Custos[Frete]))))),0)+_xlfn.XLOOKUP(A249,T_Custos[Produto],T_Custos[Embalado])+_xlfn.XLOOKUP(Cotação!A249,T_Custos[Produto],T_Custos[Avaria]),"Em falta"))</f>
        <v>71.2</v>
      </c>
      <c r="E249" s="52">
        <f t="shared" si="3"/>
        <v>7.12</v>
      </c>
    </row>
    <row r="250" spans="1:5" x14ac:dyDescent="0.35">
      <c r="A250" s="53" t="str">
        <v>UVA THOMPSON</v>
      </c>
      <c r="B250" s="51">
        <v>10</v>
      </c>
      <c r="C250" s="51" t="str">
        <v>bd</v>
      </c>
      <c r="D250" s="52" cm="1">
        <f t="array" ref="D250">IF(A250="","",IFERROR(_xlfn.XLOOKUP(A250,T_Custos[Produto],T_Custos[Custo])*(1+$H$3)+IF($H$4="SIM",IF($H$2="Armazém do Grão",_xlfn.XLOOKUP(Cotação!A250,T_Custos[Produto],T_Fretes[Frete Grão]),IF($H$2="GMAP",_xlfn.XLOOKUP(Cotação!A250,T_Fretes[Produto],T_Fretes[Frete GMAP]),IF($H$2="GMAP Nova Friburgo",_xlfn.XLOOKUP(Cotação!A250,T_Fretes[Produto],T_Fretes[Frete GMAP Nova Friburgo]),IF($H$2="Guanabara",_xlfn.XLOOKUP(Cotação!A250,T_Fretes[Produto],T_Fretes[Frete Guanabara]),_xlfn.XLOOKUP(Cotação!A250,T_Custos[Produto],T_Custos[Frete]))))),0)+_xlfn.XLOOKUP(A250,T_Custos[Produto],T_Custos[Embalado])+_xlfn.XLOOKUP(Cotação!A250,T_Custos[Produto],T_Custos[Avaria]),"Em falta"))</f>
        <v>76.43249999999999</v>
      </c>
      <c r="E250" s="52">
        <f t="shared" si="3"/>
        <v>7.6432499999999992</v>
      </c>
    </row>
    <row r="251" spans="1:5" x14ac:dyDescent="0.35">
      <c r="A251" s="50" t="str">
        <v>UVA VERDE COM SEMENTE</v>
      </c>
      <c r="B251" s="51">
        <v>10</v>
      </c>
      <c r="C251" s="51" t="str">
        <v>bd</v>
      </c>
      <c r="D251" s="52" cm="1">
        <f t="array" ref="D251">IF(A251="","",IFERROR(_xlfn.XLOOKUP(A251,T_Custos[Produto],T_Custos[Custo])*(1+$H$3)+IF($H$4="SIM",IF($H$2="Armazém do Grão",_xlfn.XLOOKUP(Cotação!A251,T_Custos[Produto],T_Fretes[Frete Grão]),IF($H$2="GMAP",_xlfn.XLOOKUP(Cotação!A251,T_Fretes[Produto],T_Fretes[Frete GMAP]),IF($H$2="GMAP Nova Friburgo",_xlfn.XLOOKUP(Cotação!A251,T_Fretes[Produto],T_Fretes[Frete GMAP Nova Friburgo]),IF($H$2="Guanabara",_xlfn.XLOOKUP(Cotação!A251,T_Fretes[Produto],T_Fretes[Frete Guanabara]),_xlfn.XLOOKUP(Cotação!A251,T_Custos[Produto],T_Custos[Frete]))))),0)+_xlfn.XLOOKUP(A251,T_Custos[Produto],T_Custos[Embalado])+_xlfn.XLOOKUP(Cotação!A251,T_Custos[Produto],T_Custos[Avaria]),"Em falta"))</f>
        <v>71.728999999999999</v>
      </c>
      <c r="E251" s="52">
        <f t="shared" si="3"/>
        <v>7.1729000000000003</v>
      </c>
    </row>
    <row r="252" spans="1:5" x14ac:dyDescent="0.35">
      <c r="A252" s="50" t="str">
        <v>UVA VERDE SEM SEMENTE</v>
      </c>
      <c r="B252" s="51">
        <v>10</v>
      </c>
      <c r="C252" s="51" t="str">
        <v>bd</v>
      </c>
      <c r="D252" s="52" cm="1">
        <f t="array" ref="D252">IF(A252="","",IFERROR(_xlfn.XLOOKUP(A252,T_Custos[Produto],T_Custos[Custo])*(1+$H$3)+IF($H$4="SIM",IF($H$2="Armazém do Grão",_xlfn.XLOOKUP(Cotação!A252,T_Custos[Produto],T_Fretes[Frete Grão]),IF($H$2="GMAP",_xlfn.XLOOKUP(Cotação!A252,T_Fretes[Produto],T_Fretes[Frete GMAP]),IF($H$2="GMAP Nova Friburgo",_xlfn.XLOOKUP(Cotação!A252,T_Fretes[Produto],T_Fretes[Frete GMAP Nova Friburgo]),IF($H$2="Guanabara",_xlfn.XLOOKUP(Cotação!A252,T_Fretes[Produto],T_Fretes[Frete Guanabara]),_xlfn.XLOOKUP(Cotação!A252,T_Custos[Produto],T_Custos[Frete]))))),0)+_xlfn.XLOOKUP(A252,T_Custos[Produto],T_Custos[Embalado])+_xlfn.XLOOKUP(Cotação!A252,T_Custos[Produto],T_Custos[Avaria]),"Em falta"))</f>
        <v>76.43249999999999</v>
      </c>
      <c r="E252" s="52">
        <f t="shared" si="3"/>
        <v>7.6432499999999992</v>
      </c>
    </row>
    <row r="253" spans="1:5" x14ac:dyDescent="0.35">
      <c r="A253" s="53" t="str">
        <v>UVA VERMELHA COM SEMENTE</v>
      </c>
      <c r="B253" s="51">
        <v>10</v>
      </c>
      <c r="C253" s="51" t="str">
        <v>bd</v>
      </c>
      <c r="D253" s="52" cm="1">
        <f t="array" ref="D253">IF(A253="","",IFERROR(_xlfn.XLOOKUP(A253,T_Custos[Produto],T_Custos[Custo])*(1+$H$3)+IF($H$4="SIM",IF($H$2="Armazém do Grão",_xlfn.XLOOKUP(Cotação!A253,T_Custos[Produto],T_Fretes[Frete Grão]),IF($H$2="GMAP",_xlfn.XLOOKUP(Cotação!A253,T_Fretes[Produto],T_Fretes[Frete GMAP]),IF($H$2="GMAP Nova Friburgo",_xlfn.XLOOKUP(Cotação!A253,T_Fretes[Produto],T_Fretes[Frete GMAP Nova Friburgo]),IF($H$2="Guanabara",_xlfn.XLOOKUP(Cotação!A253,T_Fretes[Produto],T_Fretes[Frete Guanabara]),_xlfn.XLOOKUP(Cotação!A253,T_Custos[Produto],T_Custos[Frete]))))),0)+_xlfn.XLOOKUP(A253,T_Custos[Produto],T_Custos[Embalado])+_xlfn.XLOOKUP(Cotação!A253,T_Custos[Produto],T_Custos[Avaria]),"Em falta"))</f>
        <v>98.5</v>
      </c>
      <c r="E253" s="52">
        <f t="shared" si="3"/>
        <v>9.85</v>
      </c>
    </row>
    <row r="254" spans="1:5" x14ac:dyDescent="0.35">
      <c r="A254" s="50" t="str">
        <v>UVA VERMELHA SEM SEMENTE</v>
      </c>
      <c r="B254" s="51">
        <v>10</v>
      </c>
      <c r="C254" s="51" t="str">
        <v>bd</v>
      </c>
      <c r="D254" s="52" cm="1">
        <f t="array" ref="D254">IF(A254="","",IFERROR(_xlfn.XLOOKUP(A254,T_Custos[Produto],T_Custos[Custo])*(1+$H$3)+IF($H$4="SIM",IF($H$2="Armazém do Grão",_xlfn.XLOOKUP(Cotação!A254,T_Custos[Produto],T_Fretes[Frete Grão]),IF($H$2="GMAP",_xlfn.XLOOKUP(Cotação!A254,T_Fretes[Produto],T_Fretes[Frete GMAP]),IF($H$2="GMAP Nova Friburgo",_xlfn.XLOOKUP(Cotação!A254,T_Fretes[Produto],T_Fretes[Frete GMAP Nova Friburgo]),IF($H$2="Guanabara",_xlfn.XLOOKUP(Cotação!A254,T_Fretes[Produto],T_Fretes[Frete Guanabara]),_xlfn.XLOOKUP(Cotação!A254,T_Custos[Produto],T_Custos[Frete]))))),0)+_xlfn.XLOOKUP(A254,T_Custos[Produto],T_Custos[Embalado])+_xlfn.XLOOKUP(Cotação!A254,T_Custos[Produto],T_Custos[Avaria]),"Em falta"))</f>
        <v>71.384</v>
      </c>
      <c r="E254" s="52">
        <f t="shared" si="3"/>
        <v>7.1383999999999999</v>
      </c>
    </row>
    <row r="255" spans="1:5" x14ac:dyDescent="0.35">
      <c r="A255" s="50" t="str">
        <v>UVA VITORIA( MELODIA) - crimson</v>
      </c>
      <c r="B255" s="51">
        <v>10</v>
      </c>
      <c r="C255" s="51" t="str">
        <v>bd</v>
      </c>
      <c r="D255" s="52" cm="1">
        <f t="array" ref="D255">IF(A255="","",IFERROR(_xlfn.XLOOKUP(A255,T_Custos[Produto],T_Custos[Custo])*(1+$H$3)+IF($H$4="SIM",IF($H$2="Armazém do Grão",_xlfn.XLOOKUP(Cotação!A255,T_Custos[Produto],T_Fretes[Frete Grão]),IF($H$2="GMAP",_xlfn.XLOOKUP(Cotação!A255,T_Fretes[Produto],T_Fretes[Frete GMAP]),IF($H$2="GMAP Nova Friburgo",_xlfn.XLOOKUP(Cotação!A255,T_Fretes[Produto],T_Fretes[Frete GMAP Nova Friburgo]),IF($H$2="Guanabara",_xlfn.XLOOKUP(Cotação!A255,T_Fretes[Produto],T_Fretes[Frete Guanabara]),_xlfn.XLOOKUP(Cotação!A255,T_Custos[Produto],T_Custos[Frete]))))),0)+_xlfn.XLOOKUP(A255,T_Custos[Produto],T_Custos[Embalado])+_xlfn.XLOOKUP(Cotação!A255,T_Custos[Produto],T_Custos[Avaria]),"Em falta"))</f>
        <v>71.384</v>
      </c>
      <c r="E255" s="52">
        <f t="shared" si="3"/>
        <v>7.1383999999999999</v>
      </c>
    </row>
    <row r="256" spans="1:5" x14ac:dyDescent="0.35">
      <c r="A256" s="50" t="str">
        <v>VAGEM FRANCESA EMBALADA</v>
      </c>
      <c r="B256" s="51">
        <v>1</v>
      </c>
      <c r="C256" s="51" t="str">
        <v>bd</v>
      </c>
      <c r="D256" s="52" cm="1">
        <f t="array" ref="D256">IF(A256="","",IFERROR(_xlfn.XLOOKUP(A256,T_Custos[Produto],T_Custos[Custo])*(1+$H$3)+IF($H$4="SIM",IF($H$2="Armazém do Grão",_xlfn.XLOOKUP(Cotação!A256,T_Custos[Produto],T_Fretes[Frete Grão]),IF($H$2="GMAP",_xlfn.XLOOKUP(Cotação!A256,T_Fretes[Produto],T_Fretes[Frete GMAP]),IF($H$2="GMAP Nova Friburgo",_xlfn.XLOOKUP(Cotação!A256,T_Fretes[Produto],T_Fretes[Frete GMAP Nova Friburgo]),IF($H$2="Guanabara",_xlfn.XLOOKUP(Cotação!A256,T_Fretes[Produto],T_Fretes[Frete Guanabara]),_xlfn.XLOOKUP(Cotação!A256,T_Custos[Produto],T_Custos[Frete]))))),0)+_xlfn.XLOOKUP(A256,T_Custos[Produto],T_Custos[Embalado])+_xlfn.XLOOKUP(Cotação!A256,T_Custos[Produto],T_Custos[Avaria]),"Em falta"))</f>
        <v>6.4749999999999996</v>
      </c>
      <c r="E256" s="52">
        <f t="shared" si="3"/>
        <v>6.4749999999999996</v>
      </c>
    </row>
    <row r="257" spans="1:5" x14ac:dyDescent="0.35">
      <c r="A257" s="53" t="str">
        <v>VAGEM MACARRAO</v>
      </c>
      <c r="B257" s="51">
        <v>12</v>
      </c>
      <c r="C257" s="51" t="str">
        <v>kg</v>
      </c>
      <c r="D257" s="52" cm="1">
        <f t="array" ref="D257">IF(A257="","",IFERROR(_xlfn.XLOOKUP(A257,T_Custos[Produto],T_Custos[Custo])*(1+$H$3)+IF($H$4="SIM",IF($H$2="Armazém do Grão",_xlfn.XLOOKUP(Cotação!A257,T_Custos[Produto],T_Fretes[Frete Grão]),IF($H$2="GMAP",_xlfn.XLOOKUP(Cotação!A257,T_Fretes[Produto],T_Fretes[Frete GMAP]),IF($H$2="GMAP Nova Friburgo",_xlfn.XLOOKUP(Cotação!A257,T_Fretes[Produto],T_Fretes[Frete GMAP Nova Friburgo]),IF($H$2="Guanabara",_xlfn.XLOOKUP(Cotação!A257,T_Fretes[Produto],T_Fretes[Frete Guanabara]),_xlfn.XLOOKUP(Cotação!A257,T_Custos[Produto],T_Custos[Frete]))))),0)+_xlfn.XLOOKUP(A257,T_Custos[Produto],T_Custos[Embalado])+_xlfn.XLOOKUP(Cotação!A257,T_Custos[Produto],T_Custos[Avaria]),"Em falta"))</f>
        <v>129.25</v>
      </c>
      <c r="E257" s="52">
        <f t="shared" si="3"/>
        <v>10.770833333333334</v>
      </c>
    </row>
    <row r="258" spans="1:5" x14ac:dyDescent="0.35">
      <c r="A258" s="53" t="str">
        <v>VAGEM MANTEIGA</v>
      </c>
      <c r="B258" s="51">
        <v>12</v>
      </c>
      <c r="C258" s="51" t="str">
        <v>kg</v>
      </c>
      <c r="D258" s="52" cm="1">
        <f t="array" ref="D258">IF(A258="","",IFERROR(_xlfn.XLOOKUP(A258,T_Custos[Produto],T_Custos[Custo])*(1+$H$3)+IF($H$4="SIM",IF($H$2="Armazém do Grão",_xlfn.XLOOKUP(Cotação!A258,T_Custos[Produto],T_Fretes[Frete Grão]),IF($H$2="GMAP",_xlfn.XLOOKUP(Cotação!A258,T_Fretes[Produto],T_Fretes[Frete GMAP]),IF($H$2="GMAP Nova Friburgo",_xlfn.XLOOKUP(Cotação!A258,T_Fretes[Produto],T_Fretes[Frete GMAP Nova Friburgo]),IF($H$2="Guanabara",_xlfn.XLOOKUP(Cotação!A258,T_Fretes[Produto],T_Fretes[Frete Guanabara]),_xlfn.XLOOKUP(Cotação!A258,T_Custos[Produto],T_Custos[Frete]))))),0)+_xlfn.XLOOKUP(A258,T_Custos[Produto],T_Custos[Embalado])+_xlfn.XLOOKUP(Cotação!A258,T_Custos[Produto],T_Custos[Avaria]),"Em falta"))</f>
        <v>77.5</v>
      </c>
      <c r="E258" s="52">
        <f t="shared" si="3"/>
        <v>6.458333333333333</v>
      </c>
    </row>
    <row r="259" spans="1:5" x14ac:dyDescent="0.35">
      <c r="A259" s="53"/>
      <c r="B259" s="51"/>
      <c r="C259" s="51"/>
      <c r="D259" s="52" t="str" cm="1">
        <f t="array" ref="D259">IF(A259="","",IFERROR(_xlfn.XLOOKUP(A259,T_Custos[Produto],T_Custos[Custo])*(1+$H$3)+IF($H$4="SIM",IF($H$2="Armazém do Grão",_xlfn.XLOOKUP(Cotação!A259,T_Custos[Produto],T_Fretes[Frete Grão]),IF($H$2="GMAP",_xlfn.XLOOKUP(Cotação!A259,T_Fretes[Produto],T_Fretes[Frete GMAP]),IF($H$2="GMAP Nova Friburgo",_xlfn.XLOOKUP(Cotação!A259,T_Fretes[Produto],T_Fretes[Frete GMAP Nova Friburgo]),IF($H$2="Guanabara",_xlfn.XLOOKUP(Cotação!A259,T_Fretes[Produto],T_Fretes[Frete Guanabara]),_xlfn.XLOOKUP(Cotação!A259,T_Custos[Produto],T_Custos[Frete]))))),0)+_xlfn.XLOOKUP(A259,T_Custos[Produto],T_Custos[Embalado])+_xlfn.XLOOKUP(Cotação!A259,T_Custos[Produto],T_Custos[Avaria]),"Em falta"))</f>
        <v/>
      </c>
      <c r="E259" s="52" t="str">
        <f t="shared" si="3"/>
        <v/>
      </c>
    </row>
    <row r="260" spans="1:5" x14ac:dyDescent="0.35">
      <c r="A260" s="53"/>
      <c r="B260" s="51"/>
      <c r="C260" s="51"/>
      <c r="D260" s="52" t="str" cm="1">
        <f t="array" ref="D260">IF(A260="","",IFERROR(_xlfn.XLOOKUP(A260,T_Custos[Produto],T_Custos[Custo])*(1+$H$3)+IF($H$4="SIM",IF($H$2="Armazém do Grão",_xlfn.XLOOKUP(Cotação!A260,T_Custos[Produto],T_Fretes[Frete Grão]),IF($H$2="GMAP",_xlfn.XLOOKUP(Cotação!A260,T_Fretes[Produto],T_Fretes[Frete GMAP]),IF($H$2="GMAP Nova Friburgo",_xlfn.XLOOKUP(Cotação!A260,T_Fretes[Produto],T_Fretes[Frete GMAP Nova Friburgo]),IF($H$2="Guanabara",_xlfn.XLOOKUP(Cotação!A260,T_Fretes[Produto],T_Fretes[Frete Guanabara]),_xlfn.XLOOKUP(Cotação!A260,T_Custos[Produto],T_Custos[Frete]))))),0)+_xlfn.XLOOKUP(A260,T_Custos[Produto],T_Custos[Embalado])+_xlfn.XLOOKUP(Cotação!A260,T_Custos[Produto],T_Custos[Avaria]),"Em falta"))</f>
        <v/>
      </c>
      <c r="E260" s="52" t="str">
        <f t="shared" si="3"/>
        <v/>
      </c>
    </row>
    <row r="261" spans="1:5" ht="15.5" x14ac:dyDescent="0.35">
      <c r="A261" s="54"/>
      <c r="B261" s="51"/>
      <c r="C261" s="51"/>
      <c r="D261" s="52" t="str" cm="1">
        <f t="array" ref="D261">IF(A261="","",IFERROR(_xlfn.XLOOKUP(A261,T_Custos[Produto],T_Custos[Custo])*(1+$H$3)+IF($H$4="SIM",IF($H$2="Armazém do Grão",_xlfn.XLOOKUP(Cotação!A261,T_Custos[Produto],T_Fretes[Frete Grão]),IF($H$2="GMAP",_xlfn.XLOOKUP(Cotação!A261,T_Fretes[Produto],T_Fretes[Frete GMAP]),IF($H$2="GMAP Nova Friburgo",_xlfn.XLOOKUP(Cotação!A261,T_Fretes[Produto],T_Fretes[Frete GMAP Nova Friburgo]),IF($H$2="Guanabara",_xlfn.XLOOKUP(Cotação!A261,T_Fretes[Produto],T_Fretes[Frete Guanabara]),_xlfn.XLOOKUP(Cotação!A261,T_Custos[Produto],T_Custos[Frete]))))),0)+_xlfn.XLOOKUP(A261,T_Custos[Produto],T_Custos[Embalado])+_xlfn.XLOOKUP(Cotação!A261,T_Custos[Produto],T_Custos[Avaria]),"Em falta"))</f>
        <v/>
      </c>
      <c r="E261" s="52" t="str">
        <f t="shared" si="3"/>
        <v/>
      </c>
    </row>
    <row r="262" spans="1:5" x14ac:dyDescent="0.35">
      <c r="A262" s="50"/>
      <c r="B262" s="51"/>
      <c r="C262" s="51"/>
      <c r="D262" s="52" t="str" cm="1">
        <f t="array" ref="D262">IF(A262="","",IFERROR(_xlfn.XLOOKUP(A262,T_Custos[Produto],T_Custos[Custo])*(1+$H$3)+IF($H$4="SIM",IF($H$2="Armazém do Grão",_xlfn.XLOOKUP(Cotação!A262,T_Custos[Produto],T_Fretes[Frete Grão]),IF($H$2="GMAP",_xlfn.XLOOKUP(Cotação!A262,T_Fretes[Produto],T_Fretes[Frete GMAP]),IF($H$2="GMAP Nova Friburgo",_xlfn.XLOOKUP(Cotação!A262,T_Fretes[Produto],T_Fretes[Frete GMAP Nova Friburgo]),IF($H$2="Guanabara",_xlfn.XLOOKUP(Cotação!A262,T_Fretes[Produto],T_Fretes[Frete Guanabara]),_xlfn.XLOOKUP(Cotação!A262,T_Custos[Produto],T_Custos[Frete]))))),0)+_xlfn.XLOOKUP(A262,T_Custos[Produto],T_Custos[Embalado])+_xlfn.XLOOKUP(Cotação!A262,T_Custos[Produto],T_Custos[Avaria]),"Em falta"))</f>
        <v/>
      </c>
      <c r="E262" s="52" t="str">
        <f t="shared" si="3"/>
        <v/>
      </c>
    </row>
    <row r="263" spans="1:5" ht="15.5" x14ac:dyDescent="0.35">
      <c r="A263" s="54"/>
      <c r="B263" s="51"/>
      <c r="C263" s="51"/>
      <c r="D263" s="52" t="str" cm="1">
        <f t="array" ref="D263">IF(A263="","",IFERROR(_xlfn.XLOOKUP(A263,T_Custos[Produto],T_Custos[Custo])*(1+$H$3)+IF($H$4="SIM",IF($H$2="Armazém do Grão",_xlfn.XLOOKUP(Cotação!A263,T_Custos[Produto],T_Fretes[Frete Grão]),IF($H$2="GMAP",_xlfn.XLOOKUP(Cotação!A263,T_Fretes[Produto],T_Fretes[Frete GMAP]),IF($H$2="GMAP Nova Friburgo",_xlfn.XLOOKUP(Cotação!A263,T_Fretes[Produto],T_Fretes[Frete GMAP Nova Friburgo]),IF($H$2="Guanabara",_xlfn.XLOOKUP(Cotação!A263,T_Fretes[Produto],T_Fretes[Frete Guanabara]),_xlfn.XLOOKUP(Cotação!A263,T_Custos[Produto],T_Custos[Frete]))))),0)+_xlfn.XLOOKUP(A263,T_Custos[Produto],T_Custos[Embalado])+_xlfn.XLOOKUP(Cotação!A263,T_Custos[Produto],T_Custos[Avaria]),"Em falta"))</f>
        <v/>
      </c>
      <c r="E263" s="52" t="str">
        <f t="shared" si="3"/>
        <v/>
      </c>
    </row>
    <row r="264" spans="1:5" x14ac:dyDescent="0.35">
      <c r="A264" s="53"/>
      <c r="B264" s="51"/>
      <c r="C264" s="51"/>
      <c r="D264" s="52" t="str" cm="1">
        <f t="array" ref="D264">IF(A264="","",IFERROR(_xlfn.XLOOKUP(A264,T_Custos[Produto],T_Custos[Custo])*(1+$H$3)+IF($H$4="SIM",IF($H$2="Armazém do Grão",_xlfn.XLOOKUP(Cotação!A264,T_Custos[Produto],T_Fretes[Frete Grão]),IF($H$2="GMAP",_xlfn.XLOOKUP(Cotação!A264,T_Fretes[Produto],T_Fretes[Frete GMAP]),IF($H$2="GMAP Nova Friburgo",_xlfn.XLOOKUP(Cotação!A264,T_Fretes[Produto],T_Fretes[Frete GMAP Nova Friburgo]),IF($H$2="Guanabara",_xlfn.XLOOKUP(Cotação!A264,T_Fretes[Produto],T_Fretes[Frete Guanabara]),_xlfn.XLOOKUP(Cotação!A264,T_Custos[Produto],T_Custos[Frete]))))),0)+_xlfn.XLOOKUP(A264,T_Custos[Produto],T_Custos[Embalado])+_xlfn.XLOOKUP(Cotação!A264,T_Custos[Produto],T_Custos[Avaria]),"Em falta"))</f>
        <v/>
      </c>
      <c r="E264" s="52" t="str">
        <f t="shared" si="3"/>
        <v/>
      </c>
    </row>
    <row r="265" spans="1:5" x14ac:dyDescent="0.35">
      <c r="A265" s="53"/>
      <c r="B265" s="51"/>
      <c r="C265" s="51"/>
      <c r="D265" s="52" t="str" cm="1">
        <f t="array" ref="D265">IF(A265="","",IFERROR(_xlfn.XLOOKUP(A265,T_Custos[Produto],T_Custos[Custo])*(1+$H$3)+IF($H$4="SIM",IF($H$2="Armazém do Grão",_xlfn.XLOOKUP(Cotação!A265,T_Custos[Produto],T_Fretes[Frete Grão]),IF($H$2="GMAP",_xlfn.XLOOKUP(Cotação!A265,T_Fretes[Produto],T_Fretes[Frete GMAP]),IF($H$2="GMAP Nova Friburgo",_xlfn.XLOOKUP(Cotação!A265,T_Fretes[Produto],T_Fretes[Frete GMAP Nova Friburgo]),IF($H$2="Guanabara",_xlfn.XLOOKUP(Cotação!A265,T_Fretes[Produto],T_Fretes[Frete Guanabara]),_xlfn.XLOOKUP(Cotação!A265,T_Custos[Produto],T_Custos[Frete]))))),0)+_xlfn.XLOOKUP(A265,T_Custos[Produto],T_Custos[Embalado])+_xlfn.XLOOKUP(Cotação!A265,T_Custos[Produto],T_Custos[Avaria]),"Em falta"))</f>
        <v/>
      </c>
      <c r="E265" s="52" t="str">
        <f t="shared" ref="E265:E328" si="4">IF(A265="","",IFERROR(D265/B265,"Em falta"))</f>
        <v/>
      </c>
    </row>
    <row r="266" spans="1:5" x14ac:dyDescent="0.35">
      <c r="A266" s="50"/>
      <c r="B266" s="51"/>
      <c r="C266" s="51"/>
      <c r="D266" s="52" t="str" cm="1">
        <f t="array" ref="D266">IF(A266="","",IFERROR(_xlfn.XLOOKUP(A266,T_Custos[Produto],T_Custos[Custo])*(1+$H$3)+IF($H$4="SIM",IF($H$2="Armazém do Grão",_xlfn.XLOOKUP(Cotação!A266,T_Custos[Produto],T_Fretes[Frete Grão]),IF($H$2="GMAP",_xlfn.XLOOKUP(Cotação!A266,T_Fretes[Produto],T_Fretes[Frete GMAP]),IF($H$2="GMAP Nova Friburgo",_xlfn.XLOOKUP(Cotação!A266,T_Fretes[Produto],T_Fretes[Frete GMAP Nova Friburgo]),IF($H$2="Guanabara",_xlfn.XLOOKUP(Cotação!A266,T_Fretes[Produto],T_Fretes[Frete Guanabara]),_xlfn.XLOOKUP(Cotação!A266,T_Custos[Produto],T_Custos[Frete]))))),0)+_xlfn.XLOOKUP(A266,T_Custos[Produto],T_Custos[Embalado])+_xlfn.XLOOKUP(Cotação!A266,T_Custos[Produto],T_Custos[Avaria]),"Em falta"))</f>
        <v/>
      </c>
      <c r="E266" s="52" t="str">
        <f t="shared" si="4"/>
        <v/>
      </c>
    </row>
    <row r="267" spans="1:5" ht="15.5" x14ac:dyDescent="0.35">
      <c r="A267" s="54"/>
      <c r="B267" s="51"/>
      <c r="C267" s="51"/>
      <c r="D267" s="52" t="str" cm="1">
        <f t="array" ref="D267">IF(A267="","",IFERROR(_xlfn.XLOOKUP(A267,T_Custos[Produto],T_Custos[Custo])*(1+$H$3)+IF($H$4="SIM",IF($H$2="Armazém do Grão",_xlfn.XLOOKUP(Cotação!A267,T_Custos[Produto],T_Fretes[Frete Grão]),IF($H$2="GMAP",_xlfn.XLOOKUP(Cotação!A267,T_Fretes[Produto],T_Fretes[Frete GMAP]),IF($H$2="GMAP Nova Friburgo",_xlfn.XLOOKUP(Cotação!A267,T_Fretes[Produto],T_Fretes[Frete GMAP Nova Friburgo]),IF($H$2="Guanabara",_xlfn.XLOOKUP(Cotação!A267,T_Fretes[Produto],T_Fretes[Frete Guanabara]),_xlfn.XLOOKUP(Cotação!A267,T_Custos[Produto],T_Custos[Frete]))))),0)+_xlfn.XLOOKUP(A267,T_Custos[Produto],T_Custos[Embalado])+_xlfn.XLOOKUP(Cotação!A267,T_Custos[Produto],T_Custos[Avaria]),"Em falta"))</f>
        <v/>
      </c>
      <c r="E267" s="52" t="str">
        <f t="shared" si="4"/>
        <v/>
      </c>
    </row>
    <row r="268" spans="1:5" x14ac:dyDescent="0.35">
      <c r="A268" s="50"/>
      <c r="B268" s="51"/>
      <c r="C268" s="51"/>
      <c r="D268" s="52" t="str" cm="1">
        <f t="array" ref="D268">IF(A268="","",IFERROR(_xlfn.XLOOKUP(A268,T_Custos[Produto],T_Custos[Custo])*(1+$H$3)+IF($H$4="SIM",IF($H$2="Armazém do Grão",_xlfn.XLOOKUP(Cotação!A268,T_Custos[Produto],T_Fretes[Frete Grão]),IF($H$2="GMAP",_xlfn.XLOOKUP(Cotação!A268,T_Fretes[Produto],T_Fretes[Frete GMAP]),IF($H$2="GMAP Nova Friburgo",_xlfn.XLOOKUP(Cotação!A268,T_Fretes[Produto],T_Fretes[Frete GMAP Nova Friburgo]),IF($H$2="Guanabara",_xlfn.XLOOKUP(Cotação!A268,T_Fretes[Produto],T_Fretes[Frete Guanabara]),_xlfn.XLOOKUP(Cotação!A268,T_Custos[Produto],T_Custos[Frete]))))),0)+_xlfn.XLOOKUP(A268,T_Custos[Produto],T_Custos[Embalado])+_xlfn.XLOOKUP(Cotação!A268,T_Custos[Produto],T_Custos[Avaria]),"Em falta"))</f>
        <v/>
      </c>
      <c r="E268" s="52" t="str">
        <f t="shared" si="4"/>
        <v/>
      </c>
    </row>
    <row r="269" spans="1:5" x14ac:dyDescent="0.35">
      <c r="A269" s="50"/>
      <c r="B269" s="51"/>
      <c r="C269" s="51"/>
      <c r="D269" s="52" t="str" cm="1">
        <f t="array" ref="D269">IF(A269="","",IFERROR(_xlfn.XLOOKUP(A269,T_Custos[Produto],T_Custos[Custo])*(1+$H$3)+IF($H$4="SIM",IF($H$2="Armazém do Grão",_xlfn.XLOOKUP(Cotação!A269,T_Custos[Produto],T_Fretes[Frete Grão]),IF($H$2="GMAP",_xlfn.XLOOKUP(Cotação!A269,T_Fretes[Produto],T_Fretes[Frete GMAP]),IF($H$2="GMAP Nova Friburgo",_xlfn.XLOOKUP(Cotação!A269,T_Fretes[Produto],T_Fretes[Frete GMAP Nova Friburgo]),IF($H$2="Guanabara",_xlfn.XLOOKUP(Cotação!A269,T_Fretes[Produto],T_Fretes[Frete Guanabara]),_xlfn.XLOOKUP(Cotação!A269,T_Custos[Produto],T_Custos[Frete]))))),0)+_xlfn.XLOOKUP(A269,T_Custos[Produto],T_Custos[Embalado])+_xlfn.XLOOKUP(Cotação!A269,T_Custos[Produto],T_Custos[Avaria]),"Em falta"))</f>
        <v/>
      </c>
      <c r="E269" s="52" t="str">
        <f t="shared" si="4"/>
        <v/>
      </c>
    </row>
    <row r="270" spans="1:5" x14ac:dyDescent="0.35">
      <c r="A270" s="50"/>
      <c r="B270" s="51"/>
      <c r="C270" s="51"/>
      <c r="D270" s="52" t="str" cm="1">
        <f t="array" ref="D270">IF(A270="","",IFERROR(_xlfn.XLOOKUP(A270,T_Custos[Produto],T_Custos[Custo])*(1+$H$3)+IF($H$4="SIM",IF($H$2="Armazém do Grão",_xlfn.XLOOKUP(Cotação!A270,T_Custos[Produto],T_Fretes[Frete Grão]),IF($H$2="GMAP",_xlfn.XLOOKUP(Cotação!A270,T_Fretes[Produto],T_Fretes[Frete GMAP]),IF($H$2="GMAP Nova Friburgo",_xlfn.XLOOKUP(Cotação!A270,T_Fretes[Produto],T_Fretes[Frete GMAP Nova Friburgo]),IF($H$2="Guanabara",_xlfn.XLOOKUP(Cotação!A270,T_Fretes[Produto],T_Fretes[Frete Guanabara]),_xlfn.XLOOKUP(Cotação!A270,T_Custos[Produto],T_Custos[Frete]))))),0)+_xlfn.XLOOKUP(A270,T_Custos[Produto],T_Custos[Embalado])+_xlfn.XLOOKUP(Cotação!A270,T_Custos[Produto],T_Custos[Avaria]),"Em falta"))</f>
        <v/>
      </c>
      <c r="E270" s="52" t="str">
        <f t="shared" si="4"/>
        <v/>
      </c>
    </row>
    <row r="271" spans="1:5" x14ac:dyDescent="0.35">
      <c r="A271" s="50"/>
      <c r="B271" s="51"/>
      <c r="C271" s="51"/>
      <c r="D271" s="52" t="str" cm="1">
        <f t="array" ref="D271">IF(A271="","",IFERROR(_xlfn.XLOOKUP(A271,T_Custos[Produto],T_Custos[Custo])*(1+$H$3)+IF($H$4="SIM",IF($H$2="Armazém do Grão",_xlfn.XLOOKUP(Cotação!A271,T_Custos[Produto],T_Fretes[Frete Grão]),IF($H$2="GMAP",_xlfn.XLOOKUP(Cotação!A271,T_Fretes[Produto],T_Fretes[Frete GMAP]),IF($H$2="GMAP Nova Friburgo",_xlfn.XLOOKUP(Cotação!A271,T_Fretes[Produto],T_Fretes[Frete GMAP Nova Friburgo]),IF($H$2="Guanabara",_xlfn.XLOOKUP(Cotação!A271,T_Fretes[Produto],T_Fretes[Frete Guanabara]),_xlfn.XLOOKUP(Cotação!A271,T_Custos[Produto],T_Custos[Frete]))))),0)+_xlfn.XLOOKUP(A271,T_Custos[Produto],T_Custos[Embalado])+_xlfn.XLOOKUP(Cotação!A271,T_Custos[Produto],T_Custos[Avaria]),"Em falta"))</f>
        <v/>
      </c>
      <c r="E271" s="52" t="str">
        <f t="shared" si="4"/>
        <v/>
      </c>
    </row>
    <row r="272" spans="1:5" x14ac:dyDescent="0.35">
      <c r="A272" s="53"/>
      <c r="B272" s="51"/>
      <c r="C272" s="51"/>
      <c r="D272" s="52" t="str" cm="1">
        <f t="array" ref="D272">IF(A272="","",IFERROR(_xlfn.XLOOKUP(A272,T_Custos[Produto],T_Custos[Custo])*(1+$H$3)+IF($H$4="SIM",IF($H$2="Armazém do Grão",_xlfn.XLOOKUP(Cotação!A272,T_Custos[Produto],T_Fretes[Frete Grão]),IF($H$2="GMAP",_xlfn.XLOOKUP(Cotação!A272,T_Fretes[Produto],T_Fretes[Frete GMAP]),IF($H$2="GMAP Nova Friburgo",_xlfn.XLOOKUP(Cotação!A272,T_Fretes[Produto],T_Fretes[Frete GMAP Nova Friburgo]),IF($H$2="Guanabara",_xlfn.XLOOKUP(Cotação!A272,T_Fretes[Produto],T_Fretes[Frete Guanabara]),_xlfn.XLOOKUP(Cotação!A272,T_Custos[Produto],T_Custos[Frete]))))),0)+_xlfn.XLOOKUP(A272,T_Custos[Produto],T_Custos[Embalado])+_xlfn.XLOOKUP(Cotação!A272,T_Custos[Produto],T_Custos[Avaria]),"Em falta"))</f>
        <v/>
      </c>
      <c r="E272" s="52" t="str">
        <f t="shared" si="4"/>
        <v/>
      </c>
    </row>
    <row r="273" spans="1:5" x14ac:dyDescent="0.35">
      <c r="A273" s="50"/>
      <c r="B273" s="51"/>
      <c r="C273" s="51"/>
      <c r="D273" s="52" t="str" cm="1">
        <f t="array" ref="D273">IF(A273="","",IFERROR(_xlfn.XLOOKUP(A273,T_Custos[Produto],T_Custos[Custo])*(1+$H$3)+IF($H$4="SIM",IF($H$2="Armazém do Grão",_xlfn.XLOOKUP(Cotação!A273,T_Custos[Produto],T_Fretes[Frete Grão]),IF($H$2="GMAP",_xlfn.XLOOKUP(Cotação!A273,T_Fretes[Produto],T_Fretes[Frete GMAP]),IF($H$2="GMAP Nova Friburgo",_xlfn.XLOOKUP(Cotação!A273,T_Fretes[Produto],T_Fretes[Frete GMAP Nova Friburgo]),IF($H$2="Guanabara",_xlfn.XLOOKUP(Cotação!A273,T_Fretes[Produto],T_Fretes[Frete Guanabara]),_xlfn.XLOOKUP(Cotação!A273,T_Custos[Produto],T_Custos[Frete]))))),0)+_xlfn.XLOOKUP(A273,T_Custos[Produto],T_Custos[Embalado])+_xlfn.XLOOKUP(Cotação!A273,T_Custos[Produto],T_Custos[Avaria]),"Em falta"))</f>
        <v/>
      </c>
      <c r="E273" s="52" t="str">
        <f t="shared" si="4"/>
        <v/>
      </c>
    </row>
    <row r="274" spans="1:5" x14ac:dyDescent="0.35">
      <c r="A274" s="50"/>
      <c r="B274" s="51"/>
      <c r="C274" s="51"/>
      <c r="D274" s="52" t="str" cm="1">
        <f t="array" ref="D274">IF(A274="","",IFERROR(_xlfn.XLOOKUP(A274,T_Custos[Produto],T_Custos[Custo])*(1+$H$3)+IF($H$4="SIM",IF($H$2="Armazém do Grão",_xlfn.XLOOKUP(Cotação!A274,T_Custos[Produto],T_Fretes[Frete Grão]),IF($H$2="GMAP",_xlfn.XLOOKUP(Cotação!A274,T_Fretes[Produto],T_Fretes[Frete GMAP]),IF($H$2="GMAP Nova Friburgo",_xlfn.XLOOKUP(Cotação!A274,T_Fretes[Produto],T_Fretes[Frete GMAP Nova Friburgo]),IF($H$2="Guanabara",_xlfn.XLOOKUP(Cotação!A274,T_Fretes[Produto],T_Fretes[Frete Guanabara]),_xlfn.XLOOKUP(Cotação!A274,T_Custos[Produto],T_Custos[Frete]))))),0)+_xlfn.XLOOKUP(A274,T_Custos[Produto],T_Custos[Embalado])+_xlfn.XLOOKUP(Cotação!A274,T_Custos[Produto],T_Custos[Avaria]),"Em falta"))</f>
        <v/>
      </c>
      <c r="E274" s="52" t="str">
        <f t="shared" si="4"/>
        <v/>
      </c>
    </row>
    <row r="275" spans="1:5" x14ac:dyDescent="0.35">
      <c r="A275" s="50"/>
      <c r="B275" s="51"/>
      <c r="C275" s="51"/>
      <c r="D275" s="52" t="str" cm="1">
        <f t="array" ref="D275">IF(A275="","",IFERROR(_xlfn.XLOOKUP(A275,T_Custos[Produto],T_Custos[Custo])*(1+$H$3)+IF($H$4="SIM",IF($H$2="Armazém do Grão",_xlfn.XLOOKUP(Cotação!A275,T_Custos[Produto],T_Fretes[Frete Grão]),IF($H$2="GMAP",_xlfn.XLOOKUP(Cotação!A275,T_Fretes[Produto],T_Fretes[Frete GMAP]),IF($H$2="GMAP Nova Friburgo",_xlfn.XLOOKUP(Cotação!A275,T_Fretes[Produto],T_Fretes[Frete GMAP Nova Friburgo]),IF($H$2="Guanabara",_xlfn.XLOOKUP(Cotação!A275,T_Fretes[Produto],T_Fretes[Frete Guanabara]),_xlfn.XLOOKUP(Cotação!A275,T_Custos[Produto],T_Custos[Frete]))))),0)+_xlfn.XLOOKUP(A275,T_Custos[Produto],T_Custos[Embalado])+_xlfn.XLOOKUP(Cotação!A275,T_Custos[Produto],T_Custos[Avaria]),"Em falta"))</f>
        <v/>
      </c>
      <c r="E275" s="52" t="str">
        <f t="shared" si="4"/>
        <v/>
      </c>
    </row>
    <row r="276" spans="1:5" x14ac:dyDescent="0.35">
      <c r="A276" s="50"/>
      <c r="B276" s="51"/>
      <c r="C276" s="51"/>
      <c r="D276" s="52" t="str" cm="1">
        <f t="array" ref="D276">IF(A276="","",IFERROR(_xlfn.XLOOKUP(A276,T_Custos[Produto],T_Custos[Custo])*(1+$H$3)+IF($H$4="SIM",IF($H$2="Armazém do Grão",_xlfn.XLOOKUP(Cotação!A276,T_Custos[Produto],T_Fretes[Frete Grão]),IF($H$2="GMAP",_xlfn.XLOOKUP(Cotação!A276,T_Fretes[Produto],T_Fretes[Frete GMAP]),IF($H$2="GMAP Nova Friburgo",_xlfn.XLOOKUP(Cotação!A276,T_Fretes[Produto],T_Fretes[Frete GMAP Nova Friburgo]),IF($H$2="Guanabara",_xlfn.XLOOKUP(Cotação!A276,T_Fretes[Produto],T_Fretes[Frete Guanabara]),_xlfn.XLOOKUP(Cotação!A276,T_Custos[Produto],T_Custos[Frete]))))),0)+_xlfn.XLOOKUP(A276,T_Custos[Produto],T_Custos[Embalado])+_xlfn.XLOOKUP(Cotação!A276,T_Custos[Produto],T_Custos[Avaria]),"Em falta"))</f>
        <v/>
      </c>
      <c r="E276" s="52" t="str">
        <f t="shared" si="4"/>
        <v/>
      </c>
    </row>
    <row r="277" spans="1:5" x14ac:dyDescent="0.35">
      <c r="A277" s="53"/>
      <c r="B277" s="51"/>
      <c r="C277" s="51"/>
      <c r="D277" s="52" t="str" cm="1">
        <f t="array" ref="D277">IF(A277="","",IFERROR(_xlfn.XLOOKUP(A277,T_Custos[Produto],T_Custos[Custo])*(1+$H$3)+IF($H$4="SIM",IF($H$2="Armazém do Grão",_xlfn.XLOOKUP(Cotação!A277,T_Custos[Produto],T_Fretes[Frete Grão]),IF($H$2="GMAP",_xlfn.XLOOKUP(Cotação!A277,T_Fretes[Produto],T_Fretes[Frete GMAP]),IF($H$2="GMAP Nova Friburgo",_xlfn.XLOOKUP(Cotação!A277,T_Fretes[Produto],T_Fretes[Frete GMAP Nova Friburgo]),IF($H$2="Guanabara",_xlfn.XLOOKUP(Cotação!A277,T_Fretes[Produto],T_Fretes[Frete Guanabara]),_xlfn.XLOOKUP(Cotação!A277,T_Custos[Produto],T_Custos[Frete]))))),0)+_xlfn.XLOOKUP(A277,T_Custos[Produto],T_Custos[Embalado])+_xlfn.XLOOKUP(Cotação!A277,T_Custos[Produto],T_Custos[Avaria]),"Em falta"))</f>
        <v/>
      </c>
      <c r="E277" s="52" t="str">
        <f t="shared" si="4"/>
        <v/>
      </c>
    </row>
    <row r="278" spans="1:5" x14ac:dyDescent="0.35">
      <c r="A278" s="50"/>
      <c r="B278" s="51"/>
      <c r="C278" s="51"/>
      <c r="D278" s="52" t="str" cm="1">
        <f t="array" ref="D278">IF(A278="","",IFERROR(_xlfn.XLOOKUP(A278,T_Custos[Produto],T_Custos[Custo])*(1+$H$3)+IF($H$4="SIM",IF($H$2="Armazém do Grão",_xlfn.XLOOKUP(Cotação!A278,T_Custos[Produto],T_Fretes[Frete Grão]),IF($H$2="GMAP",_xlfn.XLOOKUP(Cotação!A278,T_Fretes[Produto],T_Fretes[Frete GMAP]),IF($H$2="GMAP Nova Friburgo",_xlfn.XLOOKUP(Cotação!A278,T_Fretes[Produto],T_Fretes[Frete GMAP Nova Friburgo]),IF($H$2="Guanabara",_xlfn.XLOOKUP(Cotação!A278,T_Fretes[Produto],T_Fretes[Frete Guanabara]),_xlfn.XLOOKUP(Cotação!A278,T_Custos[Produto],T_Custos[Frete]))))),0)+_xlfn.XLOOKUP(A278,T_Custos[Produto],T_Custos[Embalado])+_xlfn.XLOOKUP(Cotação!A278,T_Custos[Produto],T_Custos[Avaria]),"Em falta"))</f>
        <v/>
      </c>
      <c r="E278" s="52" t="str">
        <f t="shared" si="4"/>
        <v/>
      </c>
    </row>
    <row r="279" spans="1:5" x14ac:dyDescent="0.35">
      <c r="A279" s="50"/>
      <c r="B279" s="51"/>
      <c r="C279" s="51"/>
      <c r="D279" s="52" t="str" cm="1">
        <f t="array" ref="D279">IF(A279="","",IFERROR(_xlfn.XLOOKUP(A279,T_Custos[Produto],T_Custos[Custo])*(1+$H$3)+IF($H$4="SIM",IF($H$2="Armazém do Grão",_xlfn.XLOOKUP(Cotação!A279,T_Custos[Produto],T_Fretes[Frete Grão]),IF($H$2="GMAP",_xlfn.XLOOKUP(Cotação!A279,T_Fretes[Produto],T_Fretes[Frete GMAP]),IF($H$2="GMAP Nova Friburgo",_xlfn.XLOOKUP(Cotação!A279,T_Fretes[Produto],T_Fretes[Frete GMAP Nova Friburgo]),IF($H$2="Guanabara",_xlfn.XLOOKUP(Cotação!A279,T_Fretes[Produto],T_Fretes[Frete Guanabara]),_xlfn.XLOOKUP(Cotação!A279,T_Custos[Produto],T_Custos[Frete]))))),0)+_xlfn.XLOOKUP(A279,T_Custos[Produto],T_Custos[Embalado])+_xlfn.XLOOKUP(Cotação!A279,T_Custos[Produto],T_Custos[Avaria]),"Em falta"))</f>
        <v/>
      </c>
      <c r="E279" s="52" t="str">
        <f t="shared" si="4"/>
        <v/>
      </c>
    </row>
    <row r="280" spans="1:5" x14ac:dyDescent="0.35">
      <c r="A280" s="50"/>
      <c r="B280" s="51"/>
      <c r="C280" s="51"/>
      <c r="D280" s="52" t="str" cm="1">
        <f t="array" ref="D280">IF(A280="","",IFERROR(_xlfn.XLOOKUP(A280,T_Custos[Produto],T_Custos[Custo])*(1+$H$3)+IF($H$4="SIM",IF($H$2="Armazém do Grão",_xlfn.XLOOKUP(Cotação!A280,T_Custos[Produto],T_Fretes[Frete Grão]),IF($H$2="GMAP",_xlfn.XLOOKUP(Cotação!A280,T_Fretes[Produto],T_Fretes[Frete GMAP]),IF($H$2="GMAP Nova Friburgo",_xlfn.XLOOKUP(Cotação!A280,T_Fretes[Produto],T_Fretes[Frete GMAP Nova Friburgo]),IF($H$2="Guanabara",_xlfn.XLOOKUP(Cotação!A280,T_Fretes[Produto],T_Fretes[Frete Guanabara]),_xlfn.XLOOKUP(Cotação!A280,T_Custos[Produto],T_Custos[Frete]))))),0)+_xlfn.XLOOKUP(A280,T_Custos[Produto],T_Custos[Embalado])+_xlfn.XLOOKUP(Cotação!A280,T_Custos[Produto],T_Custos[Avaria]),"Em falta"))</f>
        <v/>
      </c>
      <c r="E280" s="52" t="str">
        <f t="shared" si="4"/>
        <v/>
      </c>
    </row>
    <row r="281" spans="1:5" x14ac:dyDescent="0.35">
      <c r="A281" s="50"/>
      <c r="B281" s="51"/>
      <c r="C281" s="51"/>
      <c r="D281" s="52" t="str" cm="1">
        <f t="array" ref="D281">IF(A281="","",IFERROR(_xlfn.XLOOKUP(A281,T_Custos[Produto],T_Custos[Custo])*(1+$H$3)+IF($H$4="SIM",IF($H$2="Armazém do Grão",_xlfn.XLOOKUP(Cotação!A281,T_Custos[Produto],T_Fretes[Frete Grão]),IF($H$2="GMAP",_xlfn.XLOOKUP(Cotação!A281,T_Fretes[Produto],T_Fretes[Frete GMAP]),IF($H$2="GMAP Nova Friburgo",_xlfn.XLOOKUP(Cotação!A281,T_Fretes[Produto],T_Fretes[Frete GMAP Nova Friburgo]),IF($H$2="Guanabara",_xlfn.XLOOKUP(Cotação!A281,T_Fretes[Produto],T_Fretes[Frete Guanabara]),_xlfn.XLOOKUP(Cotação!A281,T_Custos[Produto],T_Custos[Frete]))))),0)+_xlfn.XLOOKUP(A281,T_Custos[Produto],T_Custos[Embalado])+_xlfn.XLOOKUP(Cotação!A281,T_Custos[Produto],T_Custos[Avaria]),"Em falta"))</f>
        <v/>
      </c>
      <c r="E281" s="52" t="str">
        <f t="shared" si="4"/>
        <v/>
      </c>
    </row>
    <row r="282" spans="1:5" x14ac:dyDescent="0.35">
      <c r="A282" s="50"/>
      <c r="B282" s="51"/>
      <c r="C282" s="51"/>
      <c r="D282" s="52" t="str" cm="1">
        <f t="array" ref="D282">IF(A282="","",IFERROR(_xlfn.XLOOKUP(A282,T_Custos[Produto],T_Custos[Custo])*(1+$H$3)+IF($H$4="SIM",IF($H$2="Armazém do Grão",_xlfn.XLOOKUP(Cotação!A282,T_Custos[Produto],T_Fretes[Frete Grão]),IF($H$2="GMAP",_xlfn.XLOOKUP(Cotação!A282,T_Fretes[Produto],T_Fretes[Frete GMAP]),IF($H$2="GMAP Nova Friburgo",_xlfn.XLOOKUP(Cotação!A282,T_Fretes[Produto],T_Fretes[Frete GMAP Nova Friburgo]),IF($H$2="Guanabara",_xlfn.XLOOKUP(Cotação!A282,T_Fretes[Produto],T_Fretes[Frete Guanabara]),_xlfn.XLOOKUP(Cotação!A282,T_Custos[Produto],T_Custos[Frete]))))),0)+_xlfn.XLOOKUP(A282,T_Custos[Produto],T_Custos[Embalado])+_xlfn.XLOOKUP(Cotação!A282,T_Custos[Produto],T_Custos[Avaria]),"Em falta"))</f>
        <v/>
      </c>
      <c r="E282" s="52" t="str">
        <f t="shared" si="4"/>
        <v/>
      </c>
    </row>
    <row r="283" spans="1:5" x14ac:dyDescent="0.35">
      <c r="A283" s="50"/>
      <c r="B283" s="51"/>
      <c r="C283" s="51"/>
      <c r="D283" s="52" t="str" cm="1">
        <f t="array" ref="D283">IF(A283="","",IFERROR(_xlfn.XLOOKUP(A283,T_Custos[Produto],T_Custos[Custo])*(1+$H$3)+IF($H$4="SIM",IF($H$2="Armazém do Grão",_xlfn.XLOOKUP(Cotação!A283,T_Custos[Produto],T_Fretes[Frete Grão]),IF($H$2="GMAP",_xlfn.XLOOKUP(Cotação!A283,T_Fretes[Produto],T_Fretes[Frete GMAP]),IF($H$2="GMAP Nova Friburgo",_xlfn.XLOOKUP(Cotação!A283,T_Fretes[Produto],T_Fretes[Frete GMAP Nova Friburgo]),IF($H$2="Guanabara",_xlfn.XLOOKUP(Cotação!A283,T_Fretes[Produto],T_Fretes[Frete Guanabara]),_xlfn.XLOOKUP(Cotação!A283,T_Custos[Produto],T_Custos[Frete]))))),0)+_xlfn.XLOOKUP(A283,T_Custos[Produto],T_Custos[Embalado])+_xlfn.XLOOKUP(Cotação!A283,T_Custos[Produto],T_Custos[Avaria]),"Em falta"))</f>
        <v/>
      </c>
      <c r="E283" s="52" t="str">
        <f t="shared" si="4"/>
        <v/>
      </c>
    </row>
    <row r="284" spans="1:5" x14ac:dyDescent="0.35">
      <c r="A284" s="53"/>
      <c r="B284" s="51"/>
      <c r="C284" s="51"/>
      <c r="D284" s="52" t="str" cm="1">
        <f t="array" ref="D284">IF(A284="","",IFERROR(_xlfn.XLOOKUP(A284,T_Custos[Produto],T_Custos[Custo])*(1+$H$3)+IF($H$4="SIM",IF($H$2="Armazém do Grão",_xlfn.XLOOKUP(Cotação!A284,T_Custos[Produto],T_Fretes[Frete Grão]),IF($H$2="GMAP",_xlfn.XLOOKUP(Cotação!A284,T_Fretes[Produto],T_Fretes[Frete GMAP]),IF($H$2="GMAP Nova Friburgo",_xlfn.XLOOKUP(Cotação!A284,T_Fretes[Produto],T_Fretes[Frete GMAP Nova Friburgo]),_xlfn.XLOOKUP(Cotação!A284,T_Custos[Produto],T_Custos[Frete])))),0)+_xlfn.XLOOKUP(A284,T_Custos[Produto],T_Custos[Embalado])+_xlfn.XLOOKUP(Cotação!A284,T_Custos[Produto],T_Custos[Avaria]),"Em falta"))</f>
        <v/>
      </c>
      <c r="E284" s="52" t="str">
        <f t="shared" si="4"/>
        <v/>
      </c>
    </row>
    <row r="285" spans="1:5" x14ac:dyDescent="0.35">
      <c r="A285" s="50"/>
      <c r="B285" s="51"/>
      <c r="C285" s="51"/>
      <c r="D285" s="52" t="str" cm="1">
        <f t="array" ref="D285">IF(A285="","",IFERROR(_xlfn.XLOOKUP(A285,T_Custos[Produto],T_Custos[Custo])*(1+$H$3)+IF($H$4="SIM",IF($H$2="Armazém do Grão",_xlfn.XLOOKUP(Cotação!A285,T_Custos[Produto],T_Fretes[Frete Grão]),IF($H$2="GMAP",_xlfn.XLOOKUP(Cotação!A285,T_Fretes[Produto],T_Fretes[Frete GMAP]),IF($H$2="GMAP Nova Friburgo",_xlfn.XLOOKUP(Cotação!A285,T_Fretes[Produto],T_Fretes[Frete GMAP Nova Friburgo]),_xlfn.XLOOKUP(Cotação!A285,T_Custos[Produto],T_Custos[Frete])))),0)+_xlfn.XLOOKUP(A285,T_Custos[Produto],T_Custos[Embalado])+_xlfn.XLOOKUP(Cotação!A285,T_Custos[Produto],T_Custos[Avaria]),"Em falta"))</f>
        <v/>
      </c>
      <c r="E285" s="52" t="str">
        <f t="shared" si="4"/>
        <v/>
      </c>
    </row>
    <row r="286" spans="1:5" ht="15.5" x14ac:dyDescent="0.35">
      <c r="A286" s="54"/>
      <c r="B286" s="51"/>
      <c r="C286" s="51"/>
      <c r="D286" s="52" t="str" cm="1">
        <f t="array" ref="D286">IF(A286="","",IFERROR(_xlfn.XLOOKUP(A286,T_Custos[Produto],T_Custos[Custo])*(1+$H$3)+IF($H$4="SIM",IF($H$2="Armazém do Grão",_xlfn.XLOOKUP(Cotação!A286,T_Custos[Produto],T_Fretes[Frete Grão]),IF($H$2="GMAP",_xlfn.XLOOKUP(Cotação!A286,T_Fretes[Produto],T_Fretes[Frete GMAP]),IF($H$2="GMAP Nova Friburgo",_xlfn.XLOOKUP(Cotação!A286,T_Fretes[Produto],T_Fretes[Frete GMAP Nova Friburgo]),_xlfn.XLOOKUP(Cotação!A286,T_Custos[Produto],T_Custos[Frete])))),0)+_xlfn.XLOOKUP(A286,T_Custos[Produto],T_Custos[Embalado])+_xlfn.XLOOKUP(Cotação!A286,T_Custos[Produto],T_Custos[Avaria]),"Em falta"))</f>
        <v/>
      </c>
      <c r="E286" s="52" t="str">
        <f t="shared" si="4"/>
        <v/>
      </c>
    </row>
    <row r="287" spans="1:5" x14ac:dyDescent="0.35">
      <c r="A287" s="50"/>
      <c r="B287" s="51"/>
      <c r="C287" s="51"/>
      <c r="D287" s="52" t="str" cm="1">
        <f t="array" ref="D287">IF(A287="","",IFERROR(_xlfn.XLOOKUP(A287,T_Custos[Produto],T_Custos[Custo])*(1+$H$3)+IF($H$4="SIM",IF($H$2="Armazém do Grão",_xlfn.XLOOKUP(Cotação!A287,T_Custos[Produto],T_Fretes[Frete Grão]),IF($H$2="GMAP",_xlfn.XLOOKUP(Cotação!A287,T_Fretes[Produto],T_Fretes[Frete GMAP]),IF($H$2="GMAP Nova Friburgo",_xlfn.XLOOKUP(Cotação!A287,T_Fretes[Produto],T_Fretes[Frete GMAP Nova Friburgo]),_xlfn.XLOOKUP(Cotação!A287,T_Custos[Produto],T_Custos[Frete])))),0)+_xlfn.XLOOKUP(A287,T_Custos[Produto],T_Custos[Embalado])+_xlfn.XLOOKUP(Cotação!A287,T_Custos[Produto],T_Custos[Avaria]),"Em falta"))</f>
        <v/>
      </c>
      <c r="E287" s="52" t="str">
        <f t="shared" si="4"/>
        <v/>
      </c>
    </row>
    <row r="288" spans="1:5" x14ac:dyDescent="0.35">
      <c r="A288" s="50"/>
      <c r="B288" s="51"/>
      <c r="C288" s="51"/>
      <c r="D288" s="52" t="str" cm="1">
        <f t="array" ref="D288">IF(A288="","",IFERROR(_xlfn.XLOOKUP(A288,T_Custos[Produto],T_Custos[Custo])*(1+$H$3)+IF($H$4="SIM",IF($H$2="Armazém do Grão",_xlfn.XLOOKUP(Cotação!A288,T_Custos[Produto],T_Fretes[Frete Grão]),IF($H$2="GMAP",_xlfn.XLOOKUP(Cotação!A288,T_Fretes[Produto],T_Fretes[Frete GMAP]),IF($H$2="GMAP Nova Friburgo",_xlfn.XLOOKUP(Cotação!A288,T_Fretes[Produto],T_Fretes[Frete GMAP Nova Friburgo]),_xlfn.XLOOKUP(Cotação!A288,T_Custos[Produto],T_Custos[Frete])))),0)+_xlfn.XLOOKUP(A288,T_Custos[Produto],T_Custos[Embalado])+_xlfn.XLOOKUP(Cotação!A288,T_Custos[Produto],T_Custos[Avaria]),"Em falta"))</f>
        <v/>
      </c>
      <c r="E288" s="52" t="str">
        <f t="shared" si="4"/>
        <v/>
      </c>
    </row>
    <row r="289" spans="1:5" x14ac:dyDescent="0.35">
      <c r="A289" s="50"/>
      <c r="B289" s="51"/>
      <c r="C289" s="51"/>
      <c r="D289" s="52" t="str" cm="1">
        <f t="array" ref="D289">IF(A289="","",IFERROR(_xlfn.XLOOKUP(A289,T_Custos[Produto],T_Custos[Custo])*(1+$H$3)+IF($H$4="SIM",IF($H$2="Armazém do Grão",_xlfn.XLOOKUP(Cotação!A289,T_Custos[Produto],T_Fretes[Frete Grão]),IF($H$2="GMAP",_xlfn.XLOOKUP(Cotação!A289,T_Fretes[Produto],T_Fretes[Frete GMAP]),IF($H$2="GMAP Nova Friburgo",_xlfn.XLOOKUP(Cotação!A289,T_Fretes[Produto],T_Fretes[Frete GMAP Nova Friburgo]),_xlfn.XLOOKUP(Cotação!A289,T_Custos[Produto],T_Custos[Frete])))),0)+_xlfn.XLOOKUP(A289,T_Custos[Produto],T_Custos[Embalado])+_xlfn.XLOOKUP(Cotação!A289,T_Custos[Produto],T_Custos[Avaria]),"Em falta"))</f>
        <v/>
      </c>
      <c r="E289" s="52" t="str">
        <f t="shared" si="4"/>
        <v/>
      </c>
    </row>
    <row r="290" spans="1:5" x14ac:dyDescent="0.35">
      <c r="A290" s="50"/>
      <c r="B290" s="51"/>
      <c r="C290" s="51"/>
      <c r="D290" s="52" t="str" cm="1">
        <f t="array" ref="D290">IF(A290="","",IFERROR(_xlfn.XLOOKUP(A290,T_Custos[Produto],T_Custos[Custo])*(1+$H$3)+IF($H$4="SIM",IF($H$2="Armazém do Grão",_xlfn.XLOOKUP(Cotação!A290,T_Custos[Produto],T_Fretes[Frete Grão]),IF($H$2="GMAP",_xlfn.XLOOKUP(Cotação!A290,T_Fretes[Produto],T_Fretes[Frete GMAP]),IF($H$2="GMAP Nova Friburgo",_xlfn.XLOOKUP(Cotação!A290,T_Fretes[Produto],T_Fretes[Frete GMAP Nova Friburgo]),_xlfn.XLOOKUP(Cotação!A290,T_Custos[Produto],T_Custos[Frete])))),0)+_xlfn.XLOOKUP(A290,T_Custos[Produto],T_Custos[Embalado])+_xlfn.XLOOKUP(Cotação!A290,T_Custos[Produto],T_Custos[Avaria]),"Em falta"))</f>
        <v/>
      </c>
      <c r="E290" s="52" t="str">
        <f t="shared" si="4"/>
        <v/>
      </c>
    </row>
    <row r="291" spans="1:5" x14ac:dyDescent="0.35">
      <c r="A291" s="50"/>
      <c r="B291" s="51"/>
      <c r="C291" s="51"/>
      <c r="D291" s="52" t="str" cm="1">
        <f t="array" ref="D291">IF(A291="","",IFERROR(_xlfn.XLOOKUP(A291,T_Custos[Produto],T_Custos[Custo])*(1+$H$3)+IF($H$4="SIM",IF($H$2="Armazém do Grão",_xlfn.XLOOKUP(Cotação!A291,T_Custos[Produto],T_Fretes[Frete Grão]),IF($H$2="GMAP",_xlfn.XLOOKUP(Cotação!A291,T_Fretes[Produto],T_Fretes[Frete GMAP]),IF($H$2="GMAP Nova Friburgo",_xlfn.XLOOKUP(Cotação!A291,T_Fretes[Produto],T_Fretes[Frete GMAP Nova Friburgo]),_xlfn.XLOOKUP(Cotação!A291,T_Custos[Produto],T_Custos[Frete])))),0)+_xlfn.XLOOKUP(A291,T_Custos[Produto],T_Custos[Embalado])+_xlfn.XLOOKUP(Cotação!A291,T_Custos[Produto],T_Custos[Avaria]),"Em falta"))</f>
        <v/>
      </c>
      <c r="E291" s="52" t="str">
        <f t="shared" si="4"/>
        <v/>
      </c>
    </row>
    <row r="292" spans="1:5" ht="15.5" x14ac:dyDescent="0.35">
      <c r="A292" s="54"/>
      <c r="B292" s="51"/>
      <c r="C292" s="51"/>
      <c r="D292" s="52" t="str" cm="1">
        <f t="array" ref="D292">IF(A292="","",IFERROR(_xlfn.XLOOKUP(A292,T_Custos[Produto],T_Custos[Custo])*(1+$H$3)+IF($H$4="SIM",IF($H$2="Armazém do Grão",_xlfn.XLOOKUP(Cotação!A292,T_Custos[Produto],T_Fretes[Frete Grão]),IF($H$2="GMAP",_xlfn.XLOOKUP(Cotação!A292,T_Fretes[Produto],T_Fretes[Frete GMAP]),IF($H$2="GMAP Nova Friburgo",_xlfn.XLOOKUP(Cotação!A292,T_Fretes[Produto],T_Fretes[Frete GMAP Nova Friburgo]),_xlfn.XLOOKUP(Cotação!A292,T_Custos[Produto],T_Custos[Frete])))),0)+_xlfn.XLOOKUP(A292,T_Custos[Produto],T_Custos[Embalado])+_xlfn.XLOOKUP(Cotação!A292,T_Custos[Produto],T_Custos[Avaria]),"Em falta"))</f>
        <v/>
      </c>
      <c r="E292" s="52" t="str">
        <f t="shared" si="4"/>
        <v/>
      </c>
    </row>
    <row r="293" spans="1:5" ht="15.5" x14ac:dyDescent="0.35">
      <c r="A293" s="54"/>
      <c r="B293" s="51"/>
      <c r="C293" s="51"/>
      <c r="D293" s="52" t="str" cm="1">
        <f t="array" ref="D293">IF(A293="","",IFERROR(_xlfn.XLOOKUP(A293,T_Custos[Produto],T_Custos[Custo])*(1+$H$3)+IF($H$4="SIM",IF($H$2="Armazém do Grão",_xlfn.XLOOKUP(Cotação!A293,T_Custos[Produto],T_Fretes[Frete Grão]),IF($H$2="GMAP",_xlfn.XLOOKUP(Cotação!A293,T_Fretes[Produto],T_Fretes[Frete GMAP]),IF($H$2="GMAP Nova Friburgo",_xlfn.XLOOKUP(Cotação!A293,T_Fretes[Produto],T_Fretes[Frete GMAP Nova Friburgo]),_xlfn.XLOOKUP(Cotação!A293,T_Custos[Produto],T_Custos[Frete])))),0)+_xlfn.XLOOKUP(A293,T_Custos[Produto],T_Custos[Embalado])+_xlfn.XLOOKUP(Cotação!A293,T_Custos[Produto],T_Custos[Avaria]),"Em falta"))</f>
        <v/>
      </c>
      <c r="E293" s="52" t="str">
        <f t="shared" si="4"/>
        <v/>
      </c>
    </row>
    <row r="294" spans="1:5" x14ac:dyDescent="0.35">
      <c r="A294" s="53"/>
      <c r="B294" s="51"/>
      <c r="C294" s="51"/>
      <c r="D294" s="52" t="str" cm="1">
        <f t="array" ref="D294">IF(A294="","",IFERROR(_xlfn.XLOOKUP(A294,T_Custos[Produto],T_Custos[Custo])*(1+$H$3)+IF($H$4="SIM",IF($H$2="Armazém do Grão",_xlfn.XLOOKUP(Cotação!A294,T_Custos[Produto],T_Fretes[Frete Grão]),IF($H$2="GMAP",_xlfn.XLOOKUP(Cotação!A294,T_Fretes[Produto],T_Fretes[Frete GMAP]),IF($H$2="GMAP Nova Friburgo",_xlfn.XLOOKUP(Cotação!A294,T_Fretes[Produto],T_Fretes[Frete GMAP Nova Friburgo]),_xlfn.XLOOKUP(Cotação!A294,T_Custos[Produto],T_Custos[Frete])))),0)+_xlfn.XLOOKUP(A294,T_Custos[Produto],T_Custos[Embalado])+_xlfn.XLOOKUP(Cotação!A294,T_Custos[Produto],T_Custos[Avaria]),"Em falta"))</f>
        <v/>
      </c>
      <c r="E294" s="52" t="str">
        <f t="shared" si="4"/>
        <v/>
      </c>
    </row>
    <row r="295" spans="1:5" x14ac:dyDescent="0.35">
      <c r="A295" s="53"/>
      <c r="B295" s="51"/>
      <c r="C295" s="51"/>
      <c r="D295" s="52" t="str" cm="1">
        <f t="array" ref="D295">IF(A295="","",IFERROR(_xlfn.XLOOKUP(A295,T_Custos[Produto],T_Custos[Custo])*(1+$H$3)+IF($H$4="SIM",IF($H$2="Armazém do Grão",_xlfn.XLOOKUP(Cotação!A295,T_Custos[Produto],T_Fretes[Frete Grão]),IF($H$2="GMAP",_xlfn.XLOOKUP(Cotação!A295,T_Fretes[Produto],T_Fretes[Frete GMAP]),IF($H$2="GMAP Nova Friburgo",_xlfn.XLOOKUP(Cotação!A295,T_Fretes[Produto],T_Fretes[Frete GMAP Nova Friburgo]),_xlfn.XLOOKUP(Cotação!A295,T_Custos[Produto],T_Custos[Frete])))),0)+_xlfn.XLOOKUP(A295,T_Custos[Produto],T_Custos[Embalado])+_xlfn.XLOOKUP(Cotação!A295,T_Custos[Produto],T_Custos[Avaria]),"Em falta"))</f>
        <v/>
      </c>
      <c r="E295" s="52" t="str">
        <f t="shared" si="4"/>
        <v/>
      </c>
    </row>
    <row r="296" spans="1:5" x14ac:dyDescent="0.35">
      <c r="A296" s="50"/>
      <c r="B296" s="51"/>
      <c r="C296" s="51"/>
      <c r="D296" s="52" t="str" cm="1">
        <f t="array" ref="D296">IF(A296="","",IFERROR(_xlfn.XLOOKUP(A296,T_Custos[Produto],T_Custos[Custo])*(1+$H$3)+IF($H$4="SIM",IF($H$2="Armazém do Grão",_xlfn.XLOOKUP(Cotação!A296,T_Custos[Produto],T_Fretes[Frete Grão]),IF($H$2="GMAP",_xlfn.XLOOKUP(Cotação!A296,T_Fretes[Produto],T_Fretes[Frete GMAP]),IF($H$2="GMAP Nova Friburgo",_xlfn.XLOOKUP(Cotação!A296,T_Fretes[Produto],T_Fretes[Frete GMAP Nova Friburgo]),_xlfn.XLOOKUP(Cotação!A296,T_Custos[Produto],T_Custos[Frete])))),0)+_xlfn.XLOOKUP(A296,T_Custos[Produto],T_Custos[Embalado])+_xlfn.XLOOKUP(Cotação!A296,T_Custos[Produto],T_Custos[Avaria]),"Em falta"))</f>
        <v/>
      </c>
      <c r="E296" s="52" t="str">
        <f t="shared" si="4"/>
        <v/>
      </c>
    </row>
    <row r="297" spans="1:5" x14ac:dyDescent="0.35">
      <c r="A297" s="50"/>
      <c r="B297" s="51"/>
      <c r="C297" s="51"/>
      <c r="D297" s="52" t="str" cm="1">
        <f t="array" ref="D297">IF(A297="","",IFERROR(_xlfn.XLOOKUP(A297,T_Custos[Produto],T_Custos[Custo])*(1+$H$3)+IF($H$4="SIM",IF($H$2="Armazém do Grão",_xlfn.XLOOKUP(Cotação!A297,T_Custos[Produto],T_Fretes[Frete Grão]),IF($H$2="GMAP",_xlfn.XLOOKUP(Cotação!A297,T_Fretes[Produto],T_Fretes[Frete GMAP]),IF($H$2="GMAP Nova Friburgo",_xlfn.XLOOKUP(Cotação!A297,T_Fretes[Produto],T_Fretes[Frete GMAP Nova Friburgo]),_xlfn.XLOOKUP(Cotação!A297,T_Custos[Produto],T_Custos[Frete])))),0)+_xlfn.XLOOKUP(A297,T_Custos[Produto],T_Custos[Embalado])+_xlfn.XLOOKUP(Cotação!A297,T_Custos[Produto],T_Custos[Avaria]),"Em falta"))</f>
        <v/>
      </c>
      <c r="E297" s="52" t="str">
        <f t="shared" si="4"/>
        <v/>
      </c>
    </row>
    <row r="298" spans="1:5" x14ac:dyDescent="0.35">
      <c r="A298" s="50"/>
      <c r="B298" s="51"/>
      <c r="C298" s="51"/>
      <c r="D298" s="52" t="str" cm="1">
        <f t="array" ref="D298">IF(A298="","",IFERROR(_xlfn.XLOOKUP(A298,T_Custos[Produto],T_Custos[Custo])*(1+$H$3)+IF($H$4="SIM",IF($H$2="Armazém do Grão",_xlfn.XLOOKUP(Cotação!A298,T_Custos[Produto],T_Fretes[Frete Grão]),IF($H$2="GMAP",_xlfn.XLOOKUP(Cotação!A298,T_Fretes[Produto],T_Fretes[Frete GMAP]),IF($H$2="GMAP Nova Friburgo",_xlfn.XLOOKUP(Cotação!A298,T_Fretes[Produto],T_Fretes[Frete GMAP Nova Friburgo]),_xlfn.XLOOKUP(Cotação!A298,T_Custos[Produto],T_Custos[Frete])))),0)+_xlfn.XLOOKUP(A298,T_Custos[Produto],T_Custos[Embalado])+_xlfn.XLOOKUP(Cotação!A298,T_Custos[Produto],T_Custos[Avaria]),"Em falta"))</f>
        <v/>
      </c>
      <c r="E298" s="52" t="str">
        <f t="shared" si="4"/>
        <v/>
      </c>
    </row>
    <row r="299" spans="1:5" ht="15.5" x14ac:dyDescent="0.35">
      <c r="A299" s="54"/>
      <c r="B299" s="51"/>
      <c r="C299" s="51"/>
      <c r="D299" s="52" t="str" cm="1">
        <f t="array" ref="D299">IF(A299="","",IFERROR(_xlfn.XLOOKUP(A299,T_Custos[Produto],T_Custos[Custo])*(1+$H$3)+IF($H$4="SIM",IF($H$2="Armazém do Grão",_xlfn.XLOOKUP(Cotação!A299,T_Custos[Produto],T_Fretes[Frete Grão]),IF($H$2="GMAP",_xlfn.XLOOKUP(Cotação!A299,T_Fretes[Produto],T_Fretes[Frete GMAP]),IF($H$2="GMAP Nova Friburgo",_xlfn.XLOOKUP(Cotação!A299,T_Fretes[Produto],T_Fretes[Frete GMAP Nova Friburgo]),_xlfn.XLOOKUP(Cotação!A299,T_Custos[Produto],T_Custos[Frete])))),0)+_xlfn.XLOOKUP(A299,T_Custos[Produto],T_Custos[Embalado])+_xlfn.XLOOKUP(Cotação!A299,T_Custos[Produto],T_Custos[Avaria]),"Em falta"))</f>
        <v/>
      </c>
      <c r="E299" s="52" t="str">
        <f t="shared" si="4"/>
        <v/>
      </c>
    </row>
    <row r="300" spans="1:5" x14ac:dyDescent="0.35">
      <c r="A300" s="50"/>
      <c r="B300" s="51"/>
      <c r="C300" s="51"/>
      <c r="D300" s="52" t="str" cm="1">
        <f t="array" ref="D300">IF(A300="","",IFERROR(_xlfn.XLOOKUP(A300,T_Custos[Produto],T_Custos[Custo])*(1+$H$3)+IF($H$4="SIM",IF($H$2="Armazém do Grão",_xlfn.XLOOKUP(Cotação!A300,T_Custos[Produto],T_Fretes[Frete Grão]),IF($H$2="GMAP",_xlfn.XLOOKUP(Cotação!A300,T_Fretes[Produto],T_Fretes[Frete GMAP]),IF($H$2="GMAP Nova Friburgo",_xlfn.XLOOKUP(Cotação!A300,T_Fretes[Produto],T_Fretes[Frete GMAP Nova Friburgo]),_xlfn.XLOOKUP(Cotação!A300,T_Custos[Produto],T_Custos[Frete])))),0)+_xlfn.XLOOKUP(A300,T_Custos[Produto],T_Custos[Embalado])+_xlfn.XLOOKUP(Cotação!A300,T_Custos[Produto],T_Custos[Avaria]),"Em falta"))</f>
        <v/>
      </c>
      <c r="E300" s="52" t="str">
        <f t="shared" si="4"/>
        <v/>
      </c>
    </row>
    <row r="301" spans="1:5" x14ac:dyDescent="0.35">
      <c r="A301" s="53"/>
      <c r="B301" s="51"/>
      <c r="C301" s="51"/>
      <c r="D301" s="52" t="str" cm="1">
        <f t="array" ref="D301">IF(A301="","",IFERROR(_xlfn.XLOOKUP(A301,T_Custos[Produto],T_Custos[Custo])*(1+$H$3)+IF($H$4="SIM",IF($H$2="Armazém do Grão",_xlfn.XLOOKUP(Cotação!A301,T_Custos[Produto],T_Fretes[Frete Grão]),IF($H$2="GMAP",_xlfn.XLOOKUP(Cotação!A301,T_Fretes[Produto],T_Fretes[Frete GMAP]),IF($H$2="GMAP Nova Friburgo",_xlfn.XLOOKUP(Cotação!A301,T_Fretes[Produto],T_Fretes[Frete GMAP Nova Friburgo]),_xlfn.XLOOKUP(Cotação!A301,T_Custos[Produto],T_Custos[Frete])))),0)+_xlfn.XLOOKUP(A301,T_Custos[Produto],T_Custos[Embalado])+_xlfn.XLOOKUP(Cotação!A301,T_Custos[Produto],T_Custos[Avaria]),"Em falta"))</f>
        <v/>
      </c>
      <c r="E301" s="52" t="str">
        <f t="shared" si="4"/>
        <v/>
      </c>
    </row>
    <row r="302" spans="1:5" x14ac:dyDescent="0.35">
      <c r="A302" s="53"/>
      <c r="B302" s="51"/>
      <c r="C302" s="51"/>
      <c r="D302" s="52" t="str" cm="1">
        <f t="array" ref="D302">IF(A302="","",IFERROR(_xlfn.XLOOKUP(A302,T_Custos[Produto],T_Custos[Custo])*(1+$H$3)+IF($H$4="SIM",IF($H$2="Armazém do Grão",_xlfn.XLOOKUP(Cotação!A302,T_Custos[Produto],T_Fretes[Frete Grão]),IF($H$2="GMAP",_xlfn.XLOOKUP(Cotação!A302,T_Fretes[Produto],T_Fretes[Frete GMAP]),IF($H$2="GMAP Nova Friburgo",_xlfn.XLOOKUP(Cotação!A302,T_Fretes[Produto],T_Fretes[Frete GMAP Nova Friburgo]),_xlfn.XLOOKUP(Cotação!A302,T_Custos[Produto],T_Custos[Frete])))),0)+_xlfn.XLOOKUP(A302,T_Custos[Produto],T_Custos[Embalado])+_xlfn.XLOOKUP(Cotação!A302,T_Custos[Produto],T_Custos[Avaria]),"Em falta"))</f>
        <v/>
      </c>
      <c r="E302" s="52" t="str">
        <f t="shared" si="4"/>
        <v/>
      </c>
    </row>
    <row r="303" spans="1:5" x14ac:dyDescent="0.35">
      <c r="A303" s="50"/>
      <c r="B303" s="51"/>
      <c r="C303" s="51"/>
      <c r="D303" s="52" t="str" cm="1">
        <f t="array" ref="D303">IF(A303="","",IFERROR(_xlfn.XLOOKUP(A303,T_Custos[Produto],T_Custos[Custo])*(1+$H$3)+IF($H$4="SIM",IF($H$2="Armazém do Grão",_xlfn.XLOOKUP(Cotação!A303,T_Custos[Produto],T_Fretes[Frete Grão]),IF($H$2="GMAP",_xlfn.XLOOKUP(Cotação!A303,T_Fretes[Produto],T_Fretes[Frete GMAP]),IF($H$2="GMAP Nova Friburgo",_xlfn.XLOOKUP(Cotação!A303,T_Fretes[Produto],T_Fretes[Frete GMAP Nova Friburgo]),_xlfn.XLOOKUP(Cotação!A303,T_Custos[Produto],T_Custos[Frete])))),0)+_xlfn.XLOOKUP(A303,T_Custos[Produto],T_Custos[Embalado])+_xlfn.XLOOKUP(Cotação!A303,T_Custos[Produto],T_Custos[Avaria]),"Em falta"))</f>
        <v/>
      </c>
      <c r="E303" s="52" t="str">
        <f t="shared" si="4"/>
        <v/>
      </c>
    </row>
    <row r="304" spans="1:5" x14ac:dyDescent="0.35">
      <c r="A304" s="50"/>
      <c r="B304" s="51"/>
      <c r="C304" s="51"/>
      <c r="D304" s="52" t="str" cm="1">
        <f t="array" ref="D304">IF(A304="","",IFERROR(_xlfn.XLOOKUP(A304,T_Custos[Produto],T_Custos[Custo])*(1+$H$3)+IF($H$4="SIM",IF($H$2="Armazém do Grão",_xlfn.XLOOKUP(Cotação!A304,T_Custos[Produto],T_Fretes[Frete Grão]),IF($H$2="GMAP",_xlfn.XLOOKUP(Cotação!A304,T_Fretes[Produto],T_Fretes[Frete GMAP]),IF($H$2="GMAP Nova Friburgo",_xlfn.XLOOKUP(Cotação!A304,T_Fretes[Produto],T_Fretes[Frete GMAP Nova Friburgo]),_xlfn.XLOOKUP(Cotação!A304,T_Custos[Produto],T_Custos[Frete])))),0)+_xlfn.XLOOKUP(A304,T_Custos[Produto],T_Custos[Embalado])+_xlfn.XLOOKUP(Cotação!A304,T_Custos[Produto],T_Custos[Avaria]),"Em falta"))</f>
        <v/>
      </c>
      <c r="E304" s="52" t="str">
        <f t="shared" si="4"/>
        <v/>
      </c>
    </row>
    <row r="305" spans="1:5" ht="15.5" x14ac:dyDescent="0.35">
      <c r="A305" s="54"/>
      <c r="B305" s="51"/>
      <c r="C305" s="51"/>
      <c r="D305" s="52" t="str" cm="1">
        <f t="array" ref="D305">IF(A305="","",IFERROR(_xlfn.XLOOKUP(A305,T_Custos[Produto],T_Custos[Custo])*(1+$H$3)+IF($H$4="SIM",IF($H$2="Armazém do Grão",_xlfn.XLOOKUP(Cotação!A305,T_Custos[Produto],T_Fretes[Frete Grão]),IF($H$2="GMAP",_xlfn.XLOOKUP(Cotação!A305,T_Fretes[Produto],T_Fretes[Frete GMAP]),IF($H$2="GMAP Nova Friburgo",_xlfn.XLOOKUP(Cotação!A305,T_Fretes[Produto],T_Fretes[Frete GMAP Nova Friburgo]),_xlfn.XLOOKUP(Cotação!A305,T_Custos[Produto],T_Custos[Frete])))),0)+_xlfn.XLOOKUP(A305,T_Custos[Produto],T_Custos[Embalado])+_xlfn.XLOOKUP(Cotação!A305,T_Custos[Produto],T_Custos[Avaria]),"Em falta"))</f>
        <v/>
      </c>
      <c r="E305" s="52" t="str">
        <f t="shared" si="4"/>
        <v/>
      </c>
    </row>
    <row r="306" spans="1:5" ht="15.5" x14ac:dyDescent="0.35">
      <c r="A306" s="54"/>
      <c r="B306" s="51"/>
      <c r="C306" s="51"/>
      <c r="D306" s="52" t="str" cm="1">
        <f t="array" ref="D306">IF(A306="","",IFERROR(_xlfn.XLOOKUP(A306,T_Custos[Produto],T_Custos[Custo])*(1+$H$3)+IF($H$4="SIM",IF($H$2="Armazém do Grão",_xlfn.XLOOKUP(Cotação!A306,T_Custos[Produto],T_Fretes[Frete Grão]),IF($H$2="GMAP",_xlfn.XLOOKUP(Cotação!A306,T_Fretes[Produto],T_Fretes[Frete GMAP]),IF($H$2="GMAP Nova Friburgo",_xlfn.XLOOKUP(Cotação!A306,T_Fretes[Produto],T_Fretes[Frete GMAP Nova Friburgo]),_xlfn.XLOOKUP(Cotação!A306,T_Custos[Produto],T_Custos[Frete])))),0)+_xlfn.XLOOKUP(A306,T_Custos[Produto],T_Custos[Embalado])+_xlfn.XLOOKUP(Cotação!A306,T_Custos[Produto],T_Custos[Avaria]),"Em falta"))</f>
        <v/>
      </c>
      <c r="E306" s="52" t="str">
        <f t="shared" si="4"/>
        <v/>
      </c>
    </row>
    <row r="307" spans="1:5" x14ac:dyDescent="0.35">
      <c r="A307" s="50"/>
      <c r="B307" s="51"/>
      <c r="C307" s="51"/>
      <c r="D307" s="52" t="str" cm="1">
        <f t="array" ref="D307">IF(A307="","",IFERROR(_xlfn.XLOOKUP(A307,T_Custos[Produto],T_Custos[Custo])*(1+$H$3)+IF($H$4="SIM",IF($H$2="Armazém do Grão",_xlfn.XLOOKUP(Cotação!A307,T_Custos[Produto],T_Fretes[Frete Grão]),IF($H$2="GMAP",_xlfn.XLOOKUP(Cotação!A307,T_Fretes[Produto],T_Fretes[Frete GMAP]),IF($H$2="GMAP Nova Friburgo",_xlfn.XLOOKUP(Cotação!A307,T_Fretes[Produto],T_Fretes[Frete GMAP Nova Friburgo]),_xlfn.XLOOKUP(Cotação!A307,T_Custos[Produto],T_Custos[Frete])))),0)+_xlfn.XLOOKUP(A307,T_Custos[Produto],T_Custos[Embalado])+_xlfn.XLOOKUP(Cotação!A307,T_Custos[Produto],T_Custos[Avaria]),"Em falta"))</f>
        <v/>
      </c>
      <c r="E307" s="52" t="str">
        <f t="shared" si="4"/>
        <v/>
      </c>
    </row>
    <row r="308" spans="1:5" ht="15.5" x14ac:dyDescent="0.35">
      <c r="A308" s="54"/>
      <c r="B308" s="51"/>
      <c r="C308" s="51"/>
      <c r="D308" s="52" t="str" cm="1">
        <f t="array" ref="D308">IF(A308="","",IFERROR(_xlfn.XLOOKUP(A308,T_Custos[Produto],T_Custos[Custo])*(1+$H$3)+IF($H$4="SIM",IF($H$2="Armazém do Grão",_xlfn.XLOOKUP(Cotação!A308,T_Custos[Produto],T_Fretes[Frete Grão]),IF($H$2="GMAP",_xlfn.XLOOKUP(Cotação!A308,T_Fretes[Produto],T_Fretes[Frete GMAP]),IF($H$2="GMAP Nova Friburgo",_xlfn.XLOOKUP(Cotação!A308,T_Fretes[Produto],T_Fretes[Frete GMAP Nova Friburgo]),_xlfn.XLOOKUP(Cotação!A308,T_Custos[Produto],T_Custos[Frete])))),0)+_xlfn.XLOOKUP(A308,T_Custos[Produto],T_Custos[Embalado])+_xlfn.XLOOKUP(Cotação!A308,T_Custos[Produto],T_Custos[Avaria]),"Em falta"))</f>
        <v/>
      </c>
      <c r="E308" s="52" t="str">
        <f t="shared" si="4"/>
        <v/>
      </c>
    </row>
    <row r="309" spans="1:5" x14ac:dyDescent="0.35">
      <c r="A309" s="50"/>
      <c r="B309" s="51"/>
      <c r="C309" s="51"/>
      <c r="D309" s="52" t="str" cm="1">
        <f t="array" ref="D309">IF(A309="","",IFERROR(_xlfn.XLOOKUP(A309,T_Custos[Produto],T_Custos[Custo])*(1+$H$3)+IF($H$4="SIM",IF($H$2="Armazém do Grão",_xlfn.XLOOKUP(Cotação!A309,T_Custos[Produto],T_Fretes[Frete Grão]),IF($H$2="GMAP",_xlfn.XLOOKUP(Cotação!A309,T_Fretes[Produto],T_Fretes[Frete GMAP]),IF($H$2="GMAP Nova Friburgo",_xlfn.XLOOKUP(Cotação!A309,T_Fretes[Produto],T_Fretes[Frete GMAP Nova Friburgo]),_xlfn.XLOOKUP(Cotação!A309,T_Custos[Produto],T_Custos[Frete])))),0)+_xlfn.XLOOKUP(A309,T_Custos[Produto],T_Custos[Embalado])+_xlfn.XLOOKUP(Cotação!A309,T_Custos[Produto],T_Custos[Avaria]),"Em falta"))</f>
        <v/>
      </c>
      <c r="E309" s="52" t="str">
        <f t="shared" si="4"/>
        <v/>
      </c>
    </row>
    <row r="310" spans="1:5" x14ac:dyDescent="0.35">
      <c r="A310" s="50"/>
      <c r="B310" s="51"/>
      <c r="C310" s="51"/>
      <c r="D310" s="52" t="str" cm="1">
        <f t="array" ref="D310">IF(A310="","",IFERROR(_xlfn.XLOOKUP(A310,T_Custos[Produto],T_Custos[Custo])*(1+$H$3)+IF($H$4="SIM",IF($H$2="Armazém do Grão",_xlfn.XLOOKUP(Cotação!A310,T_Custos[Produto],T_Fretes[Frete Grão]),IF($H$2="GMAP",_xlfn.XLOOKUP(Cotação!A310,T_Fretes[Produto],T_Fretes[Frete GMAP]),IF($H$2="GMAP Nova Friburgo",_xlfn.XLOOKUP(Cotação!A310,T_Fretes[Produto],T_Fretes[Frete GMAP Nova Friburgo]),_xlfn.XLOOKUP(Cotação!A310,T_Custos[Produto],T_Custos[Frete])))),0)+_xlfn.XLOOKUP(A310,T_Custos[Produto],T_Custos[Embalado])+_xlfn.XLOOKUP(Cotação!A310,T_Custos[Produto],T_Custos[Avaria]),"Em falta"))</f>
        <v/>
      </c>
      <c r="E310" s="52" t="str">
        <f t="shared" si="4"/>
        <v/>
      </c>
    </row>
    <row r="311" spans="1:5" x14ac:dyDescent="0.35">
      <c r="A311" s="53"/>
      <c r="B311" s="51"/>
      <c r="C311" s="51"/>
      <c r="D311" s="52" t="str" cm="1">
        <f t="array" ref="D311">IF(A311="","",IFERROR(_xlfn.XLOOKUP(A311,T_Custos[Produto],T_Custos[Custo])*(1+$H$3)+IF($H$4="SIM",IF($H$2="Armazém do Grão",_xlfn.XLOOKUP(Cotação!A311,T_Custos[Produto],T_Fretes[Frete Grão]),IF($H$2="GMAP",_xlfn.XLOOKUP(Cotação!A311,T_Fretes[Produto],T_Fretes[Frete GMAP]),IF($H$2="GMAP Nova Friburgo",_xlfn.XLOOKUP(Cotação!A311,T_Fretes[Produto],T_Fretes[Frete GMAP Nova Friburgo]),_xlfn.XLOOKUP(Cotação!A311,T_Custos[Produto],T_Custos[Frete])))),0)+_xlfn.XLOOKUP(A311,T_Custos[Produto],T_Custos[Embalado])+_xlfn.XLOOKUP(Cotação!A311,T_Custos[Produto],T_Custos[Avaria]),"Em falta"))</f>
        <v/>
      </c>
      <c r="E311" s="52" t="str">
        <f t="shared" si="4"/>
        <v/>
      </c>
    </row>
    <row r="312" spans="1:5" x14ac:dyDescent="0.35">
      <c r="A312" s="50"/>
      <c r="B312" s="51"/>
      <c r="C312" s="51"/>
      <c r="D312" s="52" t="str" cm="1">
        <f t="array" ref="D312">IF(A312="","",IFERROR(_xlfn.XLOOKUP(A312,T_Custos[Produto],T_Custos[Custo])*(1+$H$3)+IF($H$4="SIM",IF($H$2="Armazém do Grão",_xlfn.XLOOKUP(Cotação!A312,T_Custos[Produto],T_Fretes[Frete Grão]),IF($H$2="GMAP",_xlfn.XLOOKUP(Cotação!A312,T_Fretes[Produto],T_Fretes[Frete GMAP]),IF($H$2="GMAP Nova Friburgo",_xlfn.XLOOKUP(Cotação!A312,T_Fretes[Produto],T_Fretes[Frete GMAP Nova Friburgo]),_xlfn.XLOOKUP(Cotação!A312,T_Custos[Produto],T_Custos[Frete])))),0)+_xlfn.XLOOKUP(A312,T_Custos[Produto],T_Custos[Embalado])+_xlfn.XLOOKUP(Cotação!A312,T_Custos[Produto],T_Custos[Avaria]),"Em falta"))</f>
        <v/>
      </c>
      <c r="E312" s="52" t="str">
        <f t="shared" si="4"/>
        <v/>
      </c>
    </row>
    <row r="313" spans="1:5" x14ac:dyDescent="0.35">
      <c r="A313" s="50"/>
      <c r="B313" s="51"/>
      <c r="C313" s="51"/>
      <c r="D313" s="52" t="str" cm="1">
        <f t="array" ref="D313">IF(A313="","",IFERROR(_xlfn.XLOOKUP(A313,T_Custos[Produto],T_Custos[Custo])*(1+$H$3)+IF($H$4="SIM",IF($H$2="Armazém do Grão",_xlfn.XLOOKUP(Cotação!A313,T_Custos[Produto],T_Fretes[Frete Grão]),IF($H$2="GMAP",_xlfn.XLOOKUP(Cotação!A313,T_Fretes[Produto],T_Fretes[Frete GMAP]),IF($H$2="GMAP Nova Friburgo",_xlfn.XLOOKUP(Cotação!A313,T_Fretes[Produto],T_Fretes[Frete GMAP Nova Friburgo]),_xlfn.XLOOKUP(Cotação!A313,T_Custos[Produto],T_Custos[Frete])))),0)+_xlfn.XLOOKUP(A313,T_Custos[Produto],T_Custos[Embalado])+_xlfn.XLOOKUP(Cotação!A313,T_Custos[Produto],T_Custos[Avaria]),"Em falta"))</f>
        <v/>
      </c>
      <c r="E313" s="52" t="str">
        <f t="shared" si="4"/>
        <v/>
      </c>
    </row>
    <row r="314" spans="1:5" x14ac:dyDescent="0.35">
      <c r="A314" s="53"/>
      <c r="B314" s="51"/>
      <c r="C314" s="51"/>
      <c r="D314" s="52" t="str" cm="1">
        <f t="array" ref="D314">IF(A314="","",IFERROR(_xlfn.XLOOKUP(A314,T_Custos[Produto],T_Custos[Custo])*(1+$H$3)+IF($H$4="SIM",IF($H$2="Armazém do Grão",_xlfn.XLOOKUP(Cotação!A314,T_Custos[Produto],T_Fretes[Frete Grão]),IF($H$2="GMAP",_xlfn.XLOOKUP(Cotação!A314,T_Fretes[Produto],T_Fretes[Frete GMAP]),IF($H$2="GMAP Nova Friburgo",_xlfn.XLOOKUP(Cotação!A314,T_Fretes[Produto],T_Fretes[Frete GMAP Nova Friburgo]),_xlfn.XLOOKUP(Cotação!A314,T_Custos[Produto],T_Custos[Frete])))),0)+_xlfn.XLOOKUP(A314,T_Custos[Produto],T_Custos[Embalado])+_xlfn.XLOOKUP(Cotação!A314,T_Custos[Produto],T_Custos[Avaria]),"Em falta"))</f>
        <v/>
      </c>
      <c r="E314" s="52" t="str">
        <f t="shared" si="4"/>
        <v/>
      </c>
    </row>
    <row r="315" spans="1:5" x14ac:dyDescent="0.35">
      <c r="A315" s="50"/>
      <c r="B315" s="51"/>
      <c r="C315" s="51"/>
      <c r="D315" s="52" t="str" cm="1">
        <f t="array" ref="D315">IF(A315="","",IFERROR(_xlfn.XLOOKUP(A315,T_Custos[Produto],T_Custos[Custo])*(1+$H$3)+IF($H$4="SIM",IF($H$2="Armazém do Grão",_xlfn.XLOOKUP(Cotação!A315,T_Custos[Produto],T_Fretes[Frete Grão]),IF($H$2="GMAP",_xlfn.XLOOKUP(Cotação!A315,T_Fretes[Produto],T_Fretes[Frete GMAP]),IF($H$2="GMAP Nova Friburgo",_xlfn.XLOOKUP(Cotação!A315,T_Fretes[Produto],T_Fretes[Frete GMAP Nova Friburgo]),_xlfn.XLOOKUP(Cotação!A315,T_Custos[Produto],T_Custos[Frete])))),0)+_xlfn.XLOOKUP(A315,T_Custos[Produto],T_Custos[Embalado])+_xlfn.XLOOKUP(Cotação!A315,T_Custos[Produto],T_Custos[Avaria]),"Em falta"))</f>
        <v/>
      </c>
      <c r="E315" s="52" t="str">
        <f t="shared" si="4"/>
        <v/>
      </c>
    </row>
    <row r="316" spans="1:5" x14ac:dyDescent="0.35">
      <c r="A316" s="50"/>
      <c r="B316" s="51"/>
      <c r="C316" s="51"/>
      <c r="D316" s="52" t="str" cm="1">
        <f t="array" ref="D316">IF(A316="","",IFERROR(_xlfn.XLOOKUP(A316,T_Custos[Produto],T_Custos[Custo])*(1+$H$3)+IF($H$4="SIM",IF($H$2="Armazém do Grão",_xlfn.XLOOKUP(Cotação!A316,T_Custos[Produto],T_Fretes[Frete Grão]),IF($H$2="GMAP",_xlfn.XLOOKUP(Cotação!A316,T_Fretes[Produto],T_Fretes[Frete GMAP]),IF($H$2="GMAP Nova Friburgo",_xlfn.XLOOKUP(Cotação!A316,T_Fretes[Produto],T_Fretes[Frete GMAP Nova Friburgo]),_xlfn.XLOOKUP(Cotação!A316,T_Custos[Produto],T_Custos[Frete])))),0)+_xlfn.XLOOKUP(A316,T_Custos[Produto],T_Custos[Embalado])+_xlfn.XLOOKUP(Cotação!A316,T_Custos[Produto],T_Custos[Avaria]),"Em falta"))</f>
        <v/>
      </c>
      <c r="E316" s="52" t="str">
        <f t="shared" si="4"/>
        <v/>
      </c>
    </row>
    <row r="317" spans="1:5" x14ac:dyDescent="0.35">
      <c r="A317" s="50"/>
      <c r="B317" s="51"/>
      <c r="C317" s="51"/>
      <c r="D317" s="52" t="str" cm="1">
        <f t="array" ref="D317">IF(A317="","",IFERROR(_xlfn.XLOOKUP(A317,T_Custos[Produto],T_Custos[Custo])*(1+$H$3)+IF($H$4="SIM",IF($H$2="Armazém do Grão",_xlfn.XLOOKUP(Cotação!A317,T_Custos[Produto],T_Fretes[Frete Grão]),IF($H$2="GMAP",_xlfn.XLOOKUP(Cotação!A317,T_Fretes[Produto],T_Fretes[Frete GMAP]),IF($H$2="GMAP Nova Friburgo",_xlfn.XLOOKUP(Cotação!A317,T_Fretes[Produto],T_Fretes[Frete GMAP Nova Friburgo]),_xlfn.XLOOKUP(Cotação!A317,T_Custos[Produto],T_Custos[Frete])))),0)+_xlfn.XLOOKUP(A317,T_Custos[Produto],T_Custos[Embalado])+_xlfn.XLOOKUP(Cotação!A317,T_Custos[Produto],T_Custos[Avaria]),"Em falta"))</f>
        <v/>
      </c>
      <c r="E317" s="52" t="str">
        <f t="shared" si="4"/>
        <v/>
      </c>
    </row>
    <row r="318" spans="1:5" x14ac:dyDescent="0.35">
      <c r="A318" s="50"/>
      <c r="B318" s="51"/>
      <c r="C318" s="51"/>
      <c r="D318" s="52" t="str" cm="1">
        <f t="array" ref="D318">IF(A318="","",IFERROR(_xlfn.XLOOKUP(A318,T_Custos[Produto],T_Custos[Custo])*(1+$H$3)+IF($H$4="SIM",IF($H$2="Armazém do Grão",_xlfn.XLOOKUP(Cotação!A318,T_Custos[Produto],T_Fretes[Frete Grão]),IF($H$2="GMAP",_xlfn.XLOOKUP(Cotação!A318,T_Fretes[Produto],T_Fretes[Frete GMAP]),IF($H$2="GMAP Nova Friburgo",_xlfn.XLOOKUP(Cotação!A318,T_Fretes[Produto],T_Fretes[Frete GMAP Nova Friburgo]),_xlfn.XLOOKUP(Cotação!A318,T_Custos[Produto],T_Custos[Frete])))),0)+_xlfn.XLOOKUP(A318,T_Custos[Produto],T_Custos[Embalado])+_xlfn.XLOOKUP(Cotação!A318,T_Custos[Produto],T_Custos[Avaria]),"Em falta"))</f>
        <v/>
      </c>
      <c r="E318" s="52" t="str">
        <f t="shared" si="4"/>
        <v/>
      </c>
    </row>
    <row r="319" spans="1:5" x14ac:dyDescent="0.35">
      <c r="A319" s="50"/>
      <c r="B319" s="51"/>
      <c r="C319" s="51"/>
      <c r="D319" s="52" t="str" cm="1">
        <f t="array" ref="D319">IF(A319="","",IFERROR(_xlfn.XLOOKUP(A319,T_Custos[Produto],T_Custos[Custo])*(1+$H$3)+IF($H$4="SIM",IF($H$2="Armazém do Grão",_xlfn.XLOOKUP(Cotação!A319,T_Custos[Produto],T_Fretes[Frete Grão]),IF($H$2="GMAP",_xlfn.XLOOKUP(Cotação!A319,T_Fretes[Produto],T_Fretes[Frete GMAP]),IF($H$2="GMAP Nova Friburgo",_xlfn.XLOOKUP(Cotação!A319,T_Fretes[Produto],T_Fretes[Frete GMAP Nova Friburgo]),_xlfn.XLOOKUP(Cotação!A319,T_Custos[Produto],T_Custos[Frete])))),0)+_xlfn.XLOOKUP(A319,T_Custos[Produto],T_Custos[Embalado])+_xlfn.XLOOKUP(Cotação!A319,T_Custos[Produto],T_Custos[Avaria]),"Em falta"))</f>
        <v/>
      </c>
      <c r="E319" s="52" t="str">
        <f t="shared" si="4"/>
        <v/>
      </c>
    </row>
    <row r="320" spans="1:5" x14ac:dyDescent="0.35">
      <c r="A320" s="50"/>
      <c r="B320" s="51"/>
      <c r="C320" s="51"/>
      <c r="D320" s="52" t="str" cm="1">
        <f t="array" ref="D320">IF(A320="","",IFERROR(_xlfn.XLOOKUP(A320,T_Custos[Produto],T_Custos[Custo])*(1+$H$3)+IF($H$4="SIM",IF($H$2="Armazém do Grão",_xlfn.XLOOKUP(Cotação!A320,T_Custos[Produto],T_Fretes[Frete Grão]),IF($H$2="GMAP",_xlfn.XLOOKUP(Cotação!A320,T_Fretes[Produto],T_Fretes[Frete GMAP]),IF($H$2="GMAP Nova Friburgo",_xlfn.XLOOKUP(Cotação!A320,T_Fretes[Produto],T_Fretes[Frete GMAP Nova Friburgo]),_xlfn.XLOOKUP(Cotação!A320,T_Custos[Produto],T_Custos[Frete])))),0)+_xlfn.XLOOKUP(A320,T_Custos[Produto],T_Custos[Embalado])+_xlfn.XLOOKUP(Cotação!A320,T_Custos[Produto],T_Custos[Avaria]),"Em falta"))</f>
        <v/>
      </c>
      <c r="E320" s="52" t="str">
        <f t="shared" si="4"/>
        <v/>
      </c>
    </row>
    <row r="321" spans="1:5" x14ac:dyDescent="0.35">
      <c r="A321" s="50"/>
      <c r="B321" s="51"/>
      <c r="C321" s="51"/>
      <c r="D321" s="52" t="str" cm="1">
        <f t="array" ref="D321">IF(A321="","",IFERROR(_xlfn.XLOOKUP(A321,T_Custos[Produto],T_Custos[Custo])*(1+$H$3)+IF($H$4="SIM",IF($H$2="Armazém do Grão",_xlfn.XLOOKUP(Cotação!A321,T_Custos[Produto],T_Fretes[Frete Grão]),IF($H$2="GMAP",_xlfn.XLOOKUP(Cotação!A321,T_Fretes[Produto],T_Fretes[Frete GMAP]),IF($H$2="GMAP Nova Friburgo",_xlfn.XLOOKUP(Cotação!A321,T_Fretes[Produto],T_Fretes[Frete GMAP Nova Friburgo]),_xlfn.XLOOKUP(Cotação!A321,T_Custos[Produto],T_Custos[Frete])))),0)+_xlfn.XLOOKUP(A321,T_Custos[Produto],T_Custos[Embalado])+_xlfn.XLOOKUP(Cotação!A321,T_Custos[Produto],T_Custos[Avaria]),"Em falta"))</f>
        <v/>
      </c>
      <c r="E321" s="52" t="str">
        <f t="shared" si="4"/>
        <v/>
      </c>
    </row>
    <row r="322" spans="1:5" x14ac:dyDescent="0.35">
      <c r="A322" s="50"/>
      <c r="B322" s="51"/>
      <c r="C322" s="51"/>
      <c r="D322" s="52" t="str" cm="1">
        <f t="array" ref="D322">IF(A322="","",IFERROR(_xlfn.XLOOKUP(A322,T_Custos[Produto],T_Custos[Custo])*(1+$H$3)+IF($H$4="SIM",IF($H$2="Armazém do Grão",_xlfn.XLOOKUP(Cotação!A322,T_Custos[Produto],T_Fretes[Frete Grão]),IF($H$2="GMAP",_xlfn.XLOOKUP(Cotação!A322,T_Fretes[Produto],T_Fretes[Frete GMAP]),IF($H$2="GMAP Nova Friburgo",_xlfn.XLOOKUP(Cotação!A322,T_Fretes[Produto],T_Fretes[Frete GMAP Nova Friburgo]),_xlfn.XLOOKUP(Cotação!A322,T_Custos[Produto],T_Custos[Frete])))),0)+_xlfn.XLOOKUP(A322,T_Custos[Produto],T_Custos[Embalado])+_xlfn.XLOOKUP(Cotação!A322,T_Custos[Produto],T_Custos[Avaria]),"Em falta"))</f>
        <v/>
      </c>
      <c r="E322" s="52" t="str">
        <f t="shared" si="4"/>
        <v/>
      </c>
    </row>
    <row r="323" spans="1:5" x14ac:dyDescent="0.35">
      <c r="A323" s="50"/>
      <c r="B323" s="51"/>
      <c r="C323" s="51"/>
      <c r="D323" s="52" t="str" cm="1">
        <f t="array" ref="D323">IF(A323="","",IFERROR(_xlfn.XLOOKUP(A323,T_Custos[Produto],T_Custos[Custo])*(1+$H$3)+IF($H$4="SIM",IF($H$2="Armazém do Grão",_xlfn.XLOOKUP(Cotação!A323,T_Custos[Produto],T_Fretes[Frete Grão]),IF($H$2="GMAP",_xlfn.XLOOKUP(Cotação!A323,T_Fretes[Produto],T_Fretes[Frete GMAP]),IF($H$2="GMAP Nova Friburgo",_xlfn.XLOOKUP(Cotação!A323,T_Fretes[Produto],T_Fretes[Frete GMAP Nova Friburgo]),_xlfn.XLOOKUP(Cotação!A323,T_Custos[Produto],T_Custos[Frete])))),0)+_xlfn.XLOOKUP(A323,T_Custos[Produto],T_Custos[Embalado])+_xlfn.XLOOKUP(Cotação!A323,T_Custos[Produto],T_Custos[Avaria]),"Em falta"))</f>
        <v/>
      </c>
      <c r="E323" s="52" t="str">
        <f t="shared" si="4"/>
        <v/>
      </c>
    </row>
    <row r="324" spans="1:5" ht="15.5" x14ac:dyDescent="0.35">
      <c r="A324" s="54"/>
      <c r="B324" s="51"/>
      <c r="C324" s="51"/>
      <c r="D324" s="52" t="str" cm="1">
        <f t="array" ref="D324">IF(A324="","",IFERROR(_xlfn.XLOOKUP(A324,T_Custos[Produto],T_Custos[Custo])*(1+$H$3)+IF($H$4="SIM",IF($H$2="Armazém do Grão",_xlfn.XLOOKUP(Cotação!A324,T_Custos[Produto],T_Fretes[Frete Grão]),IF($H$2="GMAP",_xlfn.XLOOKUP(Cotação!A324,T_Fretes[Produto],T_Fretes[Frete GMAP]),IF($H$2="GMAP Nova Friburgo",_xlfn.XLOOKUP(Cotação!A324,T_Fretes[Produto],T_Fretes[Frete GMAP Nova Friburgo]),_xlfn.XLOOKUP(Cotação!A324,T_Custos[Produto],T_Custos[Frete])))),0)+_xlfn.XLOOKUP(A324,T_Custos[Produto],T_Custos[Embalado])+_xlfn.XLOOKUP(Cotação!A324,T_Custos[Produto],T_Custos[Avaria]),"Em falta"))</f>
        <v/>
      </c>
      <c r="E324" s="52" t="str">
        <f t="shared" si="4"/>
        <v/>
      </c>
    </row>
    <row r="325" spans="1:5" x14ac:dyDescent="0.35">
      <c r="A325" s="50"/>
      <c r="B325" s="51"/>
      <c r="C325" s="51"/>
      <c r="D325" s="52" t="str" cm="1">
        <f t="array" ref="D325">IF(A325="","",IFERROR(_xlfn.XLOOKUP(A325,T_Custos[Produto],T_Custos[Custo])*(1+$H$3)+IF($H$4="SIM",IF($H$2="Armazém do Grão",_xlfn.XLOOKUP(Cotação!A325,T_Custos[Produto],T_Fretes[Frete Grão]),IF($H$2="GMAP",_xlfn.XLOOKUP(Cotação!A325,T_Fretes[Produto],T_Fretes[Frete GMAP]),IF($H$2="GMAP Nova Friburgo",_xlfn.XLOOKUP(Cotação!A325,T_Fretes[Produto],T_Fretes[Frete GMAP Nova Friburgo]),_xlfn.XLOOKUP(Cotação!A325,T_Custos[Produto],T_Custos[Frete])))),0)+_xlfn.XLOOKUP(A325,T_Custos[Produto],T_Custos[Embalado])+_xlfn.XLOOKUP(Cotação!A325,T_Custos[Produto],T_Custos[Avaria]),"Em falta"))</f>
        <v/>
      </c>
      <c r="E325" s="52" t="str">
        <f t="shared" si="4"/>
        <v/>
      </c>
    </row>
    <row r="326" spans="1:5" x14ac:dyDescent="0.35">
      <c r="A326" s="50"/>
      <c r="B326" s="51"/>
      <c r="C326" s="51"/>
      <c r="D326" s="52" t="str" cm="1">
        <f t="array" ref="D326">IF(A326="","",IFERROR(_xlfn.XLOOKUP(A326,T_Custos[Produto],T_Custos[Custo])*(1+$H$3)+IF($H$4="SIM",IF($H$2="Armazém do Grão",_xlfn.XLOOKUP(Cotação!A326,T_Custos[Produto],T_Fretes[Frete Grão]),IF($H$2="GMAP",_xlfn.XLOOKUP(Cotação!A326,T_Fretes[Produto],T_Fretes[Frete GMAP]),IF($H$2="GMAP Nova Friburgo",_xlfn.XLOOKUP(Cotação!A326,T_Fretes[Produto],T_Fretes[Frete GMAP Nova Friburgo]),_xlfn.XLOOKUP(Cotação!A326,T_Custos[Produto],T_Custos[Frete])))),0)+_xlfn.XLOOKUP(A326,T_Custos[Produto],T_Custos[Embalado])+_xlfn.XLOOKUP(Cotação!A326,T_Custos[Produto],T_Custos[Avaria]),"Em falta"))</f>
        <v/>
      </c>
      <c r="E326" s="52" t="str">
        <f t="shared" si="4"/>
        <v/>
      </c>
    </row>
    <row r="327" spans="1:5" x14ac:dyDescent="0.35">
      <c r="A327" s="50"/>
      <c r="B327" s="51"/>
      <c r="C327" s="51"/>
      <c r="D327" s="52" t="str" cm="1">
        <f t="array" ref="D327">IF(A327="","",IFERROR(_xlfn.XLOOKUP(A327,T_Custos[Produto],T_Custos[Custo])*(1+$H$3)+IF($H$4="SIM",IF($H$2="Armazém do Grão",_xlfn.XLOOKUP(Cotação!A327,T_Custos[Produto],T_Fretes[Frete Grão]),IF($H$2="GMAP",_xlfn.XLOOKUP(Cotação!A327,T_Fretes[Produto],T_Fretes[Frete GMAP]),IF($H$2="GMAP Nova Friburgo",_xlfn.XLOOKUP(Cotação!A327,T_Fretes[Produto],T_Fretes[Frete GMAP Nova Friburgo]),_xlfn.XLOOKUP(Cotação!A327,T_Custos[Produto],T_Custos[Frete])))),0)+_xlfn.XLOOKUP(A327,T_Custos[Produto],T_Custos[Embalado])+_xlfn.XLOOKUP(Cotação!A327,T_Custos[Produto],T_Custos[Avaria]),"Em falta"))</f>
        <v/>
      </c>
      <c r="E327" s="52" t="str">
        <f t="shared" si="4"/>
        <v/>
      </c>
    </row>
    <row r="328" spans="1:5" ht="15.5" x14ac:dyDescent="0.35">
      <c r="A328" s="54"/>
      <c r="B328" s="51"/>
      <c r="C328" s="51"/>
      <c r="D328" s="52" t="str" cm="1">
        <f t="array" ref="D328">IF(A328="","",IFERROR(_xlfn.XLOOKUP(A328,T_Custos[Produto],T_Custos[Custo])*(1+$H$3)+IF($H$4="SIM",IF($H$2="Armazém do Grão",_xlfn.XLOOKUP(Cotação!A328,T_Custos[Produto],T_Fretes[Frete Grão]),IF($H$2="GMAP",_xlfn.XLOOKUP(Cotação!A328,T_Fretes[Produto],T_Fretes[Frete GMAP]),IF($H$2="GMAP Nova Friburgo",_xlfn.XLOOKUP(Cotação!A328,T_Fretes[Produto],T_Fretes[Frete GMAP Nova Friburgo]),_xlfn.XLOOKUP(Cotação!A328,T_Custos[Produto],T_Custos[Frete])))),0)+_xlfn.XLOOKUP(A328,T_Custos[Produto],T_Custos[Embalado])+_xlfn.XLOOKUP(Cotação!A328,T_Custos[Produto],T_Custos[Avaria]),"Em falta"))</f>
        <v/>
      </c>
      <c r="E328" s="52" t="str">
        <f t="shared" si="4"/>
        <v/>
      </c>
    </row>
    <row r="329" spans="1:5" x14ac:dyDescent="0.35">
      <c r="D329" s="52" t="str" cm="1">
        <f t="array" ref="D329">IF(A329="","",IFERROR(_xlfn.XLOOKUP(A329,T_Custos[Produto],T_Custos[Custo])*(1+$H$3)+IF($H$4="SIM",IF($H$2="Armazém do Grão",_xlfn.XLOOKUP(Cotação!A329,T_Custos[Produto],T_Fretes[Frete Grão]),IF($H$2="GMAP",_xlfn.XLOOKUP(Cotação!A329,T_Fretes[Produto],T_Fretes[Frete GMAP]),IF($H$2="GMAP Nova Friburgo",_xlfn.XLOOKUP(Cotação!A329,T_Fretes[Produto],T_Fretes[Frete GMAP Nova Friburgo]),_xlfn.XLOOKUP(Cotação!A329,T_Custos[Produto],T_Custos[Frete])))),0)+_xlfn.XLOOKUP(A329,T_Custos[Produto],T_Custos[Embalado])+_xlfn.XLOOKUP(Cotação!A329,T_Custos[Produto],T_Custos[Avaria]),"Em falta"))</f>
        <v/>
      </c>
      <c r="E329" s="52" t="str">
        <f t="shared" ref="E329:E357" si="5">IF(A329="","",IFERROR(D329/B329,"Em falta"))</f>
        <v/>
      </c>
    </row>
    <row r="330" spans="1:5" x14ac:dyDescent="0.35">
      <c r="D330" s="52" t="str" cm="1">
        <f t="array" ref="D330">IF(A330="","",IFERROR(_xlfn.XLOOKUP(A330,T_Custos[Produto],T_Custos[Custo])*(1+$H$3)+IF($H$4="SIM",IF($H$2="Armazém do Grão",_xlfn.XLOOKUP(Cotação!A330,T_Custos[Produto],T_Fretes[Frete Grão]),IF($H$2="GMAP",_xlfn.XLOOKUP(Cotação!A330,T_Fretes[Produto],T_Fretes[Frete GMAP]),IF($H$2="GMAP Nova Friburgo",_xlfn.XLOOKUP(Cotação!A330,T_Fretes[Produto],T_Fretes[Frete GMAP Nova Friburgo]),_xlfn.XLOOKUP(Cotação!A330,T_Custos[Produto],T_Custos[Frete])))),0)+_xlfn.XLOOKUP(A330,T_Custos[Produto],T_Custos[Embalado])+_xlfn.XLOOKUP(Cotação!A330,T_Custos[Produto],T_Custos[Avaria]),"Em falta"))</f>
        <v/>
      </c>
      <c r="E330" s="52" t="str">
        <f t="shared" si="5"/>
        <v/>
      </c>
    </row>
    <row r="331" spans="1:5" x14ac:dyDescent="0.35">
      <c r="D331" s="52" t="str" cm="1">
        <f t="array" ref="D331">IF(A331="","",IFERROR(_xlfn.XLOOKUP(A331,T_Custos[Produto],T_Custos[Custo])*(1+$H$3)+IF($H$4="SIM",IF($H$2="Armazém do Grão",_xlfn.XLOOKUP(Cotação!A331,T_Custos[Produto],T_Fretes[Frete Grão]),IF($H$2="GMAP",_xlfn.XLOOKUP(Cotação!A331,T_Fretes[Produto],T_Fretes[Frete GMAP]),IF($H$2="GMAP Nova Friburgo",_xlfn.XLOOKUP(Cotação!A331,T_Fretes[Produto],T_Fretes[Frete GMAP Nova Friburgo]),_xlfn.XLOOKUP(Cotação!A331,T_Custos[Produto],T_Custos[Frete])))),0)+_xlfn.XLOOKUP(A331,T_Custos[Produto],T_Custos[Embalado])+_xlfn.XLOOKUP(Cotação!A331,T_Custos[Produto],T_Custos[Avaria]),"Em falta"))</f>
        <v/>
      </c>
      <c r="E331" s="52" t="str">
        <f t="shared" si="5"/>
        <v/>
      </c>
    </row>
    <row r="332" spans="1:5" x14ac:dyDescent="0.35">
      <c r="D332" s="52" t="str" cm="1">
        <f t="array" ref="D332">IF(A332="","",IFERROR(_xlfn.XLOOKUP(A332,T_Custos[Produto],T_Custos[Custo])*(1+$H$3)+IF($H$4="SIM",IF($H$2="Armazém do Grão",_xlfn.XLOOKUP(Cotação!A332,T_Custos[Produto],T_Fretes[Frete Grão]),IF($H$2="GMAP",_xlfn.XLOOKUP(Cotação!A332,T_Fretes[Produto],T_Fretes[Frete GMAP]),IF($H$2="GMAP Nova Friburgo",_xlfn.XLOOKUP(Cotação!A332,T_Fretes[Produto],T_Fretes[Frete GMAP Nova Friburgo]),_xlfn.XLOOKUP(Cotação!A332,T_Custos[Produto],T_Custos[Frete])))),0)+_xlfn.XLOOKUP(A332,T_Custos[Produto],T_Custos[Embalado])+_xlfn.XLOOKUP(Cotação!A332,T_Custos[Produto],T_Custos[Avaria]),"Em falta"))</f>
        <v/>
      </c>
      <c r="E332" s="52" t="str">
        <f t="shared" si="5"/>
        <v/>
      </c>
    </row>
    <row r="333" spans="1:5" x14ac:dyDescent="0.35">
      <c r="D333" s="52" t="str" cm="1">
        <f t="array" ref="D333">IF(A333="","",IFERROR(_xlfn.XLOOKUP(A333,T_Custos[Produto],T_Custos[Custo])*(1+$H$3)+IF($H$4="SIM",IF($H$2="Armazém do Grão",_xlfn.XLOOKUP(Cotação!A333,T_Custos[Produto],T_Fretes[Frete Grão]),IF($H$2="GMAP",_xlfn.XLOOKUP(Cotação!A333,T_Fretes[Produto],T_Fretes[Frete GMAP]),IF($H$2="GMAP Nova Friburgo",_xlfn.XLOOKUP(Cotação!A333,T_Fretes[Produto],T_Fretes[Frete GMAP Nova Friburgo]),_xlfn.XLOOKUP(Cotação!A333,T_Custos[Produto],T_Custos[Frete])))),0)+_xlfn.XLOOKUP(A333,T_Custos[Produto],T_Custos[Embalado])+_xlfn.XLOOKUP(Cotação!A333,T_Custos[Produto],T_Custos[Avaria]),"Em falta"))</f>
        <v/>
      </c>
      <c r="E333" s="52" t="str">
        <f t="shared" si="5"/>
        <v/>
      </c>
    </row>
    <row r="334" spans="1:5" x14ac:dyDescent="0.35">
      <c r="D334" s="52" t="str" cm="1">
        <f t="array" ref="D334">IF(A334="","",IFERROR(_xlfn.XLOOKUP(A334,T_Custos[Produto],T_Custos[Custo])*(1+$H$3)+IF($H$4="SIM",IF($H$2="Armazém do Grão",_xlfn.XLOOKUP(Cotação!A334,T_Custos[Produto],T_Fretes[Frete Grão]),IF($H$2="GMAP",_xlfn.XLOOKUP(Cotação!A334,T_Fretes[Produto],T_Fretes[Frete GMAP]),IF($H$2="GMAP Nova Friburgo",_xlfn.XLOOKUP(Cotação!A334,T_Fretes[Produto],T_Fretes[Frete GMAP Nova Friburgo]),_xlfn.XLOOKUP(Cotação!A334,T_Custos[Produto],T_Custos[Frete])))),0)+_xlfn.XLOOKUP(A334,T_Custos[Produto],T_Custos[Embalado])+_xlfn.XLOOKUP(Cotação!A334,T_Custos[Produto],T_Custos[Avaria]),"Em falta"))</f>
        <v/>
      </c>
      <c r="E334" s="52" t="str">
        <f t="shared" si="5"/>
        <v/>
      </c>
    </row>
    <row r="335" spans="1:5" x14ac:dyDescent="0.35">
      <c r="D335" s="52" t="str" cm="1">
        <f t="array" ref="D335">IF(A335="","",IFERROR(_xlfn.XLOOKUP(A335,T_Custos[Produto],T_Custos[Custo])*(1+$H$3)+IF($H$4="SIM",IF($H$2="Armazém do Grão",_xlfn.XLOOKUP(Cotação!A335,T_Custos[Produto],T_Fretes[Frete Grão]),IF($H$2="GMAP",_xlfn.XLOOKUP(Cotação!A335,T_Fretes[Produto],T_Fretes[Frete GMAP]),IF($H$2="GMAP Nova Friburgo",_xlfn.XLOOKUP(Cotação!A335,T_Fretes[Produto],T_Fretes[Frete GMAP Nova Friburgo]),_xlfn.XLOOKUP(Cotação!A335,T_Custos[Produto],T_Custos[Frete])))),0)+_xlfn.XLOOKUP(A335,T_Custos[Produto],T_Custos[Embalado])+_xlfn.XLOOKUP(Cotação!A335,T_Custos[Produto],T_Custos[Avaria]),"Em falta"))</f>
        <v/>
      </c>
      <c r="E335" s="52" t="str">
        <f t="shared" si="5"/>
        <v/>
      </c>
    </row>
    <row r="336" spans="1:5" x14ac:dyDescent="0.35">
      <c r="D336" s="52" t="str" cm="1">
        <f t="array" ref="D336">IF(A336="","",IFERROR(_xlfn.XLOOKUP(A336,T_Custos[Produto],T_Custos[Custo])*(1+$H$3)+IF($H$4="SIM",IF($H$2="Armazém do Grão",_xlfn.XLOOKUP(Cotação!A336,T_Custos[Produto],T_Fretes[Frete Grão]),IF($H$2="GMAP",_xlfn.XLOOKUP(Cotação!A336,T_Fretes[Produto],T_Fretes[Frete GMAP]),IF($H$2="GMAP Nova Friburgo",_xlfn.XLOOKUP(Cotação!A336,T_Fretes[Produto],T_Fretes[Frete GMAP Nova Friburgo]),_xlfn.XLOOKUP(Cotação!A336,T_Custos[Produto],T_Custos[Frete])))),0)+_xlfn.XLOOKUP(A336,T_Custos[Produto],T_Custos[Embalado])+_xlfn.XLOOKUP(Cotação!A336,T_Custos[Produto],T_Custos[Avaria]),"Em falta"))</f>
        <v/>
      </c>
      <c r="E336" s="52" t="str">
        <f t="shared" si="5"/>
        <v/>
      </c>
    </row>
    <row r="337" spans="4:5" x14ac:dyDescent="0.35">
      <c r="D337" s="52" t="str" cm="1">
        <f t="array" ref="D337">IF(A337="","",IFERROR(_xlfn.XLOOKUP(A337,T_Custos[Produto],T_Custos[Custo])*(1+$H$3)+IF($H$4="SIM",IF($H$2="Armazém do Grão",_xlfn.XLOOKUP(Cotação!A337,T_Custos[Produto],T_Fretes[Frete Grão]),IF($H$2="GMAP",_xlfn.XLOOKUP(Cotação!A337,T_Fretes[Produto],T_Fretes[Frete GMAP]),IF($H$2="GMAP Nova Friburgo",_xlfn.XLOOKUP(Cotação!A337,T_Fretes[Produto],T_Fretes[Frete GMAP Nova Friburgo]),_xlfn.XLOOKUP(Cotação!A337,T_Custos[Produto],T_Custos[Frete])))),0)+_xlfn.XLOOKUP(A337,T_Custos[Produto],T_Custos[Embalado])+_xlfn.XLOOKUP(Cotação!A337,T_Custos[Produto],T_Custos[Avaria]),"Em falta"))</f>
        <v/>
      </c>
      <c r="E337" s="52" t="str">
        <f t="shared" si="5"/>
        <v/>
      </c>
    </row>
    <row r="338" spans="4:5" x14ac:dyDescent="0.35">
      <c r="D338" s="52" t="str" cm="1">
        <f t="array" ref="D338">IF(A338="","",IFERROR(_xlfn.XLOOKUP(A338,T_Custos[Produto],T_Custos[Custo])*(1+$H$3)+IF($H$4="SIM",IF($H$2="Armazém do Grão",_xlfn.XLOOKUP(Cotação!A338,T_Custos[Produto],T_Fretes[Frete Grão]),IF($H$2="GMAP",_xlfn.XLOOKUP(Cotação!A338,T_Fretes[Produto],T_Fretes[Frete GMAP]),IF($H$2="GMAP Nova Friburgo",_xlfn.XLOOKUP(Cotação!A338,T_Fretes[Produto],T_Fretes[Frete GMAP Nova Friburgo]),_xlfn.XLOOKUP(Cotação!A338,T_Custos[Produto],T_Custos[Frete])))),0)+_xlfn.XLOOKUP(A338,T_Custos[Produto],T_Custos[Embalado])+_xlfn.XLOOKUP(Cotação!A338,T_Custos[Produto],T_Custos[Avaria]),"Em falta"))</f>
        <v/>
      </c>
      <c r="E338" s="52" t="str">
        <f t="shared" si="5"/>
        <v/>
      </c>
    </row>
    <row r="339" spans="4:5" x14ac:dyDescent="0.35">
      <c r="D339" s="52" t="str" cm="1">
        <f t="array" ref="D339">IF(A339="","",IFERROR(_xlfn.XLOOKUP(A339,T_Custos[Produto],T_Custos[Custo])*(1+$H$3)+IF($H$4="SIM",IF($H$2="Armazém do Grão",_xlfn.XLOOKUP(Cotação!A339,T_Custos[Produto],T_Fretes[Frete Grão]),IF($H$2="GMAP",_xlfn.XLOOKUP(Cotação!A339,T_Fretes[Produto],T_Fretes[Frete GMAP]),IF($H$2="GMAP Nova Friburgo",_xlfn.XLOOKUP(Cotação!A339,T_Fretes[Produto],T_Fretes[Frete GMAP Nova Friburgo]),_xlfn.XLOOKUP(Cotação!A339,T_Custos[Produto],T_Custos[Frete])))),0)+_xlfn.XLOOKUP(A339,T_Custos[Produto],T_Custos[Embalado])+_xlfn.XLOOKUP(Cotação!A339,T_Custos[Produto],T_Custos[Avaria]),"Em falta"))</f>
        <v/>
      </c>
      <c r="E339" s="52" t="str">
        <f t="shared" si="5"/>
        <v/>
      </c>
    </row>
    <row r="340" spans="4:5" x14ac:dyDescent="0.35">
      <c r="D340" s="52" t="str" cm="1">
        <f t="array" ref="D340">IF(A340="","",IFERROR(_xlfn.XLOOKUP(A340,T_Custos[Produto],T_Custos[Custo])*(1+$H$3)+IF($H$4="SIM",IF($H$2="Armazém do Grão",_xlfn.XLOOKUP(Cotação!A340,T_Custos[Produto],T_Fretes[Frete Grão]),IF($H$2="GMAP",_xlfn.XLOOKUP(Cotação!A340,T_Fretes[Produto],T_Fretes[Frete GMAP]),IF($H$2="GMAP Nova Friburgo",_xlfn.XLOOKUP(Cotação!A340,T_Fretes[Produto],T_Fretes[Frete GMAP Nova Friburgo]),_xlfn.XLOOKUP(Cotação!A340,T_Custos[Produto],T_Custos[Frete])))),0)+_xlfn.XLOOKUP(A340,T_Custos[Produto],T_Custos[Embalado])+_xlfn.XLOOKUP(Cotação!A340,T_Custos[Produto],T_Custos[Avaria]),"Em falta"))</f>
        <v/>
      </c>
      <c r="E340" s="52" t="str">
        <f t="shared" si="5"/>
        <v/>
      </c>
    </row>
    <row r="341" spans="4:5" x14ac:dyDescent="0.35">
      <c r="D341" s="52" t="str" cm="1">
        <f t="array" ref="D341">IF(A341="","",IFERROR(_xlfn.XLOOKUP(A341,T_Custos[Produto],T_Custos[Custo])*(1+$H$3)+IF($H$4="SIM",IF($H$2="Armazém do Grão",_xlfn.XLOOKUP(Cotação!A341,T_Custos[Produto],T_Fretes[Frete Grão]),IF($H$2="GMAP",_xlfn.XLOOKUP(Cotação!A341,T_Fretes[Produto],T_Fretes[Frete GMAP]),IF($H$2="GMAP Nova Friburgo",_xlfn.XLOOKUP(Cotação!A341,T_Fretes[Produto],T_Fretes[Frete GMAP Nova Friburgo]),_xlfn.XLOOKUP(Cotação!A341,T_Custos[Produto],T_Custos[Frete])))),0)+_xlfn.XLOOKUP(A341,T_Custos[Produto],T_Custos[Embalado])+_xlfn.XLOOKUP(Cotação!A341,T_Custos[Produto],T_Custos[Avaria]),"Em falta"))</f>
        <v/>
      </c>
      <c r="E341" s="52" t="str">
        <f t="shared" si="5"/>
        <v/>
      </c>
    </row>
    <row r="342" spans="4:5" x14ac:dyDescent="0.35">
      <c r="D342" s="52" t="str" cm="1">
        <f t="array" ref="D342">IF(A342="","",IFERROR(_xlfn.XLOOKUP(A342,T_Custos[Produto],T_Custos[Custo])*(1+$H$3)+IF($H$4="SIM",IF($H$2="Armazém do Grão",_xlfn.XLOOKUP(Cotação!A342,T_Custos[Produto],T_Fretes[Frete Grão]),IF($H$2="GMAP",_xlfn.XLOOKUP(Cotação!A342,T_Fretes[Produto],T_Fretes[Frete GMAP]),IF($H$2="GMAP Nova Friburgo",_xlfn.XLOOKUP(Cotação!A342,T_Fretes[Produto],T_Fretes[Frete GMAP Nova Friburgo]),_xlfn.XLOOKUP(Cotação!A342,T_Custos[Produto],T_Custos[Frete])))),0)+_xlfn.XLOOKUP(A342,T_Custos[Produto],T_Custos[Embalado])+_xlfn.XLOOKUP(Cotação!A342,T_Custos[Produto],T_Custos[Avaria]),"Em falta"))</f>
        <v/>
      </c>
      <c r="E342" s="52" t="str">
        <f t="shared" si="5"/>
        <v/>
      </c>
    </row>
    <row r="343" spans="4:5" x14ac:dyDescent="0.35">
      <c r="D343" s="52" t="str" cm="1">
        <f t="array" ref="D343">IF(A343="","",IFERROR(_xlfn.XLOOKUP(A343,T_Custos[Produto],T_Custos[Custo])*(1+$H$3)+IF($H$4="SIM",IF($H$2="Armazém do Grão",_xlfn.XLOOKUP(Cotação!A343,T_Custos[Produto],T_Fretes[Frete Grão]),IF($H$2="GMAP",_xlfn.XLOOKUP(Cotação!A343,T_Fretes[Produto],T_Fretes[Frete GMAP]),IF($H$2="GMAP Nova Friburgo",_xlfn.XLOOKUP(Cotação!A343,T_Fretes[Produto],T_Fretes[Frete GMAP Nova Friburgo]),_xlfn.XLOOKUP(Cotação!A343,T_Custos[Produto],T_Custos[Frete])))),0)+_xlfn.XLOOKUP(A343,T_Custos[Produto],T_Custos[Embalado])+_xlfn.XLOOKUP(Cotação!A343,T_Custos[Produto],T_Custos[Avaria]),"Em falta"))</f>
        <v/>
      </c>
      <c r="E343" s="52" t="str">
        <f t="shared" si="5"/>
        <v/>
      </c>
    </row>
    <row r="344" spans="4:5" x14ac:dyDescent="0.35">
      <c r="D344" s="52" t="str" cm="1">
        <f t="array" ref="D344">IF(A344="","",IFERROR(_xlfn.XLOOKUP(A344,T_Custos[Produto],T_Custos[Custo])*(1+$H$3)+IF($H$4="SIM",IF($H$2="Armazém do Grão",_xlfn.XLOOKUP(Cotação!A344,T_Custos[Produto],T_Fretes[Frete Grão]),IF($H$2="GMAP",_xlfn.XLOOKUP(Cotação!A344,T_Fretes[Produto],T_Fretes[Frete GMAP]),IF($H$2="GMAP Nova Friburgo",_xlfn.XLOOKUP(Cotação!A344,T_Fretes[Produto],T_Fretes[Frete GMAP Nova Friburgo]),_xlfn.XLOOKUP(Cotação!A344,T_Custos[Produto],T_Custos[Frete])))),0)+_xlfn.XLOOKUP(A344,T_Custos[Produto],T_Custos[Embalado])+_xlfn.XLOOKUP(Cotação!A344,T_Custos[Produto],T_Custos[Avaria]),"Em falta"))</f>
        <v/>
      </c>
      <c r="E344" s="52" t="str">
        <f t="shared" si="5"/>
        <v/>
      </c>
    </row>
    <row r="345" spans="4:5" x14ac:dyDescent="0.35">
      <c r="D345" s="52" t="str" cm="1">
        <f t="array" ref="D345">IF(A345="","",IFERROR(_xlfn.XLOOKUP(A345,T_Custos[Produto],T_Custos[Custo])*(1+$H$3)+IF($H$4="SIM",IF($H$2="Armazém do Grão",_xlfn.XLOOKUP(Cotação!A345,T_Custos[Produto],T_Fretes[Frete Grão]),IF($H$2="GMAP",_xlfn.XLOOKUP(Cotação!A345,T_Fretes[Produto],T_Fretes[Frete GMAP]),IF($H$2="GMAP Nova Friburgo",_xlfn.XLOOKUP(Cotação!A345,T_Fretes[Produto],T_Fretes[Frete GMAP Nova Friburgo]),_xlfn.XLOOKUP(Cotação!A345,T_Custos[Produto],T_Custos[Frete])))),0)+_xlfn.XLOOKUP(A345,T_Custos[Produto],T_Custos[Embalado])+_xlfn.XLOOKUP(Cotação!A345,T_Custos[Produto],T_Custos[Avaria]),"Em falta"))</f>
        <v/>
      </c>
      <c r="E345" s="52" t="str">
        <f t="shared" si="5"/>
        <v/>
      </c>
    </row>
    <row r="346" spans="4:5" x14ac:dyDescent="0.35">
      <c r="D346" s="52" t="str" cm="1">
        <f t="array" ref="D346">IF(A346="","",IFERROR(_xlfn.XLOOKUP(A346,T_Custos[Produto],T_Custos[Custo])*(1+$H$3)+IF($H$4="SIM",IF($H$2="Armazém do Grão",_xlfn.XLOOKUP(Cotação!A346,T_Custos[Produto],T_Fretes[Frete Grão]),IF($H$2="GMAP",_xlfn.XLOOKUP(Cotação!A346,T_Fretes[Produto],T_Fretes[Frete GMAP]),IF($H$2="GMAP Nova Friburgo",_xlfn.XLOOKUP(Cotação!A346,T_Fretes[Produto],T_Fretes[Frete GMAP Nova Friburgo]),_xlfn.XLOOKUP(Cotação!A346,T_Custos[Produto],T_Custos[Frete])))),0)+_xlfn.XLOOKUP(A346,T_Custos[Produto],T_Custos[Embalado])+_xlfn.XLOOKUP(Cotação!A346,T_Custos[Produto],T_Custos[Avaria]),"Em falta"))</f>
        <v/>
      </c>
      <c r="E346" s="52" t="str">
        <f t="shared" si="5"/>
        <v/>
      </c>
    </row>
    <row r="347" spans="4:5" x14ac:dyDescent="0.35">
      <c r="D347" s="52" t="str" cm="1">
        <f t="array" ref="D347">IF(A347="","",IFERROR(_xlfn.XLOOKUP(A347,T_Custos[Produto],T_Custos[Custo])*(1+$H$3)+IF($H$4="SIM",IF($H$2="Armazém do Grão",_xlfn.XLOOKUP(Cotação!A347,T_Custos[Produto],T_Fretes[Frete Grão]),IF($H$2="GMAP",_xlfn.XLOOKUP(Cotação!A347,T_Fretes[Produto],T_Fretes[Frete GMAP]),IF($H$2="GMAP Nova Friburgo",_xlfn.XLOOKUP(Cotação!A347,T_Fretes[Produto],T_Fretes[Frete GMAP Nova Friburgo]),_xlfn.XLOOKUP(Cotação!A347,T_Custos[Produto],T_Custos[Frete])))),0)+_xlfn.XLOOKUP(A347,T_Custos[Produto],T_Custos[Embalado])+_xlfn.XLOOKUP(Cotação!A347,T_Custos[Produto],T_Custos[Avaria]),"Em falta"))</f>
        <v/>
      </c>
      <c r="E347" s="52" t="str">
        <f t="shared" si="5"/>
        <v/>
      </c>
    </row>
    <row r="348" spans="4:5" x14ac:dyDescent="0.35">
      <c r="D348" s="52" t="str" cm="1">
        <f t="array" ref="D348">IF(A348="","",IFERROR(_xlfn.XLOOKUP(A348,T_Custos[Produto],T_Custos[Custo])*(1+$H$3)+IF($H$4="SIM",IF($H$2="Armazém do Grão",_xlfn.XLOOKUP(Cotação!A348,T_Custos[Produto],T_Fretes[Frete Grão]),IF($H$2="GMAP",_xlfn.XLOOKUP(Cotação!A348,T_Fretes[Produto],T_Fretes[Frete GMAP]),IF($H$2="GMAP Nova Friburgo",_xlfn.XLOOKUP(Cotação!A348,T_Fretes[Produto],T_Fretes[Frete GMAP Nova Friburgo]),_xlfn.XLOOKUP(Cotação!A348,T_Custos[Produto],T_Custos[Frete])))),0)+_xlfn.XLOOKUP(A348,T_Custos[Produto],T_Custos[Embalado])+_xlfn.XLOOKUP(Cotação!A348,T_Custos[Produto],T_Custos[Avaria]),"Em falta"))</f>
        <v/>
      </c>
      <c r="E348" s="52" t="str">
        <f t="shared" si="5"/>
        <v/>
      </c>
    </row>
    <row r="349" spans="4:5" x14ac:dyDescent="0.35">
      <c r="D349" s="52" t="str" cm="1">
        <f t="array" ref="D349">IF(A349="","",IFERROR(_xlfn.XLOOKUP(A349,T_Custos[Produto],T_Custos[Custo])*(1+$H$3)+IF($H$4="SIM",IF($H$2="Armazém do Grão",_xlfn.XLOOKUP(Cotação!A349,T_Custos[Produto],T_Fretes[Frete Grão]),IF($H$2="GMAP",_xlfn.XLOOKUP(Cotação!A349,T_Fretes[Produto],T_Fretes[Frete GMAP]),IF($H$2="GMAP Nova Friburgo",_xlfn.XLOOKUP(Cotação!A349,T_Fretes[Produto],T_Fretes[Frete GMAP Nova Friburgo]),_xlfn.XLOOKUP(Cotação!A349,T_Custos[Produto],T_Custos[Frete])))),0)+_xlfn.XLOOKUP(A349,T_Custos[Produto],T_Custos[Embalado])+_xlfn.XLOOKUP(Cotação!A349,T_Custos[Produto],T_Custos[Avaria]),"Em falta"))</f>
        <v/>
      </c>
      <c r="E349" s="52" t="str">
        <f t="shared" si="5"/>
        <v/>
      </c>
    </row>
    <row r="350" spans="4:5" x14ac:dyDescent="0.35">
      <c r="D350" s="52" t="str" cm="1">
        <f t="array" ref="D350">IF(A350="","",IFERROR(_xlfn.XLOOKUP(A350,T_Custos[Produto],T_Custos[Custo])*(1+$H$3)+IF($H$4="SIM",IF($H$2="Armazém do Grão",_xlfn.XLOOKUP(Cotação!A350,T_Custos[Produto],T_Fretes[Frete Grão]),IF($H$2="GMAP",_xlfn.XLOOKUP(Cotação!A350,T_Fretes[Produto],T_Fretes[Frete GMAP]),IF($H$2="GMAP Nova Friburgo",_xlfn.XLOOKUP(Cotação!A350,T_Fretes[Produto],T_Fretes[Frete GMAP Nova Friburgo]),_xlfn.XLOOKUP(Cotação!A350,T_Custos[Produto],T_Custos[Frete])))),0)+_xlfn.XLOOKUP(A350,T_Custos[Produto],T_Custos[Embalado])+_xlfn.XLOOKUP(Cotação!A350,T_Custos[Produto],T_Custos[Avaria]),"Em falta"))</f>
        <v/>
      </c>
      <c r="E350" s="52" t="str">
        <f t="shared" si="5"/>
        <v/>
      </c>
    </row>
    <row r="351" spans="4:5" x14ac:dyDescent="0.35">
      <c r="D351" s="52" t="str" cm="1">
        <f t="array" ref="D351">IF(A351="","",IFERROR(_xlfn.XLOOKUP(A351,T_Custos[Produto],T_Custos[Custo])*(1+$H$3)+IF($H$4="SIM",IF($H$2="Armazém do Grão",_xlfn.XLOOKUP(Cotação!A351,T_Custos[Produto],T_Fretes[Frete Grão]),IF($H$2="GMAP",_xlfn.XLOOKUP(Cotação!A351,T_Fretes[Produto],T_Fretes[Frete GMAP]),IF($H$2="GMAP Nova Friburgo",_xlfn.XLOOKUP(Cotação!A351,T_Fretes[Produto],T_Fretes[Frete GMAP Nova Friburgo]),_xlfn.XLOOKUP(Cotação!A351,T_Custos[Produto],T_Custos[Frete])))),0)+_xlfn.XLOOKUP(A351,T_Custos[Produto],T_Custos[Embalado])+_xlfn.XLOOKUP(Cotação!A351,T_Custos[Produto],T_Custos[Avaria]),"Em falta"))</f>
        <v/>
      </c>
      <c r="E351" s="52" t="str">
        <f t="shared" si="5"/>
        <v/>
      </c>
    </row>
    <row r="352" spans="4:5" x14ac:dyDescent="0.35">
      <c r="D352" s="52" t="str" cm="1">
        <f t="array" ref="D352">IF(A352="","",IFERROR(_xlfn.XLOOKUP(A352,T_Custos[Produto],T_Custos[Custo])*(1+$H$3)+IF($H$4="SIM",IF($H$2="Armazém do Grão",_xlfn.XLOOKUP(Cotação!A352,T_Custos[Produto],T_Fretes[Frete Grão]),IF($H$2="GMAP",_xlfn.XLOOKUP(Cotação!A352,T_Fretes[Produto],T_Fretes[Frete GMAP]),IF($H$2="GMAP Nova Friburgo",_xlfn.XLOOKUP(Cotação!A352,T_Fretes[Produto],T_Fretes[Frete GMAP Nova Friburgo]),_xlfn.XLOOKUP(Cotação!A352,T_Custos[Produto],T_Custos[Frete])))),0)+_xlfn.XLOOKUP(A352,T_Custos[Produto],T_Custos[Embalado])+_xlfn.XLOOKUP(Cotação!A352,T_Custos[Produto],T_Custos[Avaria]),"Em falta"))</f>
        <v/>
      </c>
      <c r="E352" s="52" t="str">
        <f t="shared" si="5"/>
        <v/>
      </c>
    </row>
    <row r="353" spans="4:5" x14ac:dyDescent="0.35">
      <c r="D353" s="52" t="str" cm="1">
        <f t="array" ref="D353">IF(A353="","",IFERROR(_xlfn.XLOOKUP(A353,T_Custos[Produto],T_Custos[Custo])*(1+$H$3)+IF($H$4="SIM",IF($H$2="Armazém do Grão",_xlfn.XLOOKUP(Cotação!A353,T_Custos[Produto],T_Fretes[Frete Grão]),IF($H$2="GMAP",_xlfn.XLOOKUP(Cotação!A353,T_Fretes[Produto],T_Fretes[Frete GMAP]),IF($H$2="GMAP Nova Friburgo",_xlfn.XLOOKUP(Cotação!A353,T_Fretes[Produto],T_Fretes[Frete GMAP Nova Friburgo]),_xlfn.XLOOKUP(Cotação!A353,T_Custos[Produto],T_Custos[Frete])))),0)+_xlfn.XLOOKUP(A353,T_Custos[Produto],T_Custos[Embalado])+_xlfn.XLOOKUP(Cotação!A353,T_Custos[Produto],T_Custos[Avaria]),"Em falta"))</f>
        <v/>
      </c>
      <c r="E353" s="52" t="str">
        <f t="shared" si="5"/>
        <v/>
      </c>
    </row>
    <row r="354" spans="4:5" x14ac:dyDescent="0.35">
      <c r="D354" s="52" t="str" cm="1">
        <f t="array" ref="D354">IF(A354="","",IFERROR(_xlfn.XLOOKUP(A354,T_Custos[Produto],T_Custos[Custo])*(1+$H$3)+IF($H$4="SIM",IF($H$2="Armazém do Grão",_xlfn.XLOOKUP(Cotação!A354,T_Custos[Produto],T_Fretes[Frete Grão]),IF($H$2="GMAP",_xlfn.XLOOKUP(Cotação!A354,T_Fretes[Produto],T_Fretes[Frete GMAP]),IF($H$2="GMAP Nova Friburgo",_xlfn.XLOOKUP(Cotação!A354,T_Fretes[Produto],T_Fretes[Frete GMAP Nova Friburgo]),_xlfn.XLOOKUP(Cotação!A354,T_Custos[Produto],T_Custos[Frete])))),0)+_xlfn.XLOOKUP(A354,T_Custos[Produto],T_Custos[Embalado])+_xlfn.XLOOKUP(Cotação!A354,T_Custos[Produto],T_Custos[Avaria]),"Em falta"))</f>
        <v/>
      </c>
      <c r="E354" s="52" t="str">
        <f t="shared" si="5"/>
        <v/>
      </c>
    </row>
    <row r="355" spans="4:5" x14ac:dyDescent="0.35">
      <c r="D355" s="52" t="str" cm="1">
        <f t="array" ref="D355">IF(A355="","",IFERROR(_xlfn.XLOOKUP(A355,T_Custos[Produto],T_Custos[Custo])*(1+$H$3)+IF($H$4="SIM",IF($H$2="Armazém do Grão",_xlfn.XLOOKUP(Cotação!A355,T_Custos[Produto],T_Fretes[Frete Grão]),IF($H$2="GMAP",_xlfn.XLOOKUP(Cotação!A355,T_Fretes[Produto],T_Fretes[Frete GMAP]),IF($H$2="GMAP Nova Friburgo",_xlfn.XLOOKUP(Cotação!A355,T_Fretes[Produto],T_Fretes[Frete GMAP Nova Friburgo]),_xlfn.XLOOKUP(Cotação!A355,T_Custos[Produto],T_Custos[Frete])))),0)+_xlfn.XLOOKUP(A355,T_Custos[Produto],T_Custos[Embalado])+_xlfn.XLOOKUP(Cotação!A355,T_Custos[Produto],T_Custos[Avaria]),"Em falta"))</f>
        <v/>
      </c>
      <c r="E355" s="52" t="str">
        <f t="shared" si="5"/>
        <v/>
      </c>
    </row>
    <row r="356" spans="4:5" x14ac:dyDescent="0.35">
      <c r="D356" s="52" t="str" cm="1">
        <f t="array" ref="D356">IF(A356="","",IFERROR(_xlfn.XLOOKUP(A356,T_Custos[Produto],T_Custos[Custo])*(1+$H$3)+IF($H$4="SIM",IF($H$2="Armazém do Grão",_xlfn.XLOOKUP(Cotação!A356,T_Custos[Produto],T_Fretes[Frete Grão]),IF($H$2="GMAP",_xlfn.XLOOKUP(Cotação!A356,T_Fretes[Produto],T_Fretes[Frete GMAP]),IF($H$2="GMAP Nova Friburgo",_xlfn.XLOOKUP(Cotação!A356,T_Fretes[Produto],T_Fretes[Frete GMAP Nova Friburgo]),_xlfn.XLOOKUP(Cotação!A356,T_Custos[Produto],T_Custos[Frete])))),0)+_xlfn.XLOOKUP(A356,T_Custos[Produto],T_Custos[Embalado])+_xlfn.XLOOKUP(Cotação!A356,T_Custos[Produto],T_Custos[Avaria]),"Em falta"))</f>
        <v/>
      </c>
      <c r="E356" s="52" t="str">
        <f t="shared" si="5"/>
        <v/>
      </c>
    </row>
    <row r="357" spans="4:5" x14ac:dyDescent="0.35">
      <c r="D357" s="52" t="str" cm="1">
        <f t="array" ref="D357">IF(A357="","",IFERROR(_xlfn.XLOOKUP(A357,T_Custos[Produto],T_Custos[Custo])*(1+$H$3)+IF($H$4="SIM",IF($H$2="Armazém do Grão",_xlfn.XLOOKUP(Cotação!A357,T_Custos[Produto],T_Fretes[Frete Grão]),IF($H$2="GMAP",_xlfn.XLOOKUP(Cotação!A357,T_Fretes[Produto],T_Fretes[Frete GMAP]),IF($H$2="GMAP Nova Friburgo",_xlfn.XLOOKUP(Cotação!A357,T_Fretes[Produto],T_Fretes[Frete GMAP Nova Friburgo]),_xlfn.XLOOKUP(Cotação!A357,T_Custos[Produto],T_Custos[Frete])))),0)+_xlfn.XLOOKUP(A357,T_Custos[Produto],T_Custos[Embalado])+_xlfn.XLOOKUP(Cotação!A357,T_Custos[Produto],T_Custos[Avaria]),"Em falta"))</f>
        <v/>
      </c>
      <c r="E357" s="52" t="str">
        <f t="shared" si="5"/>
        <v/>
      </c>
    </row>
    <row r="358" spans="4:5" x14ac:dyDescent="0.35"/>
    <row r="359" spans="4:5" x14ac:dyDescent="0.35"/>
    <row r="360" spans="4:5" x14ac:dyDescent="0.35"/>
    <row r="361" spans="4:5" x14ac:dyDescent="0.35"/>
    <row r="362" spans="4:5" x14ac:dyDescent="0.35"/>
    <row r="363" spans="4:5" x14ac:dyDescent="0.35"/>
    <row r="364" spans="4:5" x14ac:dyDescent="0.35"/>
    <row r="365" spans="4:5" x14ac:dyDescent="0.35"/>
    <row r="366" spans="4:5" x14ac:dyDescent="0.35"/>
    <row r="367" spans="4:5" x14ac:dyDescent="0.35"/>
    <row r="368" spans="4:5" x14ac:dyDescent="0.35"/>
    <row r="369" x14ac:dyDescent="0.35"/>
    <row r="370" x14ac:dyDescent="0.35"/>
    <row r="371" x14ac:dyDescent="0.35"/>
    <row r="372" x14ac:dyDescent="0.35"/>
    <row r="373" x14ac:dyDescent="0.35"/>
    <row r="374" x14ac:dyDescent="0.35"/>
    <row r="375" x14ac:dyDescent="0.35"/>
    <row r="376" x14ac:dyDescent="0.35"/>
    <row r="377" x14ac:dyDescent="0.35"/>
    <row r="378" x14ac:dyDescent="0.35"/>
    <row r="379" x14ac:dyDescent="0.35"/>
    <row r="380" x14ac:dyDescent="0.35"/>
    <row r="381" x14ac:dyDescent="0.35"/>
    <row r="382" x14ac:dyDescent="0.35"/>
    <row r="383" x14ac:dyDescent="0.35"/>
    <row r="384" x14ac:dyDescent="0.35"/>
    <row r="385" x14ac:dyDescent="0.35"/>
    <row r="386" x14ac:dyDescent="0.35"/>
    <row r="387" x14ac:dyDescent="0.35"/>
    <row r="388" x14ac:dyDescent="0.35"/>
    <row r="389" x14ac:dyDescent="0.35"/>
    <row r="390" x14ac:dyDescent="0.35"/>
    <row r="391" x14ac:dyDescent="0.35"/>
    <row r="392" x14ac:dyDescent="0.35"/>
    <row r="393" x14ac:dyDescent="0.35"/>
    <row r="394" x14ac:dyDescent="0.35"/>
    <row r="395" x14ac:dyDescent="0.35"/>
    <row r="396" x14ac:dyDescent="0.35"/>
    <row r="397" x14ac:dyDescent="0.35"/>
    <row r="398" x14ac:dyDescent="0.35"/>
    <row r="399" x14ac:dyDescent="0.35"/>
    <row r="400" x14ac:dyDescent="0.35"/>
    <row r="401" x14ac:dyDescent="0.35"/>
    <row r="402" x14ac:dyDescent="0.35"/>
    <row r="403" x14ac:dyDescent="0.35"/>
    <row r="404" x14ac:dyDescent="0.35"/>
    <row r="405" x14ac:dyDescent="0.35"/>
    <row r="406" x14ac:dyDescent="0.35"/>
    <row r="407" x14ac:dyDescent="0.35"/>
    <row r="408" x14ac:dyDescent="0.35"/>
    <row r="409" x14ac:dyDescent="0.35"/>
    <row r="410" x14ac:dyDescent="0.35"/>
    <row r="411" x14ac:dyDescent="0.35"/>
    <row r="412" x14ac:dyDescent="0.35"/>
    <row r="413" x14ac:dyDescent="0.35"/>
    <row r="414" x14ac:dyDescent="0.35"/>
    <row r="415" x14ac:dyDescent="0.35"/>
    <row r="416" x14ac:dyDescent="0.35"/>
    <row r="417" x14ac:dyDescent="0.35"/>
    <row r="418" x14ac:dyDescent="0.35"/>
    <row r="419" x14ac:dyDescent="0.35"/>
    <row r="420" x14ac:dyDescent="0.35"/>
    <row r="421" x14ac:dyDescent="0.35"/>
    <row r="422" x14ac:dyDescent="0.35"/>
    <row r="423" x14ac:dyDescent="0.35"/>
    <row r="424" x14ac:dyDescent="0.35"/>
    <row r="425" x14ac:dyDescent="0.35"/>
    <row r="426" x14ac:dyDescent="0.35"/>
    <row r="427" x14ac:dyDescent="0.35"/>
    <row r="428" x14ac:dyDescent="0.35"/>
    <row r="429" x14ac:dyDescent="0.35"/>
    <row r="430" x14ac:dyDescent="0.35"/>
    <row r="431" x14ac:dyDescent="0.35"/>
    <row r="432" x14ac:dyDescent="0.35"/>
    <row r="433" x14ac:dyDescent="0.35"/>
    <row r="434" x14ac:dyDescent="0.35"/>
    <row r="435" x14ac:dyDescent="0.35"/>
    <row r="436" x14ac:dyDescent="0.35"/>
    <row r="437" x14ac:dyDescent="0.35"/>
    <row r="438" x14ac:dyDescent="0.35"/>
    <row r="439" x14ac:dyDescent="0.35"/>
    <row r="440" x14ac:dyDescent="0.35"/>
    <row r="441" x14ac:dyDescent="0.35"/>
    <row r="442" x14ac:dyDescent="0.35"/>
    <row r="443" x14ac:dyDescent="0.35"/>
    <row r="444" x14ac:dyDescent="0.35"/>
    <row r="445" x14ac:dyDescent="0.35"/>
    <row r="446" x14ac:dyDescent="0.35"/>
    <row r="447" x14ac:dyDescent="0.35"/>
    <row r="448" x14ac:dyDescent="0.35"/>
    <row r="449" x14ac:dyDescent="0.35"/>
    <row r="450" x14ac:dyDescent="0.35"/>
    <row r="451" x14ac:dyDescent="0.35"/>
    <row r="452" x14ac:dyDescent="0.35"/>
    <row r="453" x14ac:dyDescent="0.35"/>
    <row r="454" x14ac:dyDescent="0.35"/>
    <row r="455" x14ac:dyDescent="0.35"/>
    <row r="456" x14ac:dyDescent="0.35"/>
    <row r="457" x14ac:dyDescent="0.35"/>
    <row r="458" x14ac:dyDescent="0.35"/>
    <row r="459" x14ac:dyDescent="0.35"/>
    <row r="460" x14ac:dyDescent="0.35"/>
    <row r="461" x14ac:dyDescent="0.35"/>
    <row r="462" x14ac:dyDescent="0.35"/>
    <row r="463" x14ac:dyDescent="0.35"/>
    <row r="464" x14ac:dyDescent="0.35"/>
    <row r="465" x14ac:dyDescent="0.35"/>
    <row r="466" x14ac:dyDescent="0.35"/>
    <row r="467" x14ac:dyDescent="0.35"/>
    <row r="468" x14ac:dyDescent="0.35"/>
    <row r="469" x14ac:dyDescent="0.35"/>
    <row r="470" x14ac:dyDescent="0.35"/>
    <row r="471" x14ac:dyDescent="0.35"/>
    <row r="472" x14ac:dyDescent="0.35"/>
    <row r="473" x14ac:dyDescent="0.35"/>
    <row r="474" x14ac:dyDescent="0.35"/>
    <row r="475" x14ac:dyDescent="0.35"/>
    <row r="476" x14ac:dyDescent="0.35"/>
    <row r="477" x14ac:dyDescent="0.35"/>
    <row r="478" x14ac:dyDescent="0.35"/>
    <row r="479" x14ac:dyDescent="0.35"/>
    <row r="480" x14ac:dyDescent="0.35"/>
    <row r="481" x14ac:dyDescent="0.35"/>
    <row r="482" x14ac:dyDescent="0.35"/>
    <row r="483" x14ac:dyDescent="0.35"/>
    <row r="484" x14ac:dyDescent="0.35"/>
    <row r="485" x14ac:dyDescent="0.35"/>
    <row r="486" x14ac:dyDescent="0.35"/>
    <row r="487" x14ac:dyDescent="0.35"/>
    <row r="488" x14ac:dyDescent="0.35"/>
    <row r="489" x14ac:dyDescent="0.35"/>
    <row r="490" x14ac:dyDescent="0.35"/>
    <row r="491" x14ac:dyDescent="0.35"/>
    <row r="492" x14ac:dyDescent="0.35"/>
    <row r="493" x14ac:dyDescent="0.35"/>
    <row r="494" x14ac:dyDescent="0.35"/>
    <row r="495" x14ac:dyDescent="0.35"/>
    <row r="496" x14ac:dyDescent="0.35"/>
    <row r="497" x14ac:dyDescent="0.35"/>
    <row r="498" x14ac:dyDescent="0.35"/>
    <row r="499" x14ac:dyDescent="0.35"/>
    <row r="500" x14ac:dyDescent="0.35"/>
    <row r="501" x14ac:dyDescent="0.35"/>
    <row r="502" x14ac:dyDescent="0.35"/>
    <row r="503" x14ac:dyDescent="0.35"/>
    <row r="504" x14ac:dyDescent="0.35"/>
    <row r="505" x14ac:dyDescent="0.35"/>
    <row r="506" x14ac:dyDescent="0.35"/>
    <row r="507" x14ac:dyDescent="0.35"/>
    <row r="508" x14ac:dyDescent="0.35"/>
    <row r="509" x14ac:dyDescent="0.35"/>
    <row r="510" x14ac:dyDescent="0.35"/>
    <row r="511" x14ac:dyDescent="0.35"/>
    <row r="512" x14ac:dyDescent="0.35"/>
    <row r="513" x14ac:dyDescent="0.35"/>
    <row r="514" x14ac:dyDescent="0.35"/>
    <row r="515" x14ac:dyDescent="0.35"/>
    <row r="516" x14ac:dyDescent="0.35"/>
    <row r="517" x14ac:dyDescent="0.35"/>
    <row r="518" x14ac:dyDescent="0.35"/>
    <row r="519" x14ac:dyDescent="0.35"/>
    <row r="520" x14ac:dyDescent="0.35"/>
    <row r="521" x14ac:dyDescent="0.35"/>
    <row r="522" x14ac:dyDescent="0.35"/>
    <row r="523" x14ac:dyDescent="0.35"/>
    <row r="524" x14ac:dyDescent="0.35"/>
    <row r="525" x14ac:dyDescent="0.35"/>
    <row r="526" x14ac:dyDescent="0.35"/>
    <row r="527" x14ac:dyDescent="0.35"/>
    <row r="528" x14ac:dyDescent="0.35"/>
    <row r="529" x14ac:dyDescent="0.35"/>
    <row r="530" x14ac:dyDescent="0.35"/>
    <row r="531" x14ac:dyDescent="0.35"/>
    <row r="532" x14ac:dyDescent="0.35"/>
    <row r="533" x14ac:dyDescent="0.35"/>
    <row r="534" x14ac:dyDescent="0.35"/>
    <row r="535" x14ac:dyDescent="0.35"/>
    <row r="536" x14ac:dyDescent="0.35"/>
    <row r="537" x14ac:dyDescent="0.35"/>
    <row r="538" x14ac:dyDescent="0.35"/>
    <row r="539" x14ac:dyDescent="0.35"/>
    <row r="540" x14ac:dyDescent="0.35"/>
    <row r="541" x14ac:dyDescent="0.35"/>
    <row r="542" x14ac:dyDescent="0.35"/>
    <row r="543" x14ac:dyDescent="0.35"/>
    <row r="544" x14ac:dyDescent="0.35"/>
    <row r="545" x14ac:dyDescent="0.35"/>
    <row r="546" x14ac:dyDescent="0.35"/>
    <row r="547" x14ac:dyDescent="0.35"/>
    <row r="548" x14ac:dyDescent="0.35"/>
    <row r="549" x14ac:dyDescent="0.35"/>
    <row r="550" x14ac:dyDescent="0.35"/>
    <row r="551" x14ac:dyDescent="0.35"/>
    <row r="552" x14ac:dyDescent="0.35"/>
    <row r="553" x14ac:dyDescent="0.35"/>
    <row r="554" x14ac:dyDescent="0.35"/>
    <row r="555" x14ac:dyDescent="0.35"/>
    <row r="556" x14ac:dyDescent="0.35"/>
    <row r="557" x14ac:dyDescent="0.35"/>
    <row r="558" x14ac:dyDescent="0.35"/>
    <row r="559" x14ac:dyDescent="0.35"/>
    <row r="560" x14ac:dyDescent="0.35"/>
    <row r="561" x14ac:dyDescent="0.35"/>
    <row r="562" x14ac:dyDescent="0.35"/>
    <row r="563" x14ac:dyDescent="0.35"/>
    <row r="564" x14ac:dyDescent="0.35"/>
    <row r="565" x14ac:dyDescent="0.35"/>
    <row r="566" x14ac:dyDescent="0.35"/>
    <row r="567" x14ac:dyDescent="0.35"/>
    <row r="568" x14ac:dyDescent="0.35"/>
    <row r="569" x14ac:dyDescent="0.35"/>
    <row r="570" x14ac:dyDescent="0.35"/>
    <row r="571" x14ac:dyDescent="0.35"/>
    <row r="572" x14ac:dyDescent="0.35"/>
    <row r="573" x14ac:dyDescent="0.35"/>
    <row r="574" x14ac:dyDescent="0.35"/>
    <row r="575" x14ac:dyDescent="0.35"/>
    <row r="576" x14ac:dyDescent="0.35"/>
    <row r="577" x14ac:dyDescent="0.35"/>
    <row r="578" x14ac:dyDescent="0.35"/>
    <row r="579" x14ac:dyDescent="0.35"/>
    <row r="580" x14ac:dyDescent="0.35"/>
    <row r="581" x14ac:dyDescent="0.35"/>
    <row r="582" x14ac:dyDescent="0.35"/>
    <row r="583" x14ac:dyDescent="0.35"/>
    <row r="584" x14ac:dyDescent="0.35"/>
    <row r="585" x14ac:dyDescent="0.35"/>
    <row r="586" x14ac:dyDescent="0.35"/>
    <row r="587" x14ac:dyDescent="0.35"/>
    <row r="588" x14ac:dyDescent="0.35"/>
    <row r="589" x14ac:dyDescent="0.35"/>
    <row r="590" x14ac:dyDescent="0.35"/>
    <row r="591" x14ac:dyDescent="0.35"/>
    <row r="592" x14ac:dyDescent="0.35"/>
    <row r="593" x14ac:dyDescent="0.35"/>
    <row r="594" x14ac:dyDescent="0.35"/>
    <row r="595" x14ac:dyDescent="0.35"/>
    <row r="596" x14ac:dyDescent="0.35"/>
    <row r="597" x14ac:dyDescent="0.35"/>
    <row r="598" x14ac:dyDescent="0.35"/>
    <row r="599" x14ac:dyDescent="0.35"/>
    <row r="600" x14ac:dyDescent="0.35"/>
    <row r="601" x14ac:dyDescent="0.35"/>
    <row r="602" x14ac:dyDescent="0.35"/>
    <row r="603" x14ac:dyDescent="0.35"/>
    <row r="604" x14ac:dyDescent="0.35"/>
    <row r="605" x14ac:dyDescent="0.35"/>
    <row r="606" x14ac:dyDescent="0.35"/>
    <row r="607" x14ac:dyDescent="0.35"/>
    <row r="608" x14ac:dyDescent="0.35"/>
    <row r="609" x14ac:dyDescent="0.35"/>
    <row r="610" x14ac:dyDescent="0.35"/>
    <row r="611" x14ac:dyDescent="0.35"/>
    <row r="612" x14ac:dyDescent="0.35"/>
    <row r="613" x14ac:dyDescent="0.35"/>
    <row r="614" x14ac:dyDescent="0.35"/>
    <row r="615" x14ac:dyDescent="0.35"/>
    <row r="616" x14ac:dyDescent="0.35"/>
    <row r="617" x14ac:dyDescent="0.35"/>
    <row r="618" x14ac:dyDescent="0.35"/>
    <row r="619" x14ac:dyDescent="0.35"/>
    <row r="620" x14ac:dyDescent="0.35"/>
    <row r="621" x14ac:dyDescent="0.35"/>
    <row r="622" x14ac:dyDescent="0.35"/>
    <row r="623" x14ac:dyDescent="0.35"/>
    <row r="624" x14ac:dyDescent="0.35"/>
    <row r="625" x14ac:dyDescent="0.35"/>
    <row r="626" x14ac:dyDescent="0.35"/>
    <row r="627" x14ac:dyDescent="0.35"/>
    <row r="628" x14ac:dyDescent="0.35"/>
    <row r="629" x14ac:dyDescent="0.35"/>
    <row r="630" x14ac:dyDescent="0.35"/>
    <row r="631" x14ac:dyDescent="0.35"/>
    <row r="632" x14ac:dyDescent="0.35"/>
    <row r="633" x14ac:dyDescent="0.35"/>
    <row r="634" x14ac:dyDescent="0.35"/>
    <row r="635" x14ac:dyDescent="0.35"/>
    <row r="636" x14ac:dyDescent="0.35"/>
    <row r="637" x14ac:dyDescent="0.35"/>
    <row r="638" x14ac:dyDescent="0.35"/>
    <row r="639" x14ac:dyDescent="0.35"/>
    <row r="640" x14ac:dyDescent="0.35"/>
    <row r="641" x14ac:dyDescent="0.35"/>
    <row r="642" x14ac:dyDescent="0.35"/>
    <row r="643" x14ac:dyDescent="0.35"/>
    <row r="644" x14ac:dyDescent="0.35"/>
    <row r="645" x14ac:dyDescent="0.35"/>
    <row r="646" x14ac:dyDescent="0.35"/>
    <row r="647" x14ac:dyDescent="0.35"/>
    <row r="648" x14ac:dyDescent="0.35"/>
    <row r="649" x14ac:dyDescent="0.35"/>
    <row r="650" x14ac:dyDescent="0.35"/>
    <row r="651" x14ac:dyDescent="0.35"/>
    <row r="652" x14ac:dyDescent="0.35"/>
    <row r="653" x14ac:dyDescent="0.35"/>
    <row r="654" x14ac:dyDescent="0.35"/>
    <row r="655" x14ac:dyDescent="0.35"/>
    <row r="656" x14ac:dyDescent="0.35"/>
    <row r="657" x14ac:dyDescent="0.35"/>
    <row r="658" x14ac:dyDescent="0.35"/>
    <row r="659" x14ac:dyDescent="0.35"/>
    <row r="660" x14ac:dyDescent="0.35"/>
    <row r="661" x14ac:dyDescent="0.35"/>
    <row r="662" x14ac:dyDescent="0.35"/>
    <row r="663" x14ac:dyDescent="0.35"/>
    <row r="664" x14ac:dyDescent="0.35"/>
    <row r="665" x14ac:dyDescent="0.35"/>
    <row r="666" x14ac:dyDescent="0.35"/>
    <row r="667" x14ac:dyDescent="0.35"/>
    <row r="668" x14ac:dyDescent="0.35"/>
    <row r="669" x14ac:dyDescent="0.35"/>
    <row r="670" x14ac:dyDescent="0.35"/>
    <row r="671" x14ac:dyDescent="0.35"/>
    <row r="672" x14ac:dyDescent="0.35"/>
    <row r="673" x14ac:dyDescent="0.35"/>
    <row r="674" x14ac:dyDescent="0.35"/>
    <row r="675" x14ac:dyDescent="0.35"/>
    <row r="676" x14ac:dyDescent="0.35"/>
    <row r="677" x14ac:dyDescent="0.35"/>
    <row r="678" x14ac:dyDescent="0.35"/>
    <row r="679" x14ac:dyDescent="0.35"/>
    <row r="680" x14ac:dyDescent="0.35"/>
    <row r="681" x14ac:dyDescent="0.35"/>
    <row r="682" x14ac:dyDescent="0.35"/>
    <row r="683" x14ac:dyDescent="0.35"/>
    <row r="684" x14ac:dyDescent="0.35"/>
    <row r="685" x14ac:dyDescent="0.35"/>
    <row r="686" x14ac:dyDescent="0.35"/>
    <row r="687" x14ac:dyDescent="0.35"/>
    <row r="688" x14ac:dyDescent="0.35"/>
    <row r="689" x14ac:dyDescent="0.35"/>
    <row r="690" x14ac:dyDescent="0.35"/>
    <row r="691" x14ac:dyDescent="0.35"/>
    <row r="692" x14ac:dyDescent="0.35"/>
    <row r="693" x14ac:dyDescent="0.35"/>
    <row r="694" x14ac:dyDescent="0.35"/>
    <row r="695" x14ac:dyDescent="0.35"/>
    <row r="696" x14ac:dyDescent="0.35"/>
    <row r="697" x14ac:dyDescent="0.35"/>
    <row r="698" x14ac:dyDescent="0.35"/>
    <row r="699" x14ac:dyDescent="0.35"/>
    <row r="700" x14ac:dyDescent="0.35"/>
    <row r="701" x14ac:dyDescent="0.35"/>
    <row r="702" x14ac:dyDescent="0.35"/>
    <row r="703" x14ac:dyDescent="0.35"/>
    <row r="704" x14ac:dyDescent="0.35"/>
    <row r="705" x14ac:dyDescent="0.35"/>
    <row r="706" x14ac:dyDescent="0.35"/>
    <row r="707" x14ac:dyDescent="0.35"/>
    <row r="708" x14ac:dyDescent="0.35"/>
    <row r="709" x14ac:dyDescent="0.35"/>
    <row r="710" x14ac:dyDescent="0.35"/>
    <row r="711" x14ac:dyDescent="0.35"/>
    <row r="712" x14ac:dyDescent="0.35"/>
    <row r="713" x14ac:dyDescent="0.35"/>
    <row r="714" x14ac:dyDescent="0.35"/>
    <row r="715" x14ac:dyDescent="0.35"/>
    <row r="716" x14ac:dyDescent="0.35"/>
    <row r="717" x14ac:dyDescent="0.35"/>
    <row r="718" x14ac:dyDescent="0.35"/>
    <row r="719" x14ac:dyDescent="0.35"/>
    <row r="720" x14ac:dyDescent="0.35"/>
    <row r="721" x14ac:dyDescent="0.35"/>
    <row r="722" x14ac:dyDescent="0.35"/>
    <row r="723" x14ac:dyDescent="0.35"/>
    <row r="724" x14ac:dyDescent="0.35"/>
    <row r="725" x14ac:dyDescent="0.35"/>
    <row r="726" x14ac:dyDescent="0.35"/>
    <row r="727" x14ac:dyDescent="0.35"/>
    <row r="728" x14ac:dyDescent="0.35"/>
    <row r="729" x14ac:dyDescent="0.35"/>
    <row r="730" x14ac:dyDescent="0.35"/>
    <row r="731" x14ac:dyDescent="0.35"/>
    <row r="732" x14ac:dyDescent="0.35"/>
    <row r="733" x14ac:dyDescent="0.35"/>
    <row r="734" x14ac:dyDescent="0.35"/>
    <row r="735" x14ac:dyDescent="0.35"/>
    <row r="736" x14ac:dyDescent="0.35"/>
    <row r="737" x14ac:dyDescent="0.35"/>
    <row r="738" x14ac:dyDescent="0.35"/>
    <row r="739" x14ac:dyDescent="0.35"/>
    <row r="740" x14ac:dyDescent="0.35"/>
    <row r="741" x14ac:dyDescent="0.35"/>
    <row r="742" x14ac:dyDescent="0.35"/>
    <row r="743" x14ac:dyDescent="0.35"/>
    <row r="744" x14ac:dyDescent="0.35"/>
    <row r="745" x14ac:dyDescent="0.35"/>
    <row r="746" x14ac:dyDescent="0.35"/>
    <row r="747" x14ac:dyDescent="0.35"/>
    <row r="748" x14ac:dyDescent="0.35"/>
    <row r="749" x14ac:dyDescent="0.35"/>
    <row r="750" x14ac:dyDescent="0.35"/>
    <row r="751" x14ac:dyDescent="0.35"/>
    <row r="752" x14ac:dyDescent="0.35"/>
    <row r="753" x14ac:dyDescent="0.35"/>
    <row r="754" x14ac:dyDescent="0.35"/>
    <row r="755" x14ac:dyDescent="0.35"/>
    <row r="756" x14ac:dyDescent="0.35"/>
    <row r="757" x14ac:dyDescent="0.35"/>
    <row r="758" x14ac:dyDescent="0.35"/>
    <row r="759" x14ac:dyDescent="0.35"/>
    <row r="760" x14ac:dyDescent="0.35"/>
    <row r="761" x14ac:dyDescent="0.35"/>
    <row r="762" x14ac:dyDescent="0.35"/>
    <row r="763" x14ac:dyDescent="0.35"/>
    <row r="764" x14ac:dyDescent="0.35"/>
    <row r="765" x14ac:dyDescent="0.35"/>
    <row r="766" x14ac:dyDescent="0.35"/>
    <row r="767" x14ac:dyDescent="0.35"/>
    <row r="768" x14ac:dyDescent="0.35"/>
    <row r="769" x14ac:dyDescent="0.35"/>
    <row r="770" x14ac:dyDescent="0.35"/>
    <row r="771" x14ac:dyDescent="0.35"/>
    <row r="772" x14ac:dyDescent="0.35"/>
    <row r="773" x14ac:dyDescent="0.35"/>
    <row r="774" x14ac:dyDescent="0.35"/>
    <row r="775" x14ac:dyDescent="0.35"/>
    <row r="776" x14ac:dyDescent="0.35"/>
    <row r="777" x14ac:dyDescent="0.35"/>
    <row r="778" x14ac:dyDescent="0.35"/>
    <row r="779" x14ac:dyDescent="0.35"/>
    <row r="780" x14ac:dyDescent="0.35"/>
    <row r="781" x14ac:dyDescent="0.35"/>
    <row r="782" x14ac:dyDescent="0.35"/>
    <row r="783" x14ac:dyDescent="0.35"/>
    <row r="784" x14ac:dyDescent="0.35"/>
    <row r="785" x14ac:dyDescent="0.35"/>
    <row r="786" x14ac:dyDescent="0.35"/>
    <row r="787" x14ac:dyDescent="0.35"/>
    <row r="788" x14ac:dyDescent="0.35"/>
    <row r="789" x14ac:dyDescent="0.35"/>
    <row r="790" x14ac:dyDescent="0.35"/>
    <row r="791" x14ac:dyDescent="0.35"/>
    <row r="792" x14ac:dyDescent="0.35"/>
    <row r="793" x14ac:dyDescent="0.35"/>
    <row r="794" x14ac:dyDescent="0.35"/>
    <row r="795" x14ac:dyDescent="0.35"/>
    <row r="796" x14ac:dyDescent="0.35"/>
    <row r="797" x14ac:dyDescent="0.35"/>
    <row r="798" x14ac:dyDescent="0.35"/>
    <row r="799" x14ac:dyDescent="0.35"/>
    <row r="800" x14ac:dyDescent="0.35"/>
    <row r="801" x14ac:dyDescent="0.35"/>
    <row r="802" x14ac:dyDescent="0.35"/>
    <row r="803" x14ac:dyDescent="0.35"/>
    <row r="804" x14ac:dyDescent="0.35"/>
    <row r="805" x14ac:dyDescent="0.35"/>
    <row r="806" x14ac:dyDescent="0.35"/>
    <row r="807" x14ac:dyDescent="0.35"/>
    <row r="808" x14ac:dyDescent="0.35"/>
    <row r="809" x14ac:dyDescent="0.35"/>
    <row r="810" x14ac:dyDescent="0.35"/>
    <row r="811" x14ac:dyDescent="0.35"/>
    <row r="812" x14ac:dyDescent="0.35"/>
    <row r="813" x14ac:dyDescent="0.35"/>
    <row r="814" x14ac:dyDescent="0.35"/>
    <row r="815" x14ac:dyDescent="0.35"/>
    <row r="816" x14ac:dyDescent="0.35"/>
    <row r="817" x14ac:dyDescent="0.35"/>
    <row r="818" x14ac:dyDescent="0.35"/>
    <row r="819" x14ac:dyDescent="0.35"/>
    <row r="820" x14ac:dyDescent="0.35"/>
    <row r="821" x14ac:dyDescent="0.35"/>
    <row r="822" x14ac:dyDescent="0.35"/>
    <row r="823" x14ac:dyDescent="0.35"/>
    <row r="824" x14ac:dyDescent="0.35"/>
    <row r="825" x14ac:dyDescent="0.35"/>
    <row r="826" x14ac:dyDescent="0.35"/>
    <row r="827" x14ac:dyDescent="0.35"/>
    <row r="828" x14ac:dyDescent="0.35"/>
    <row r="829" x14ac:dyDescent="0.35"/>
    <row r="830" x14ac:dyDescent="0.35"/>
    <row r="831" x14ac:dyDescent="0.35"/>
    <row r="832" x14ac:dyDescent="0.35"/>
    <row r="833" x14ac:dyDescent="0.35"/>
    <row r="834" x14ac:dyDescent="0.35"/>
    <row r="835" x14ac:dyDescent="0.35"/>
    <row r="836" x14ac:dyDescent="0.35"/>
    <row r="837" x14ac:dyDescent="0.35"/>
    <row r="838" x14ac:dyDescent="0.35"/>
    <row r="839" x14ac:dyDescent="0.35"/>
    <row r="840" x14ac:dyDescent="0.35"/>
    <row r="841" x14ac:dyDescent="0.35"/>
    <row r="842" x14ac:dyDescent="0.35"/>
    <row r="843" x14ac:dyDescent="0.35"/>
    <row r="844" x14ac:dyDescent="0.35"/>
    <row r="845" x14ac:dyDescent="0.35"/>
    <row r="846" x14ac:dyDescent="0.35"/>
    <row r="847" x14ac:dyDescent="0.35"/>
    <row r="848" x14ac:dyDescent="0.35"/>
    <row r="849" x14ac:dyDescent="0.35"/>
    <row r="850" x14ac:dyDescent="0.35"/>
    <row r="851" x14ac:dyDescent="0.35"/>
    <row r="852" x14ac:dyDescent="0.35"/>
    <row r="853" x14ac:dyDescent="0.35"/>
    <row r="854" x14ac:dyDescent="0.35"/>
    <row r="855" x14ac:dyDescent="0.35"/>
    <row r="856" x14ac:dyDescent="0.35"/>
    <row r="857" x14ac:dyDescent="0.35"/>
    <row r="858" x14ac:dyDescent="0.35"/>
    <row r="859" x14ac:dyDescent="0.35"/>
    <row r="860" x14ac:dyDescent="0.35"/>
    <row r="861" x14ac:dyDescent="0.35"/>
    <row r="862" x14ac:dyDescent="0.35"/>
    <row r="863" x14ac:dyDescent="0.35"/>
    <row r="864" x14ac:dyDescent="0.35"/>
    <row r="865" x14ac:dyDescent="0.35"/>
    <row r="866" x14ac:dyDescent="0.35"/>
    <row r="867" x14ac:dyDescent="0.35"/>
    <row r="868" x14ac:dyDescent="0.35"/>
    <row r="869" x14ac:dyDescent="0.35"/>
    <row r="870" x14ac:dyDescent="0.35"/>
    <row r="871" x14ac:dyDescent="0.35"/>
    <row r="872" x14ac:dyDescent="0.35"/>
    <row r="873" x14ac:dyDescent="0.35"/>
    <row r="874" x14ac:dyDescent="0.35"/>
    <row r="875" x14ac:dyDescent="0.35"/>
    <row r="876" x14ac:dyDescent="0.35"/>
    <row r="877" x14ac:dyDescent="0.35"/>
    <row r="878" x14ac:dyDescent="0.35"/>
    <row r="879" x14ac:dyDescent="0.35"/>
    <row r="880" x14ac:dyDescent="0.35"/>
    <row r="881" x14ac:dyDescent="0.35"/>
    <row r="882" x14ac:dyDescent="0.35"/>
    <row r="883" x14ac:dyDescent="0.35"/>
    <row r="884" x14ac:dyDescent="0.35"/>
    <row r="885" x14ac:dyDescent="0.35"/>
    <row r="886" x14ac:dyDescent="0.35"/>
    <row r="887" x14ac:dyDescent="0.35"/>
    <row r="888" x14ac:dyDescent="0.35"/>
    <row r="889" x14ac:dyDescent="0.35"/>
    <row r="890" x14ac:dyDescent="0.35"/>
    <row r="891" x14ac:dyDescent="0.35"/>
  </sheetData>
  <sheetProtection formatColumns="0"/>
  <autoFilter ref="A8:E8" xr:uid="{00000000-0009-0000-0000-000005000000}"/>
  <mergeCells count="1">
    <mergeCell ref="G9:H12"/>
  </mergeCells>
  <conditionalFormatting sqref="A9:E357">
    <cfRule type="expression" dxfId="1" priority="1">
      <formula>AND(MOD(ROW(),2)=0,$A9&lt;&gt;"")</formula>
    </cfRule>
  </conditionalFormatting>
  <pageMargins left="0.51181102362204722" right="0.51181102362204722" top="0.19685039370078741" bottom="0.19685039370078741" header="0.31496062992125984" footer="0.31496062992125984"/>
  <pageSetup paperSize="9" scale="68" fitToHeight="0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93659BE-8C49-4E9B-AA8D-1D93F5CEB190}">
          <x14:formula1>
            <xm:f>Margens!$A$2:$A$202</xm:f>
          </x14:formula1>
          <xm:sqref>H2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66"/>
  </sheetPr>
  <dimension ref="A1:B31"/>
  <sheetViews>
    <sheetView workbookViewId="0">
      <selection activeCell="B26" sqref="B26:B27"/>
    </sheetView>
  </sheetViews>
  <sheetFormatPr defaultRowHeight="14.5" x14ac:dyDescent="0.35"/>
  <cols>
    <col min="1" max="1" width="24.1796875" bestFit="1" customWidth="1"/>
    <col min="2" max="2" width="13.54296875" style="138" bestFit="1" customWidth="1"/>
  </cols>
  <sheetData>
    <row r="1" spans="1:2" x14ac:dyDescent="0.35">
      <c r="A1" t="s">
        <v>556</v>
      </c>
      <c r="B1" s="158" t="s">
        <v>557</v>
      </c>
    </row>
    <row r="2" spans="1:2" x14ac:dyDescent="0.35">
      <c r="A2" s="57" t="s">
        <v>562</v>
      </c>
      <c r="B2" s="159">
        <v>4</v>
      </c>
    </row>
    <row r="3" spans="1:2" x14ac:dyDescent="0.35">
      <c r="A3" s="57" t="s">
        <v>563</v>
      </c>
      <c r="B3" s="159">
        <v>5.2</v>
      </c>
    </row>
    <row r="4" spans="1:2" x14ac:dyDescent="0.35">
      <c r="A4" s="57" t="s">
        <v>564</v>
      </c>
      <c r="B4" s="159">
        <v>6</v>
      </c>
    </row>
    <row r="5" spans="1:2" x14ac:dyDescent="0.35">
      <c r="A5" s="57" t="s">
        <v>561</v>
      </c>
      <c r="B5" s="159">
        <v>25</v>
      </c>
    </row>
    <row r="6" spans="1:2" x14ac:dyDescent="0.35">
      <c r="A6" s="57" t="s">
        <v>565</v>
      </c>
      <c r="B6" s="159">
        <v>6.1</v>
      </c>
    </row>
    <row r="7" spans="1:2" x14ac:dyDescent="0.35">
      <c r="A7" s="57" t="s">
        <v>566</v>
      </c>
      <c r="B7" s="159">
        <v>5.5</v>
      </c>
    </row>
    <row r="8" spans="1:2" x14ac:dyDescent="0.35">
      <c r="A8" s="57" t="s">
        <v>567</v>
      </c>
      <c r="B8" s="159">
        <v>6.5</v>
      </c>
    </row>
    <row r="9" spans="1:2" x14ac:dyDescent="0.35">
      <c r="A9" s="57" t="s">
        <v>568</v>
      </c>
      <c r="B9" s="159">
        <v>8</v>
      </c>
    </row>
    <row r="10" spans="1:2" x14ac:dyDescent="0.35">
      <c r="A10" s="57" t="s">
        <v>569</v>
      </c>
      <c r="B10" s="159">
        <v>14</v>
      </c>
    </row>
    <row r="11" spans="1:2" x14ac:dyDescent="0.35">
      <c r="A11" s="57" t="s">
        <v>570</v>
      </c>
      <c r="B11" s="159">
        <v>7</v>
      </c>
    </row>
    <row r="12" spans="1:2" x14ac:dyDescent="0.35">
      <c r="A12" s="57" t="s">
        <v>571</v>
      </c>
      <c r="B12" s="159">
        <v>16</v>
      </c>
    </row>
    <row r="13" spans="1:2" x14ac:dyDescent="0.35">
      <c r="A13" s="57" t="s">
        <v>572</v>
      </c>
      <c r="B13" s="159">
        <v>9.8000000000000007</v>
      </c>
    </row>
    <row r="14" spans="1:2" x14ac:dyDescent="0.35">
      <c r="A14" s="57" t="s">
        <v>573</v>
      </c>
      <c r="B14" s="159">
        <v>9</v>
      </c>
    </row>
    <row r="15" spans="1:2" x14ac:dyDescent="0.35">
      <c r="A15" s="57" t="s">
        <v>574</v>
      </c>
      <c r="B15" s="159">
        <v>16</v>
      </c>
    </row>
    <row r="16" spans="1:2" x14ac:dyDescent="0.35">
      <c r="A16" s="57" t="s">
        <v>575</v>
      </c>
      <c r="B16" s="159">
        <v>5.8</v>
      </c>
    </row>
    <row r="17" spans="1:2" x14ac:dyDescent="0.35">
      <c r="A17" s="57" t="s">
        <v>576</v>
      </c>
      <c r="B17" s="159">
        <v>30</v>
      </c>
    </row>
    <row r="18" spans="1:2" x14ac:dyDescent="0.35">
      <c r="A18" s="57" t="s">
        <v>577</v>
      </c>
      <c r="B18" s="159">
        <v>15</v>
      </c>
    </row>
    <row r="19" spans="1:2" x14ac:dyDescent="0.35">
      <c r="A19" s="57" t="s">
        <v>578</v>
      </c>
      <c r="B19" s="159">
        <v>7.5</v>
      </c>
    </row>
    <row r="20" spans="1:2" x14ac:dyDescent="0.35">
      <c r="A20" s="57" t="s">
        <v>579</v>
      </c>
      <c r="B20" s="159">
        <v>9</v>
      </c>
    </row>
    <row r="21" spans="1:2" x14ac:dyDescent="0.35">
      <c r="A21" s="57" t="s">
        <v>580</v>
      </c>
      <c r="B21" s="159">
        <v>13</v>
      </c>
    </row>
    <row r="22" spans="1:2" x14ac:dyDescent="0.35">
      <c r="A22" s="57" t="s">
        <v>581</v>
      </c>
      <c r="B22" s="159">
        <v>25</v>
      </c>
    </row>
    <row r="23" spans="1:2" x14ac:dyDescent="0.35">
      <c r="A23" s="57" t="s">
        <v>582</v>
      </c>
      <c r="B23" s="159">
        <v>25</v>
      </c>
    </row>
    <row r="24" spans="1:2" x14ac:dyDescent="0.35">
      <c r="A24" s="57" t="s">
        <v>583</v>
      </c>
      <c r="B24" s="159">
        <v>12</v>
      </c>
    </row>
    <row r="25" spans="1:2" x14ac:dyDescent="0.35">
      <c r="A25" s="57" t="s">
        <v>584</v>
      </c>
      <c r="B25" s="159">
        <v>12</v>
      </c>
    </row>
    <row r="26" spans="1:2" x14ac:dyDescent="0.35">
      <c r="A26" s="57" t="s">
        <v>585</v>
      </c>
      <c r="B26" s="159">
        <v>8.5</v>
      </c>
    </row>
    <row r="27" spans="1:2" x14ac:dyDescent="0.35">
      <c r="A27" s="57" t="s">
        <v>586</v>
      </c>
      <c r="B27" s="159">
        <v>9</v>
      </c>
    </row>
    <row r="28" spans="1:2" x14ac:dyDescent="0.35">
      <c r="A28" s="57" t="s">
        <v>587</v>
      </c>
      <c r="B28" s="159">
        <v>16</v>
      </c>
    </row>
    <row r="29" spans="1:2" x14ac:dyDescent="0.35">
      <c r="A29" s="57" t="s">
        <v>588</v>
      </c>
      <c r="B29" s="159">
        <v>13</v>
      </c>
    </row>
    <row r="30" spans="1:2" x14ac:dyDescent="0.35">
      <c r="A30" s="57" t="s">
        <v>589</v>
      </c>
      <c r="B30" s="159">
        <v>30</v>
      </c>
    </row>
    <row r="31" spans="1:2" x14ac:dyDescent="0.35">
      <c r="A31" s="57" t="s">
        <v>590</v>
      </c>
      <c r="B31" s="160">
        <v>40</v>
      </c>
    </row>
  </sheetData>
  <conditionalFormatting sqref="A2:A31">
    <cfRule type="duplicateValues" dxfId="0" priority="1"/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1</vt:i4>
      </vt:variant>
    </vt:vector>
  </HeadingPairs>
  <TitlesOfParts>
    <vt:vector size="8" baseType="lpstr">
      <vt:lpstr>Custos</vt:lpstr>
      <vt:lpstr>Prod por cliente</vt:lpstr>
      <vt:lpstr>Margens</vt:lpstr>
      <vt:lpstr>Fretes</vt:lpstr>
      <vt:lpstr>Boa Praça</vt:lpstr>
      <vt:lpstr>Cotação</vt:lpstr>
      <vt:lpstr>Assumpnutry</vt:lpstr>
      <vt:lpstr>Cotação!Titulos_de_impressao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Nipo Brasileira CD</dc:creator>
  <cp:lastModifiedBy>Marcos</cp:lastModifiedBy>
  <cp:lastPrinted>2025-04-04T10:39:29Z</cp:lastPrinted>
  <dcterms:created xsi:type="dcterms:W3CDTF">2024-07-30T13:32:00Z</dcterms:created>
  <dcterms:modified xsi:type="dcterms:W3CDTF">2025-04-11T10:18:53Z</dcterms:modified>
</cp:coreProperties>
</file>