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hocal\CFD-TFM Dropbox\pipe10k\"/>
    </mc:Choice>
  </mc:AlternateContent>
  <xr:revisionPtr revIDLastSave="0" documentId="13_ncr:1_{161D1219-D322-4354-B8E5-B3D5EC7231F0}" xr6:coauthVersionLast="36" xr6:coauthVersionMax="36" xr10:uidLastSave="{00000000-0000-0000-0000-000000000000}"/>
  <bookViews>
    <workbookView minimized="1" xWindow="0" yWindow="0" windowWidth="16380" windowHeight="8190" xr2:uid="{00000000-000D-0000-FFFF-FFFF00000000}"/>
  </bookViews>
  <sheets>
    <sheet name="MESH" sheetId="1" r:id="rId1"/>
    <sheet name="SIMULATIONS-ACTUAL" sheetId="6" r:id="rId2"/>
    <sheet name="Hoja3" sheetId="3" r:id="rId3"/>
    <sheet name="SIMULATIONS" sheetId="2" r:id="rId4"/>
    <sheet name="Paper_validation" sheetId="7" r:id="rId5"/>
  </sheets>
  <calcPr calcId="191029" iterateDelta="1E-4"/>
</workbook>
</file>

<file path=xl/calcChain.xml><?xml version="1.0" encoding="utf-8"?>
<calcChain xmlns="http://schemas.openxmlformats.org/spreadsheetml/2006/main">
  <c r="N19" i="1" l="1"/>
  <c r="F42" i="1" l="1"/>
  <c r="N42" i="1" s="1"/>
  <c r="N43" i="1"/>
  <c r="H28" i="1" l="1"/>
  <c r="H27" i="1"/>
  <c r="F50" i="1" l="1"/>
  <c r="C22" i="6" l="1"/>
  <c r="C23" i="6"/>
  <c r="C27" i="6" s="1"/>
  <c r="C28" i="6"/>
  <c r="C29" i="6" l="1"/>
  <c r="C25" i="6"/>
  <c r="D24" i="6"/>
  <c r="D26" i="6" s="1"/>
  <c r="C26" i="6"/>
  <c r="C15" i="6"/>
  <c r="B17" i="7" l="1"/>
  <c r="B18" i="7"/>
  <c r="H18" i="7" s="1"/>
  <c r="B16" i="7"/>
  <c r="H16" i="7" s="1"/>
  <c r="B15" i="7"/>
  <c r="H15" i="7" s="1"/>
  <c r="B14" i="7"/>
  <c r="H14" i="7"/>
  <c r="H17" i="7"/>
  <c r="G7" i="7"/>
  <c r="G6" i="7"/>
  <c r="G5" i="7"/>
  <c r="G4" i="7"/>
  <c r="G3" i="7"/>
  <c r="F3" i="7"/>
  <c r="E3" i="7"/>
  <c r="D3" i="7"/>
  <c r="C16" i="6" l="1"/>
  <c r="B16" i="6"/>
  <c r="B21" i="6" s="1"/>
  <c r="B15" i="6"/>
  <c r="C21" i="6" l="1"/>
  <c r="C20" i="6"/>
  <c r="B20" i="6"/>
  <c r="S60" i="1" l="1"/>
  <c r="T60" i="1" s="1"/>
  <c r="U60" i="1" s="1"/>
  <c r="S57" i="1"/>
  <c r="T57" i="1" s="1"/>
  <c r="U57" i="1" s="1"/>
  <c r="S48" i="1"/>
  <c r="T48" i="1" s="1"/>
  <c r="S63" i="1"/>
  <c r="T63" i="1" s="1"/>
  <c r="U63" i="1" s="1"/>
  <c r="H64" i="1"/>
  <c r="N65" i="1"/>
  <c r="H65" i="1"/>
  <c r="F65" i="1"/>
  <c r="J65" i="1" l="1"/>
  <c r="U48" i="1"/>
  <c r="O24" i="1" l="1"/>
  <c r="F25" i="1"/>
  <c r="M6" i="3"/>
  <c r="N6" i="3" s="1"/>
  <c r="M5" i="3"/>
  <c r="N5" i="3" s="1"/>
  <c r="M4" i="3"/>
  <c r="N4" i="3" s="1"/>
  <c r="M3" i="3"/>
  <c r="N3" i="3" s="1"/>
  <c r="K6" i="3"/>
  <c r="B6" i="3"/>
  <c r="K5" i="3"/>
  <c r="B5" i="3"/>
  <c r="K4" i="3"/>
  <c r="B4" i="3"/>
  <c r="K3" i="3"/>
  <c r="B3" i="3"/>
  <c r="L2" i="3" l="1"/>
  <c r="M2" i="3" s="1"/>
  <c r="N2" i="3" s="1"/>
  <c r="K2" i="3"/>
  <c r="B2" i="3"/>
  <c r="O2" i="3" s="1"/>
  <c r="F55" i="1" l="1"/>
  <c r="H56" i="1"/>
  <c r="F56" i="1"/>
  <c r="N56" i="1" s="1"/>
  <c r="H55" i="1"/>
  <c r="N55" i="1"/>
  <c r="O55" i="1" s="1"/>
  <c r="H59" i="1"/>
  <c r="F59" i="1"/>
  <c r="N59" i="1" s="1"/>
  <c r="H58" i="1"/>
  <c r="F58" i="1"/>
  <c r="N58" i="1" l="1"/>
  <c r="O58" i="1" s="1"/>
  <c r="Q58" i="1"/>
  <c r="F64" i="1"/>
  <c r="J59" i="1"/>
  <c r="J56" i="1"/>
  <c r="J55" i="1"/>
  <c r="K55" i="1" s="1"/>
  <c r="J58" i="1"/>
  <c r="K58" i="1" s="1"/>
  <c r="H62" i="1"/>
  <c r="F61" i="1"/>
  <c r="H61" i="1"/>
  <c r="F62" i="1"/>
  <c r="N62" i="1" s="1"/>
  <c r="F52" i="1"/>
  <c r="N52" i="1" s="1"/>
  <c r="O52" i="1" s="1"/>
  <c r="H53" i="1"/>
  <c r="F53" i="1"/>
  <c r="N53" i="1" s="1"/>
  <c r="H52" i="1"/>
  <c r="J52" i="1" s="1"/>
  <c r="K52" i="1" s="1"/>
  <c r="F49" i="1"/>
  <c r="N61" i="1" l="1"/>
  <c r="O61" i="1" s="1"/>
  <c r="Q61" i="1"/>
  <c r="N49" i="1"/>
  <c r="O49" i="1" s="1"/>
  <c r="Q64" i="1"/>
  <c r="N64" i="1"/>
  <c r="O64" i="1" s="1"/>
  <c r="J64" i="1"/>
  <c r="K64" i="1" s="1"/>
  <c r="T58" i="1"/>
  <c r="U58" i="1"/>
  <c r="S58" i="1"/>
  <c r="R58" i="1"/>
  <c r="J53" i="1"/>
  <c r="J62" i="1"/>
  <c r="J61" i="1"/>
  <c r="K61" i="1" s="1"/>
  <c r="N28" i="1"/>
  <c r="J27" i="1"/>
  <c r="K27" i="1" s="1"/>
  <c r="K29" i="1"/>
  <c r="N27" i="1"/>
  <c r="S64" i="1" l="1"/>
  <c r="T64" i="1"/>
  <c r="R64" i="1"/>
  <c r="U64" i="1"/>
  <c r="T61" i="1"/>
  <c r="U61" i="1"/>
  <c r="R61" i="1"/>
  <c r="S61" i="1"/>
  <c r="J28" i="1"/>
  <c r="K28" i="1" s="1"/>
  <c r="E21" i="2"/>
  <c r="J21" i="2" s="1"/>
  <c r="F20" i="2"/>
  <c r="E20" i="2"/>
  <c r="J20" i="2" s="1"/>
  <c r="F19" i="2"/>
  <c r="E19" i="2"/>
  <c r="J19" i="2" s="1"/>
  <c r="J18" i="2"/>
  <c r="E17" i="2"/>
  <c r="J17" i="2" s="1"/>
  <c r="F15" i="2"/>
  <c r="E15" i="2"/>
  <c r="J15" i="2" s="1"/>
  <c r="F14" i="2"/>
  <c r="E14" i="2"/>
  <c r="J14" i="2" s="1"/>
  <c r="F13" i="2"/>
  <c r="E13" i="2"/>
  <c r="J13" i="2" s="1"/>
  <c r="E12" i="2"/>
  <c r="J12" i="2" s="1"/>
  <c r="E11" i="2"/>
  <c r="J11" i="2" s="1"/>
  <c r="F9" i="2"/>
  <c r="E9" i="2"/>
  <c r="J9" i="2" s="1"/>
  <c r="F8" i="2"/>
  <c r="E8" i="2"/>
  <c r="J8" i="2" s="1"/>
  <c r="F7" i="2"/>
  <c r="E7" i="2"/>
  <c r="J7" i="2" s="1"/>
  <c r="F6" i="2"/>
  <c r="E6" i="2"/>
  <c r="J6" i="2" s="1"/>
  <c r="F5" i="2"/>
  <c r="E5" i="2"/>
  <c r="J5" i="2" s="1"/>
  <c r="F4" i="2"/>
  <c r="E4" i="2"/>
  <c r="J4" i="2" s="1"/>
  <c r="F3" i="2"/>
  <c r="E3" i="2"/>
  <c r="J3" i="2" s="1"/>
  <c r="F2" i="2"/>
  <c r="E2" i="2"/>
  <c r="J2" i="2" s="1"/>
  <c r="F71" i="1"/>
  <c r="H69" i="1"/>
  <c r="H68" i="1"/>
  <c r="H63" i="1"/>
  <c r="J63" i="1" s="1"/>
  <c r="H50" i="1"/>
  <c r="Q49" i="1"/>
  <c r="H49" i="1"/>
  <c r="K48" i="1"/>
  <c r="N46" i="1"/>
  <c r="H46" i="1"/>
  <c r="J46" i="1" s="1"/>
  <c r="K46" i="1" s="1"/>
  <c r="H45" i="1"/>
  <c r="F45" i="1"/>
  <c r="N45" i="1" s="1"/>
  <c r="O45" i="1" s="1"/>
  <c r="H43" i="1"/>
  <c r="J43" i="1" s="1"/>
  <c r="K43" i="1" s="1"/>
  <c r="H42" i="1"/>
  <c r="J42" i="1" s="1"/>
  <c r="K42" i="1" s="1"/>
  <c r="K41" i="1"/>
  <c r="K40" i="1"/>
  <c r="K39" i="1"/>
  <c r="N38" i="1"/>
  <c r="H38" i="1"/>
  <c r="J38" i="1" s="1"/>
  <c r="K38" i="1" s="1"/>
  <c r="N37" i="1"/>
  <c r="H37" i="1"/>
  <c r="J37" i="1" s="1"/>
  <c r="K37" i="1" s="1"/>
  <c r="K36" i="1"/>
  <c r="K35" i="1"/>
  <c r="N34" i="1"/>
  <c r="H34" i="1"/>
  <c r="J34" i="1" s="1"/>
  <c r="K34" i="1" s="1"/>
  <c r="N33" i="1"/>
  <c r="H33" i="1"/>
  <c r="J33" i="1" s="1"/>
  <c r="K33" i="1" s="1"/>
  <c r="K32" i="1"/>
  <c r="N31" i="1"/>
  <c r="H31" i="1"/>
  <c r="J31" i="1" s="1"/>
  <c r="K31" i="1" s="1"/>
  <c r="N30" i="1"/>
  <c r="H30" i="1"/>
  <c r="J30" i="1" s="1"/>
  <c r="K30" i="1" s="1"/>
  <c r="N25" i="1"/>
  <c r="H25" i="1"/>
  <c r="J25" i="1" s="1"/>
  <c r="K25" i="1" s="1"/>
  <c r="H24" i="1"/>
  <c r="N24" i="1"/>
  <c r="N22" i="1"/>
  <c r="H22" i="1"/>
  <c r="J22" i="1" s="1"/>
  <c r="K22" i="1" s="1"/>
  <c r="H21" i="1"/>
  <c r="F21" i="1"/>
  <c r="N21" i="1" s="1"/>
  <c r="K20" i="1"/>
  <c r="H19" i="1"/>
  <c r="J19" i="1" s="1"/>
  <c r="K19" i="1" s="1"/>
  <c r="N18" i="1"/>
  <c r="H18" i="1"/>
  <c r="J18" i="1" s="1"/>
  <c r="K18" i="1" s="1"/>
  <c r="K17" i="1"/>
  <c r="N16" i="1"/>
  <c r="H16" i="1"/>
  <c r="J16" i="1" s="1"/>
  <c r="K16" i="1" s="1"/>
  <c r="H15" i="1"/>
  <c r="F15" i="1"/>
  <c r="N15" i="1" s="1"/>
  <c r="N14" i="1"/>
  <c r="H13" i="1"/>
  <c r="F13" i="1"/>
  <c r="N13" i="1" s="1"/>
  <c r="N12" i="1"/>
  <c r="H12" i="1"/>
  <c r="J12" i="1" s="1"/>
  <c r="K12" i="1" s="1"/>
  <c r="H11" i="1"/>
  <c r="F11" i="1"/>
  <c r="N11" i="1" s="1"/>
  <c r="N10" i="1"/>
  <c r="H10" i="1"/>
  <c r="J10" i="1" s="1"/>
  <c r="K10" i="1" s="1"/>
  <c r="N9" i="1"/>
  <c r="H9" i="1"/>
  <c r="J9" i="1" s="1"/>
  <c r="K9" i="1" s="1"/>
  <c r="N8" i="1"/>
  <c r="H8" i="1"/>
  <c r="J8" i="1" s="1"/>
  <c r="K8" i="1" s="1"/>
  <c r="H7" i="1"/>
  <c r="F7" i="1"/>
  <c r="N7" i="1" s="1"/>
  <c r="N6" i="1"/>
  <c r="H6" i="1"/>
  <c r="J6" i="1" s="1"/>
  <c r="K6" i="1" s="1"/>
  <c r="H5" i="1"/>
  <c r="F5" i="1"/>
  <c r="N5" i="1" s="1"/>
  <c r="H4" i="1"/>
  <c r="F4" i="1"/>
  <c r="N4" i="1" s="1"/>
  <c r="H3" i="1"/>
  <c r="J3" i="1" s="1"/>
  <c r="H2" i="1"/>
  <c r="F2" i="1"/>
  <c r="S49" i="1" l="1"/>
  <c r="T49" i="1"/>
  <c r="R49" i="1"/>
  <c r="U49" i="1"/>
  <c r="N50" i="1"/>
  <c r="J49" i="1"/>
  <c r="K49" i="1" s="1"/>
  <c r="J7" i="1"/>
  <c r="K7" i="1" s="1"/>
  <c r="J11" i="1"/>
  <c r="K11" i="1" s="1"/>
  <c r="J13" i="1"/>
  <c r="K13" i="1" s="1"/>
  <c r="H41" i="1"/>
  <c r="F67" i="1"/>
  <c r="H67" i="1" s="1"/>
  <c r="J4" i="1"/>
  <c r="K4" i="1" s="1"/>
  <c r="J50" i="1"/>
  <c r="J21" i="1"/>
  <c r="K21" i="1" s="1"/>
  <c r="J24" i="1"/>
  <c r="K24" i="1" s="1"/>
  <c r="J2" i="1"/>
  <c r="J15" i="1"/>
  <c r="K15" i="1" s="1"/>
  <c r="J45" i="1"/>
  <c r="K45" i="1" s="1"/>
  <c r="J5" i="1"/>
  <c r="K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Hoyas Calvo</author>
  </authors>
  <commentList>
    <comment ref="D18" authorId="0" shapeId="0" xr:uid="{8FD5E843-BCFD-4AD1-94A0-BC3C68821309}">
      <text>
        <r>
          <rPr>
            <b/>
            <sz val="9"/>
            <color indexed="81"/>
            <rFont val="Tahoma"/>
            <family val="2"/>
          </rPr>
          <t>Sergio Hoyas Calvo:</t>
        </r>
        <r>
          <rPr>
            <sz val="9"/>
            <color indexed="81"/>
            <rFont val="Tahoma"/>
            <family val="2"/>
          </rPr>
          <t xml:space="preserve">
8pi. Espectros. E influencia en la estadísticas
</t>
        </r>
      </text>
    </comment>
    <comment ref="F18" authorId="0" shapeId="0" xr:uid="{DA2E6996-3F71-487B-8EDC-94A3A7C63698}">
      <text>
        <r>
          <rPr>
            <b/>
            <sz val="9"/>
            <color indexed="81"/>
            <rFont val="Tahoma"/>
            <family val="2"/>
          </rPr>
          <t>Sergio Hoyas Calvo:</t>
        </r>
        <r>
          <rPr>
            <sz val="9"/>
            <color indexed="81"/>
            <rFont val="Tahoma"/>
            <family val="2"/>
          </rPr>
          <t xml:space="preserve">
Espacio físico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Hoyas Calvo</author>
  </authors>
  <commentList>
    <comment ref="B2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Sergio Hoyas Calvo:</t>
        </r>
        <r>
          <rPr>
            <sz val="8"/>
            <color indexed="81"/>
            <rFont val="Tahoma"/>
            <family val="2"/>
          </rPr>
          <t xml:space="preserve">
Dias
</t>
        </r>
      </text>
    </comment>
    <comment ref="C20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Sergio Hoyas Calvo:</t>
        </r>
        <r>
          <rPr>
            <sz val="8"/>
            <color indexed="81"/>
            <rFont val="Tahoma"/>
            <family val="2"/>
          </rPr>
          <t xml:space="preserve">
Dias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3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Sergio Hoyas Calvo:
</t>
        </r>
        <r>
          <rPr>
            <sz val="8"/>
            <color rgb="FF000000"/>
            <rFont val="Tahoma"/>
            <family val="2"/>
            <charset val="1"/>
          </rPr>
          <t xml:space="preserve">Second run, with spectra corrected
</t>
        </r>
      </text>
    </comment>
  </commentList>
</comments>
</file>

<file path=xl/sharedStrings.xml><?xml version="1.0" encoding="utf-8"?>
<sst xmlns="http://schemas.openxmlformats.org/spreadsheetml/2006/main" count="394" uniqueCount="131">
  <si>
    <t>Case</t>
  </si>
  <si>
    <t>Lenght/(\pi h)</t>
  </si>
  <si>
    <t>Points
Galerkin</t>
  </si>
  <si>
    <t>Length in +</t>
  </si>
  <si>
    <t>\Delta_{*} 
Physical space</t>
  </si>
  <si>
    <t>\Delta_{*} 
Fourier space</t>
  </si>
  <si>
    <t>Points
Fourier</t>
  </si>
  <si>
    <t>Re</t>
  </si>
  <si>
    <t>Lx</t>
  </si>
  <si>
    <t>nx</t>
  </si>
  <si>
    <t>Lx+</t>
  </si>
  <si>
    <t>Deltaxp</t>
  </si>
  <si>
    <t>lz</t>
  </si>
  <si>
    <t>nz</t>
  </si>
  <si>
    <t>lz+</t>
  </si>
  <si>
    <t>mx</t>
  </si>
  <si>
    <t>SHC</t>
  </si>
  <si>
    <t>VA (First field)</t>
  </si>
  <si>
    <t>SHC, run</t>
  </si>
  <si>
    <t>VA</t>
  </si>
  <si>
    <t>512 Processors.</t>
  </si>
  <si>
    <t>Processors</t>
  </si>
  <si>
    <t>Name</t>
  </si>
  <si>
    <t>First field</t>
  </si>
  <si>
    <t>Last field</t>
  </si>
  <si>
    <t>Reynolds</t>
  </si>
  <si>
    <t>lx/h</t>
  </si>
  <si>
    <t>lz/h</t>
  </si>
  <si>
    <t>v_con</t>
  </si>
  <si>
    <t>T_0</t>
  </si>
  <si>
    <t>T_end</t>
  </si>
  <si>
    <t>Turnovers</t>
  </si>
  <si>
    <t>Running</t>
  </si>
  <si>
    <t>Who?</t>
  </si>
  <si>
    <t>ETA</t>
  </si>
  <si>
    <t>Remarks</t>
  </si>
  <si>
    <t>Cou125.10pix3pi</t>
  </si>
  <si>
    <t>No</t>
  </si>
  <si>
    <t>Cou125.10pi</t>
  </si>
  <si>
    <t>Yes</t>
  </si>
  <si>
    <t>Cou125.20pi</t>
  </si>
  <si>
    <t>Cou125.40pi</t>
  </si>
  <si>
    <t>Cou125.80pi</t>
  </si>
  <si>
    <t>Cou125.z12pi</t>
  </si>
  <si>
    <t>Cou125.z24pi</t>
  </si>
  <si>
    <t>To Do</t>
  </si>
  <si>
    <t>Cou125.160pi</t>
  </si>
  <si>
    <t>Cou180.20pi</t>
  </si>
  <si>
    <t>Cou180.40pi</t>
  </si>
  <si>
    <t>Cou180.80pi</t>
  </si>
  <si>
    <t>Cou180.160pi</t>
  </si>
  <si>
    <t>?</t>
  </si>
  <si>
    <t>Cou250</t>
  </si>
  <si>
    <t>Cou250.z12pi</t>
  </si>
  <si>
    <t>Cou250.40pi</t>
  </si>
  <si>
    <t>september</t>
  </si>
  <si>
    <t>Cou250.160pi</t>
  </si>
  <si>
    <t>Cou550</t>
  </si>
  <si>
    <t>We should run it longer</t>
  </si>
  <si>
    <t>Cou550.40</t>
  </si>
  <si>
    <t>Cou550.80</t>
  </si>
  <si>
    <t>Cou550.160?</t>
  </si>
  <si>
    <t>Procs</t>
  </si>
  <si>
    <t>Starting time</t>
  </si>
  <si>
    <t>my</t>
  </si>
  <si>
    <t>mz</t>
  </si>
  <si>
    <t>Total(AV)</t>
  </si>
  <si>
    <t>Comm</t>
  </si>
  <si>
    <t>T0</t>
  </si>
  <si>
    <t>Tend</t>
  </si>
  <si>
    <t>Average time</t>
  </si>
  <si>
    <t>Simulated</t>
  </si>
  <si>
    <t>Time expected</t>
  </si>
  <si>
    <t>Resources</t>
  </si>
  <si>
    <t>Planes per Processor</t>
  </si>
  <si>
    <t>Cou1000.64pi6pi_04.1001.cf</t>
  </si>
  <si>
    <t>Cou1000.64pi6pi_04.1003.cf</t>
  </si>
  <si>
    <t>Cou1000.64pi6pi_04.1013.cf</t>
  </si>
  <si>
    <t>Cou1000.64pi6pi_04.1018.cf</t>
  </si>
  <si>
    <t>Cou1000.64pi6pi_04.1008.cf</t>
  </si>
  <si>
    <t>Cogemos estadísticas</t>
  </si>
  <si>
    <t>Buffer</t>
  </si>
  <si>
    <t>Re_tau</t>
  </si>
  <si>
    <t>Actual Re_tau</t>
  </si>
  <si>
    <t>Av. Step (clock seconds)</t>
  </si>
  <si>
    <t>Av. Time (code seconds)</t>
  </si>
  <si>
    <t>Ubulk</t>
  </si>
  <si>
    <t>Simulation Time</t>
  </si>
  <si>
    <t>NO</t>
  </si>
  <si>
    <t>where?</t>
  </si>
  <si>
    <t>Supermuc</t>
  </si>
  <si>
    <t>Days to finish</t>
  </si>
  <si>
    <t>Hours consumed</t>
  </si>
  <si>
    <t>Cou2000</t>
  </si>
  <si>
    <t>YES</t>
  </si>
  <si>
    <t>Cou1000.16</t>
  </si>
  <si>
    <t>V0</t>
  </si>
  <si>
    <t>Re_tau_down</t>
  </si>
  <si>
    <t>Re_tau_top</t>
  </si>
  <si>
    <t>Re_tau_suma</t>
  </si>
  <si>
    <t>utau</t>
  </si>
  <si>
    <t>Re_v</t>
  </si>
  <si>
    <t>Spectra</t>
  </si>
  <si>
    <t>Finished?</t>
  </si>
  <si>
    <t>Postprocessed?</t>
  </si>
  <si>
    <t>Problems</t>
  </si>
  <si>
    <t>Mass?</t>
  </si>
  <si>
    <t xml:space="preserve">The spectra is corrupted. </t>
  </si>
  <si>
    <t>0p02</t>
  </si>
  <si>
    <t>flowtroughf</t>
  </si>
  <si>
    <t>Postprocessed</t>
  </si>
  <si>
    <t>Máximo</t>
  </si>
  <si>
    <t>Mases</t>
  </si>
  <si>
    <t>Limite superio</t>
  </si>
  <si>
    <t>mases</t>
  </si>
  <si>
    <t>Length</t>
  </si>
  <si>
    <t>16pi</t>
  </si>
  <si>
    <t>32pi</t>
  </si>
  <si>
    <t>t_0</t>
  </si>
  <si>
    <t>t_end</t>
  </si>
  <si>
    <t>umean</t>
  </si>
  <si>
    <t xml:space="preserve">Hay que correr esta un poco más. </t>
  </si>
  <si>
    <t>Hors total</t>
  </si>
  <si>
    <t>Number of steps</t>
  </si>
  <si>
    <t>Number of fields</t>
  </si>
  <si>
    <t>Steps perfield</t>
  </si>
  <si>
    <t>Total TB</t>
  </si>
  <si>
    <t>Eddy turnover times</t>
  </si>
  <si>
    <t>Total steps (turnover</t>
  </si>
  <si>
    <t>Corren el código por un número inmenso de steps.</t>
  </si>
  <si>
    <t>Total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</si>
</sst>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953735"/>
        <bgColor rgb="FF99336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C0C0C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0" borderId="0" xfId="0" applyFont="1" applyBorder="1"/>
    <xf numFmtId="0" fontId="0" fillId="0" borderId="0" xfId="0" applyFont="1" applyBorder="1"/>
    <xf numFmtId="14" fontId="0" fillId="0" borderId="0" xfId="0" applyNumberFormat="1" applyBorder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 applyAlignment="1">
      <alignment horizontal="right"/>
    </xf>
    <xf numFmtId="0" fontId="0" fillId="0" borderId="0" xfId="0" applyBorder="1"/>
    <xf numFmtId="0" fontId="0" fillId="0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7" borderId="10" xfId="0" applyFill="1" applyBorder="1" applyAlignment="1">
      <alignment horizontal="right"/>
    </xf>
    <xf numFmtId="2" fontId="0" fillId="7" borderId="10" xfId="0" applyNumberFormat="1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44" fontId="0" fillId="7" borderId="10" xfId="1" applyFont="1" applyFill="1" applyBorder="1" applyAlignment="1">
      <alignment horizontal="right"/>
    </xf>
    <xf numFmtId="2" fontId="0" fillId="7" borderId="11" xfId="0" applyNumberFormat="1" applyFill="1" applyBorder="1" applyAlignment="1">
      <alignment horizontal="right"/>
    </xf>
    <xf numFmtId="0" fontId="0" fillId="9" borderId="0" xfId="0" applyFill="1"/>
    <xf numFmtId="2" fontId="0" fillId="9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Fill="1" applyBorder="1"/>
    <xf numFmtId="0" fontId="0" fillId="8" borderId="0" xfId="0" applyFill="1"/>
    <xf numFmtId="0" fontId="0" fillId="10" borderId="0" xfId="0" applyFill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447675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447675</xdr:colOff>
      <xdr:row>50</xdr:row>
      <xdr:rowOff>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75C98012-1584-461F-A586-AA19BFBE54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546"/>
  <sheetViews>
    <sheetView tabSelected="1" zoomScale="190" zoomScaleNormal="190" workbookViewId="0">
      <selection activeCell="A2" sqref="A2:J3"/>
    </sheetView>
  </sheetViews>
  <sheetFormatPr baseColWidth="10" defaultRowHeight="15" x14ac:dyDescent="0.25"/>
  <cols>
    <col min="1" max="1" width="3.140625"/>
    <col min="2" max="2" width="5.42578125"/>
    <col min="3" max="3" width="3"/>
    <col min="4" max="4" width="10.5703125"/>
    <col min="5" max="5" width="3.28515625"/>
    <col min="6" max="6" width="10.5703125"/>
    <col min="7" max="7" width="4.28515625"/>
    <col min="8" max="8" width="10.5703125"/>
    <col min="9" max="9" width="7.28515625"/>
    <col min="10" max="10" width="14.85546875"/>
    <col min="11" max="12" width="14.140625"/>
    <col min="13" max="13" width="3.7109375"/>
    <col min="14" max="15" width="10.5703125"/>
  </cols>
  <sheetData>
    <row r="1" spans="1:15" ht="30" customHeight="1" x14ac:dyDescent="0.25">
      <c r="B1" t="s">
        <v>0</v>
      </c>
      <c r="C1" s="39" t="s">
        <v>1</v>
      </c>
      <c r="D1" s="39"/>
      <c r="E1" s="40" t="s">
        <v>2</v>
      </c>
      <c r="F1" s="40"/>
      <c r="G1" s="39" t="s">
        <v>3</v>
      </c>
      <c r="H1" s="39"/>
      <c r="J1" s="1" t="s">
        <v>4</v>
      </c>
      <c r="K1" s="1" t="s">
        <v>5</v>
      </c>
      <c r="N1" s="40" t="s">
        <v>6</v>
      </c>
      <c r="O1" s="40"/>
    </row>
    <row r="2" spans="1:15" ht="15" customHeight="1" x14ac:dyDescent="0.25">
      <c r="A2" s="2" t="s">
        <v>7</v>
      </c>
      <c r="B2" s="2">
        <v>2000</v>
      </c>
      <c r="C2" s="2" t="s">
        <v>8</v>
      </c>
      <c r="D2" s="2">
        <v>8</v>
      </c>
      <c r="E2" s="2" t="s">
        <v>9</v>
      </c>
      <c r="F2" s="2">
        <f>2048*3</f>
        <v>6144</v>
      </c>
      <c r="G2" s="2" t="s">
        <v>10</v>
      </c>
      <c r="H2" s="2">
        <f>D2*3.1416*B$2</f>
        <v>50265.599999999999</v>
      </c>
      <c r="I2" s="2" t="s">
        <v>11</v>
      </c>
      <c r="J2" s="2">
        <f t="shared" ref="J2:J13" si="0">H2/F2</f>
        <v>8.1812500000000004</v>
      </c>
    </row>
    <row r="3" spans="1:15" ht="15" customHeight="1" x14ac:dyDescent="0.25">
      <c r="A3" s="2"/>
      <c r="B3" s="2"/>
      <c r="C3" s="2" t="s">
        <v>12</v>
      </c>
      <c r="D3" s="2">
        <v>3</v>
      </c>
      <c r="E3" s="2" t="s">
        <v>13</v>
      </c>
      <c r="F3" s="2">
        <v>4608</v>
      </c>
      <c r="G3" s="2" t="s">
        <v>14</v>
      </c>
      <c r="H3" s="2">
        <f>D3*3.1416*B$2</f>
        <v>18849.599999999999</v>
      </c>
      <c r="I3" s="2"/>
      <c r="J3" s="2">
        <f t="shared" si="0"/>
        <v>4.0906249999999993</v>
      </c>
    </row>
    <row r="4" spans="1:15" ht="15" customHeight="1" x14ac:dyDescent="0.25">
      <c r="B4">
        <v>40</v>
      </c>
      <c r="C4" t="s">
        <v>8</v>
      </c>
      <c r="D4" s="3">
        <v>20</v>
      </c>
      <c r="E4" t="s">
        <v>9</v>
      </c>
      <c r="F4">
        <f>32*9</f>
        <v>288</v>
      </c>
      <c r="G4" t="s">
        <v>10</v>
      </c>
      <c r="H4">
        <f>D4*3.1416*B4</f>
        <v>2513.2800000000002</v>
      </c>
      <c r="I4" t="s">
        <v>11</v>
      </c>
      <c r="J4">
        <f t="shared" si="0"/>
        <v>8.7266666666666666</v>
      </c>
      <c r="K4">
        <f t="shared" ref="K4:K13" si="1">J4*3/2</f>
        <v>13.09</v>
      </c>
      <c r="M4" t="s">
        <v>15</v>
      </c>
      <c r="N4">
        <f>F4/3*2</f>
        <v>192</v>
      </c>
    </row>
    <row r="5" spans="1:15" ht="15" customHeight="1" x14ac:dyDescent="0.25">
      <c r="C5" t="s">
        <v>12</v>
      </c>
      <c r="D5" s="3">
        <v>6</v>
      </c>
      <c r="E5" t="s">
        <v>13</v>
      </c>
      <c r="F5">
        <f>8*27</f>
        <v>216</v>
      </c>
      <c r="G5" t="s">
        <v>14</v>
      </c>
      <c r="H5">
        <f>D5*3.1416*B4</f>
        <v>753.98399999999992</v>
      </c>
      <c r="J5">
        <f t="shared" si="0"/>
        <v>3.4906666666666664</v>
      </c>
      <c r="K5">
        <f t="shared" si="1"/>
        <v>5.2359999999999998</v>
      </c>
      <c r="L5" t="s">
        <v>16</v>
      </c>
      <c r="N5">
        <f>(2*F5)/3-1</f>
        <v>143</v>
      </c>
    </row>
    <row r="6" spans="1:15" ht="15" customHeight="1" x14ac:dyDescent="0.25">
      <c r="B6">
        <v>126</v>
      </c>
      <c r="C6" t="s">
        <v>8</v>
      </c>
      <c r="D6" s="3">
        <v>10</v>
      </c>
      <c r="E6" t="s">
        <v>9</v>
      </c>
      <c r="F6">
        <v>432</v>
      </c>
      <c r="G6" t="s">
        <v>10</v>
      </c>
      <c r="H6">
        <f>D6*3.1416*B6</f>
        <v>3958.4160000000002</v>
      </c>
      <c r="I6" t="s">
        <v>11</v>
      </c>
      <c r="J6">
        <f t="shared" si="0"/>
        <v>9.1630000000000003</v>
      </c>
      <c r="K6">
        <f t="shared" si="1"/>
        <v>13.7445</v>
      </c>
      <c r="M6" t="s">
        <v>15</v>
      </c>
      <c r="N6">
        <f>F6/3*2</f>
        <v>288</v>
      </c>
    </row>
    <row r="7" spans="1:15" ht="15" customHeight="1" x14ac:dyDescent="0.25">
      <c r="C7" t="s">
        <v>12</v>
      </c>
      <c r="D7" s="3">
        <v>3</v>
      </c>
      <c r="E7" t="s">
        <v>13</v>
      </c>
      <c r="F7">
        <f>576/2</f>
        <v>288</v>
      </c>
      <c r="G7" t="s">
        <v>14</v>
      </c>
      <c r="H7">
        <f>D7*3.1416*B6</f>
        <v>1187.5247999999999</v>
      </c>
      <c r="J7">
        <f t="shared" si="0"/>
        <v>4.1233499999999994</v>
      </c>
      <c r="K7">
        <f t="shared" si="1"/>
        <v>6.1850249999999996</v>
      </c>
      <c r="L7" t="s">
        <v>16</v>
      </c>
      <c r="N7">
        <f>(2*F7)/3-1</f>
        <v>191</v>
      </c>
    </row>
    <row r="8" spans="1:15" ht="15" customHeight="1" x14ac:dyDescent="0.25">
      <c r="B8">
        <v>126</v>
      </c>
      <c r="C8" t="s">
        <v>8</v>
      </c>
      <c r="D8" s="3">
        <v>20</v>
      </c>
      <c r="E8" t="s">
        <v>9</v>
      </c>
      <c r="F8">
        <v>864</v>
      </c>
      <c r="G8" t="s">
        <v>10</v>
      </c>
      <c r="H8" s="4">
        <f>D8*3.1416*B8</f>
        <v>7916.8320000000003</v>
      </c>
      <c r="I8" t="s">
        <v>11</v>
      </c>
      <c r="J8" s="4">
        <f t="shared" si="0"/>
        <v>9.1630000000000003</v>
      </c>
      <c r="K8" s="4">
        <f t="shared" si="1"/>
        <v>13.7445</v>
      </c>
      <c r="M8" t="s">
        <v>15</v>
      </c>
      <c r="N8" s="4">
        <f>F8/3*2</f>
        <v>576</v>
      </c>
    </row>
    <row r="9" spans="1:15" ht="15" customHeight="1" x14ac:dyDescent="0.25">
      <c r="C9" t="s">
        <v>12</v>
      </c>
      <c r="D9" s="3">
        <v>6</v>
      </c>
      <c r="E9" t="s">
        <v>13</v>
      </c>
      <c r="F9">
        <v>576</v>
      </c>
      <c r="G9" t="s">
        <v>14</v>
      </c>
      <c r="H9" s="4">
        <f>D9*3.1416*B8</f>
        <v>2375.0495999999998</v>
      </c>
      <c r="J9" s="4">
        <f t="shared" si="0"/>
        <v>4.1233499999999994</v>
      </c>
      <c r="K9" s="4">
        <f t="shared" si="1"/>
        <v>6.1850249999999996</v>
      </c>
      <c r="L9" t="s">
        <v>16</v>
      </c>
      <c r="N9" s="4">
        <f>(2*F9)/3-1</f>
        <v>383</v>
      </c>
    </row>
    <row r="10" spans="1:15" ht="15" customHeight="1" x14ac:dyDescent="0.25">
      <c r="B10">
        <v>126</v>
      </c>
      <c r="C10" t="s">
        <v>8</v>
      </c>
      <c r="D10" s="3">
        <v>20</v>
      </c>
      <c r="E10" t="s">
        <v>9</v>
      </c>
      <c r="F10">
        <v>864</v>
      </c>
      <c r="G10" t="s">
        <v>10</v>
      </c>
      <c r="H10" s="4" t="e">
        <f>D10*3.1416*#REF!</f>
        <v>#REF!</v>
      </c>
      <c r="I10" t="s">
        <v>11</v>
      </c>
      <c r="J10" s="4" t="e">
        <f t="shared" si="0"/>
        <v>#REF!</v>
      </c>
      <c r="K10" s="4" t="e">
        <f t="shared" si="1"/>
        <v>#REF!</v>
      </c>
      <c r="M10" t="s">
        <v>15</v>
      </c>
      <c r="N10" s="4">
        <f>F10/3*2</f>
        <v>576</v>
      </c>
    </row>
    <row r="11" spans="1:15" ht="15" customHeight="1" x14ac:dyDescent="0.25">
      <c r="C11" t="s">
        <v>12</v>
      </c>
      <c r="D11" s="3">
        <v>12</v>
      </c>
      <c r="E11" t="s">
        <v>13</v>
      </c>
      <c r="F11" s="4">
        <f>2*576</f>
        <v>1152</v>
      </c>
      <c r="G11" t="s">
        <v>14</v>
      </c>
      <c r="H11" s="4" t="e">
        <f>D11*3.1416*#REF!</f>
        <v>#REF!</v>
      </c>
      <c r="J11" s="4" t="e">
        <f t="shared" si="0"/>
        <v>#REF!</v>
      </c>
      <c r="K11" s="4" t="e">
        <f t="shared" si="1"/>
        <v>#REF!</v>
      </c>
      <c r="L11" t="s">
        <v>16</v>
      </c>
      <c r="N11" s="4">
        <f>(2*F11)/3-1</f>
        <v>767</v>
      </c>
    </row>
    <row r="12" spans="1:15" ht="15" customHeight="1" x14ac:dyDescent="0.25">
      <c r="B12">
        <v>126</v>
      </c>
      <c r="C12" t="s">
        <v>8</v>
      </c>
      <c r="D12" s="3">
        <v>20</v>
      </c>
      <c r="E12" t="s">
        <v>9</v>
      </c>
      <c r="F12">
        <v>864</v>
      </c>
      <c r="G12" t="s">
        <v>10</v>
      </c>
      <c r="H12" s="4" t="e">
        <f>D12*3.1416*#REF!</f>
        <v>#REF!</v>
      </c>
      <c r="I12" t="s">
        <v>11</v>
      </c>
      <c r="J12" s="4" t="e">
        <f t="shared" si="0"/>
        <v>#REF!</v>
      </c>
      <c r="K12" s="4" t="e">
        <f t="shared" si="1"/>
        <v>#REF!</v>
      </c>
      <c r="M12" t="s">
        <v>15</v>
      </c>
      <c r="N12" s="4">
        <f>F12/3*2</f>
        <v>576</v>
      </c>
    </row>
    <row r="13" spans="1:15" ht="15" customHeight="1" x14ac:dyDescent="0.25">
      <c r="C13" t="s">
        <v>12</v>
      </c>
      <c r="D13" s="3">
        <v>24</v>
      </c>
      <c r="E13" t="s">
        <v>13</v>
      </c>
      <c r="F13" s="4">
        <f>4*576</f>
        <v>2304</v>
      </c>
      <c r="G13" t="s">
        <v>14</v>
      </c>
      <c r="H13" s="4" t="e">
        <f>D13*3.1416*#REF!</f>
        <v>#REF!</v>
      </c>
      <c r="J13" s="4" t="e">
        <f t="shared" si="0"/>
        <v>#REF!</v>
      </c>
      <c r="K13" s="4" t="e">
        <f t="shared" si="1"/>
        <v>#REF!</v>
      </c>
      <c r="L13" t="s">
        <v>16</v>
      </c>
      <c r="N13" s="4">
        <f>(2*F13)/3-1</f>
        <v>1535</v>
      </c>
    </row>
    <row r="14" spans="1:15" ht="15" customHeight="1" x14ac:dyDescent="0.25">
      <c r="D14" s="3"/>
      <c r="N14" s="4">
        <f>F14/3*2</f>
        <v>0</v>
      </c>
    </row>
    <row r="15" spans="1:15" ht="15" customHeight="1" x14ac:dyDescent="0.25">
      <c r="B15">
        <v>126</v>
      </c>
      <c r="C15" t="s">
        <v>8</v>
      </c>
      <c r="D15" s="3">
        <v>80</v>
      </c>
      <c r="E15" t="s">
        <v>9</v>
      </c>
      <c r="F15" s="4">
        <f>4*864</f>
        <v>3456</v>
      </c>
      <c r="G15" t="s">
        <v>10</v>
      </c>
      <c r="H15" s="4">
        <f>D15*3.1416*B$15</f>
        <v>31667.328000000001</v>
      </c>
      <c r="I15" t="s">
        <v>11</v>
      </c>
      <c r="J15" s="4">
        <f>H15/F15</f>
        <v>9.1630000000000003</v>
      </c>
      <c r="K15" s="4">
        <f t="shared" ref="K15:K22" si="2">J15*3/2</f>
        <v>13.7445</v>
      </c>
      <c r="N15" s="4">
        <f>F15/3*2</f>
        <v>2304</v>
      </c>
    </row>
    <row r="16" spans="1:15" ht="15" customHeight="1" x14ac:dyDescent="0.25">
      <c r="C16" t="s">
        <v>12</v>
      </c>
      <c r="D16" s="3">
        <v>6</v>
      </c>
      <c r="E16" t="s">
        <v>13</v>
      </c>
      <c r="F16">
        <v>576</v>
      </c>
      <c r="G16" t="s">
        <v>14</v>
      </c>
      <c r="H16" s="4">
        <f>D16*3.1416*B$15</f>
        <v>2375.0495999999998</v>
      </c>
      <c r="J16" s="4">
        <f>H16/F16</f>
        <v>4.1233499999999994</v>
      </c>
      <c r="K16" s="4">
        <f t="shared" si="2"/>
        <v>6.1850249999999996</v>
      </c>
      <c r="N16" s="4">
        <f>(2*F16)/3-1</f>
        <v>383</v>
      </c>
    </row>
    <row r="17" spans="1:15" ht="13.5" customHeight="1" x14ac:dyDescent="0.25">
      <c r="K17" s="4">
        <f t="shared" si="2"/>
        <v>0</v>
      </c>
    </row>
    <row r="18" spans="1:15" ht="15" customHeight="1" x14ac:dyDescent="0.25">
      <c r="A18" s="37"/>
      <c r="B18" s="37">
        <v>180</v>
      </c>
      <c r="C18" s="37" t="s">
        <v>8</v>
      </c>
      <c r="D18" s="38">
        <v>8</v>
      </c>
      <c r="E18" s="37" t="s">
        <v>9</v>
      </c>
      <c r="F18" s="37">
        <v>576</v>
      </c>
      <c r="G18" s="37" t="s">
        <v>10</v>
      </c>
      <c r="H18" s="37">
        <f>D18*3.1416*B$18</f>
        <v>4523.9039999999995</v>
      </c>
      <c r="I18" s="37" t="s">
        <v>11</v>
      </c>
      <c r="J18" s="37">
        <f>H18/F18</f>
        <v>7.8539999999999992</v>
      </c>
      <c r="K18" s="37">
        <f t="shared" si="2"/>
        <v>11.780999999999999</v>
      </c>
      <c r="L18" s="37"/>
      <c r="M18" s="37" t="s">
        <v>15</v>
      </c>
      <c r="N18" s="37">
        <f>F18/3*2</f>
        <v>384</v>
      </c>
    </row>
    <row r="19" spans="1:15" ht="15" customHeight="1" x14ac:dyDescent="0.25">
      <c r="A19" s="37"/>
      <c r="B19" s="37"/>
      <c r="C19" s="37" t="s">
        <v>12</v>
      </c>
      <c r="D19" s="38">
        <v>2</v>
      </c>
      <c r="E19" s="37" t="s">
        <v>13</v>
      </c>
      <c r="F19" s="37">
        <v>288</v>
      </c>
      <c r="G19" s="37" t="s">
        <v>14</v>
      </c>
      <c r="H19" s="37">
        <f>D19*3.1416*B$18</f>
        <v>1130.9759999999999</v>
      </c>
      <c r="I19" s="37"/>
      <c r="J19" s="37">
        <f>H19/F19</f>
        <v>3.9269999999999996</v>
      </c>
      <c r="K19" s="37">
        <f t="shared" si="2"/>
        <v>5.8904999999999994</v>
      </c>
      <c r="L19" s="37" t="s">
        <v>16</v>
      </c>
      <c r="M19" s="37"/>
      <c r="N19" s="37">
        <f>(2*F19)/3-1</f>
        <v>191</v>
      </c>
    </row>
    <row r="20" spans="1:15" ht="15" customHeight="1" x14ac:dyDescent="0.25">
      <c r="K20" s="4">
        <f t="shared" si="2"/>
        <v>0</v>
      </c>
    </row>
    <row r="21" spans="1:15" ht="15" customHeight="1" x14ac:dyDescent="0.25">
      <c r="B21">
        <v>180</v>
      </c>
      <c r="C21" t="s">
        <v>8</v>
      </c>
      <c r="D21" s="3">
        <v>40</v>
      </c>
      <c r="E21" t="s">
        <v>9</v>
      </c>
      <c r="F21" s="4">
        <f>1296*2</f>
        <v>2592</v>
      </c>
      <c r="G21" t="s">
        <v>10</v>
      </c>
      <c r="H21" s="4">
        <f>D21*3.1416*B$18</f>
        <v>22619.52</v>
      </c>
      <c r="I21" t="s">
        <v>11</v>
      </c>
      <c r="J21" s="4">
        <f>H21/F21</f>
        <v>8.7266666666666666</v>
      </c>
      <c r="K21" s="4">
        <f t="shared" si="2"/>
        <v>13.09</v>
      </c>
      <c r="M21" t="s">
        <v>15</v>
      </c>
      <c r="N21" s="4">
        <f>F21/3*2</f>
        <v>1728</v>
      </c>
    </row>
    <row r="22" spans="1:15" ht="15" customHeight="1" x14ac:dyDescent="0.25">
      <c r="C22" t="s">
        <v>12</v>
      </c>
      <c r="D22" s="3">
        <v>6</v>
      </c>
      <c r="E22" t="s">
        <v>13</v>
      </c>
      <c r="F22">
        <v>768</v>
      </c>
      <c r="G22" t="s">
        <v>14</v>
      </c>
      <c r="H22" s="4">
        <f>D22*3.1416*B$18</f>
        <v>3392.9279999999999</v>
      </c>
      <c r="J22" s="4">
        <f>H22/F22</f>
        <v>4.4178749999999996</v>
      </c>
      <c r="K22" s="4">
        <f t="shared" si="2"/>
        <v>6.6268124999999998</v>
      </c>
      <c r="L22" t="s">
        <v>16</v>
      </c>
      <c r="N22" s="4">
        <f>(2*F22)/3-1</f>
        <v>511</v>
      </c>
    </row>
    <row r="23" spans="1:15" ht="15" customHeight="1" thickBot="1" x14ac:dyDescent="0.3">
      <c r="D23" s="3"/>
    </row>
    <row r="24" spans="1:15" ht="15" customHeight="1" x14ac:dyDescent="0.25">
      <c r="A24" s="14"/>
      <c r="B24" s="15">
        <v>180</v>
      </c>
      <c r="C24" s="15" t="s">
        <v>8</v>
      </c>
      <c r="D24" s="16">
        <v>2</v>
      </c>
      <c r="E24" s="15" t="s">
        <v>9</v>
      </c>
      <c r="F24" s="15">
        <v>192</v>
      </c>
      <c r="G24" s="15" t="s">
        <v>10</v>
      </c>
      <c r="H24" s="15">
        <f>D24*3.1416*B$18</f>
        <v>1130.9759999999999</v>
      </c>
      <c r="I24" s="15" t="s">
        <v>11</v>
      </c>
      <c r="J24" s="15">
        <f>H24/F24</f>
        <v>5.8904999999999994</v>
      </c>
      <c r="K24" s="15">
        <f t="shared" ref="K24:K43" si="3">J24*3/2</f>
        <v>8.8357499999999991</v>
      </c>
      <c r="L24" s="15"/>
      <c r="M24" s="15" t="s">
        <v>15</v>
      </c>
      <c r="N24" s="17">
        <f>F24/3*2</f>
        <v>128</v>
      </c>
      <c r="O24">
        <f>F24/3</f>
        <v>64</v>
      </c>
    </row>
    <row r="25" spans="1:15" ht="15" customHeight="1" thickBot="1" x14ac:dyDescent="0.3">
      <c r="A25" s="18"/>
      <c r="B25" s="19"/>
      <c r="C25" s="19" t="s">
        <v>12</v>
      </c>
      <c r="D25" s="20">
        <v>1</v>
      </c>
      <c r="E25" s="19" t="s">
        <v>13</v>
      </c>
      <c r="F25" s="19">
        <f>9*16</f>
        <v>144</v>
      </c>
      <c r="G25" s="19" t="s">
        <v>14</v>
      </c>
      <c r="H25" s="19">
        <f>D25*3.1416*B$18</f>
        <v>565.48799999999994</v>
      </c>
      <c r="I25" s="19"/>
      <c r="J25" s="19">
        <f>H25/F25</f>
        <v>3.9269999999999996</v>
      </c>
      <c r="K25" s="19">
        <f t="shared" si="3"/>
        <v>5.8904999999999994</v>
      </c>
      <c r="L25" s="19" t="s">
        <v>16</v>
      </c>
      <c r="M25" s="19"/>
      <c r="N25" s="21">
        <f>(2*F25)/3-1</f>
        <v>95</v>
      </c>
    </row>
    <row r="26" spans="1:15" ht="15" customHeight="1" x14ac:dyDescent="0.25"/>
    <row r="27" spans="1:15" s="4" customFormat="1" ht="15" customHeight="1" x14ac:dyDescent="0.25">
      <c r="A27" s="4" t="s">
        <v>7</v>
      </c>
      <c r="B27" s="4">
        <v>500</v>
      </c>
      <c r="C27" s="4" t="s">
        <v>8</v>
      </c>
      <c r="D27" s="3">
        <v>2</v>
      </c>
      <c r="E27" s="4" t="s">
        <v>9</v>
      </c>
      <c r="F27" s="4">
        <v>384</v>
      </c>
      <c r="G27" s="4" t="s">
        <v>10</v>
      </c>
      <c r="H27" s="4">
        <f>D27*3.1416*B$27</f>
        <v>3141.6</v>
      </c>
      <c r="I27" s="4" t="s">
        <v>11</v>
      </c>
      <c r="J27" s="4">
        <f>H27/F27</f>
        <v>8.1812500000000004</v>
      </c>
      <c r="K27" s="4">
        <f t="shared" ref="K27:K29" si="4">J27*3/2</f>
        <v>12.271875000000001</v>
      </c>
      <c r="L27" s="4">
        <v>2592</v>
      </c>
      <c r="M27" s="4" t="s">
        <v>15</v>
      </c>
      <c r="N27" s="4">
        <f>F27/3*2</f>
        <v>256</v>
      </c>
    </row>
    <row r="28" spans="1:15" s="4" customFormat="1" ht="15" customHeight="1" x14ac:dyDescent="0.25">
      <c r="C28" s="4" t="s">
        <v>12</v>
      </c>
      <c r="D28" s="3">
        <v>1</v>
      </c>
      <c r="E28" s="4" t="s">
        <v>13</v>
      </c>
      <c r="F28" s="4">
        <v>384</v>
      </c>
      <c r="G28" s="4" t="s">
        <v>14</v>
      </c>
      <c r="H28" s="4">
        <f>D28*3.1416*B$27</f>
        <v>1570.8</v>
      </c>
      <c r="J28" s="4">
        <f>H28/F28</f>
        <v>4.0906250000000002</v>
      </c>
      <c r="K28" s="4">
        <f t="shared" si="4"/>
        <v>6.1359375000000007</v>
      </c>
      <c r="L28" s="4" t="s">
        <v>16</v>
      </c>
      <c r="N28" s="4">
        <f>(2*F28)/3-1</f>
        <v>255</v>
      </c>
    </row>
    <row r="29" spans="1:15" s="4" customFormat="1" ht="15" customHeight="1" x14ac:dyDescent="0.25">
      <c r="D29" s="3"/>
      <c r="K29" s="4">
        <f t="shared" si="4"/>
        <v>0</v>
      </c>
    </row>
    <row r="30" spans="1:15" ht="15" customHeight="1" x14ac:dyDescent="0.25">
      <c r="A30" t="s">
        <v>7</v>
      </c>
      <c r="B30">
        <v>250</v>
      </c>
      <c r="C30" t="s">
        <v>8</v>
      </c>
      <c r="D30" s="3">
        <v>8</v>
      </c>
      <c r="E30" t="s">
        <v>9</v>
      </c>
      <c r="F30">
        <v>768</v>
      </c>
      <c r="G30" t="s">
        <v>10</v>
      </c>
      <c r="H30" s="4">
        <f>D30*3.1416*B$30</f>
        <v>6283.2</v>
      </c>
      <c r="I30" t="s">
        <v>11</v>
      </c>
      <c r="J30" s="4">
        <f>H30/F30</f>
        <v>8.1812500000000004</v>
      </c>
      <c r="K30" s="4">
        <f t="shared" si="3"/>
        <v>12.271875000000001</v>
      </c>
      <c r="L30">
        <v>2592</v>
      </c>
      <c r="M30" t="s">
        <v>15</v>
      </c>
      <c r="N30" s="4">
        <f>F30/3*2</f>
        <v>512</v>
      </c>
    </row>
    <row r="31" spans="1:15" ht="15" customHeight="1" x14ac:dyDescent="0.25">
      <c r="C31" t="s">
        <v>12</v>
      </c>
      <c r="D31" s="3">
        <v>6</v>
      </c>
      <c r="E31" t="s">
        <v>13</v>
      </c>
      <c r="F31">
        <v>1152</v>
      </c>
      <c r="G31" t="s">
        <v>14</v>
      </c>
      <c r="H31" s="4">
        <f>D31*3.1416*B$30</f>
        <v>4712.3999999999996</v>
      </c>
      <c r="J31" s="4">
        <f>H31/F31</f>
        <v>4.0906249999999993</v>
      </c>
      <c r="K31" s="4">
        <f t="shared" si="3"/>
        <v>6.1359374999999989</v>
      </c>
      <c r="L31" t="s">
        <v>16</v>
      </c>
      <c r="N31" s="4">
        <f>(2*F31)/3-1</f>
        <v>767</v>
      </c>
    </row>
    <row r="32" spans="1:15" ht="15" customHeight="1" x14ac:dyDescent="0.25">
      <c r="D32" s="3"/>
      <c r="K32" s="4">
        <f t="shared" si="3"/>
        <v>0</v>
      </c>
    </row>
    <row r="33" spans="1:21" ht="15" customHeight="1" x14ac:dyDescent="0.25">
      <c r="A33" t="s">
        <v>7</v>
      </c>
      <c r="B33">
        <v>250</v>
      </c>
      <c r="C33" t="s">
        <v>8</v>
      </c>
      <c r="D33" s="3">
        <v>20</v>
      </c>
      <c r="E33" t="s">
        <v>9</v>
      </c>
      <c r="F33">
        <v>2304</v>
      </c>
      <c r="G33" t="s">
        <v>10</v>
      </c>
      <c r="H33" s="4">
        <f>D33*3.1416*B$30</f>
        <v>15708</v>
      </c>
      <c r="I33" t="s">
        <v>11</v>
      </c>
      <c r="J33" s="4">
        <f>H33/F33</f>
        <v>6.817708333333333</v>
      </c>
      <c r="K33" s="4">
        <f t="shared" si="3"/>
        <v>10.2265625</v>
      </c>
      <c r="L33">
        <v>2592</v>
      </c>
      <c r="M33" t="s">
        <v>15</v>
      </c>
      <c r="N33" s="4">
        <f>F33/3*2</f>
        <v>1536</v>
      </c>
    </row>
    <row r="34" spans="1:21" ht="15" customHeight="1" x14ac:dyDescent="0.25">
      <c r="C34" t="s">
        <v>12</v>
      </c>
      <c r="D34" s="3">
        <v>12</v>
      </c>
      <c r="E34" t="s">
        <v>13</v>
      </c>
      <c r="F34">
        <v>2016</v>
      </c>
      <c r="G34" t="s">
        <v>14</v>
      </c>
      <c r="H34" s="4">
        <f>D34*3.1416*B$30</f>
        <v>9424.7999999999993</v>
      </c>
      <c r="J34" s="4">
        <f>H34/F34</f>
        <v>4.6749999999999998</v>
      </c>
      <c r="K34" s="4">
        <f t="shared" si="3"/>
        <v>7.0124999999999993</v>
      </c>
      <c r="L34" t="s">
        <v>16</v>
      </c>
      <c r="N34" s="4">
        <f>(2*F34)/3-1</f>
        <v>1343</v>
      </c>
    </row>
    <row r="35" spans="1:21" ht="15" customHeight="1" x14ac:dyDescent="0.25">
      <c r="D35" s="3"/>
      <c r="K35" s="4">
        <f t="shared" si="3"/>
        <v>0</v>
      </c>
    </row>
    <row r="36" spans="1:21" ht="15" customHeight="1" x14ac:dyDescent="0.25">
      <c r="D36" s="3"/>
      <c r="K36" s="4">
        <f t="shared" si="3"/>
        <v>0</v>
      </c>
    </row>
    <row r="37" spans="1:21" ht="15" customHeight="1" x14ac:dyDescent="0.25">
      <c r="A37" t="s">
        <v>7</v>
      </c>
      <c r="B37">
        <v>250</v>
      </c>
      <c r="C37" t="s">
        <v>8</v>
      </c>
      <c r="D37" s="3">
        <v>40</v>
      </c>
      <c r="E37" t="s">
        <v>9</v>
      </c>
      <c r="F37">
        <v>3456</v>
      </c>
      <c r="G37" t="s">
        <v>10</v>
      </c>
      <c r="H37" s="4">
        <f>D37*3.1416*B$37</f>
        <v>31416</v>
      </c>
      <c r="I37" t="s">
        <v>11</v>
      </c>
      <c r="J37" s="4">
        <f>H37/F37</f>
        <v>9.0902777777777786</v>
      </c>
      <c r="K37" s="4">
        <f t="shared" si="3"/>
        <v>13.635416666666668</v>
      </c>
      <c r="L37">
        <v>2592</v>
      </c>
      <c r="M37" t="s">
        <v>15</v>
      </c>
      <c r="N37" s="4">
        <f>F37/3*2</f>
        <v>2304</v>
      </c>
    </row>
    <row r="38" spans="1:21" s="5" customFormat="1" ht="15" customHeight="1" x14ac:dyDescent="0.25">
      <c r="C38" s="5" t="s">
        <v>12</v>
      </c>
      <c r="D38" s="6">
        <v>6</v>
      </c>
      <c r="E38" s="5" t="s">
        <v>13</v>
      </c>
      <c r="F38" s="5">
        <v>1008</v>
      </c>
      <c r="G38" s="5" t="s">
        <v>14</v>
      </c>
      <c r="H38" s="5">
        <f>D38*3.1416*B$30</f>
        <v>4712.3999999999996</v>
      </c>
      <c r="J38" s="5">
        <f>H38/F38</f>
        <v>4.6749999999999998</v>
      </c>
      <c r="K38" s="5">
        <f t="shared" si="3"/>
        <v>7.0124999999999993</v>
      </c>
      <c r="L38" s="5" t="s">
        <v>16</v>
      </c>
      <c r="N38" s="5">
        <f>(2*F38)/3-1</f>
        <v>671</v>
      </c>
    </row>
    <row r="39" spans="1:21" ht="15" customHeight="1" x14ac:dyDescent="0.25">
      <c r="D39" s="3"/>
      <c r="K39" s="4">
        <f t="shared" si="3"/>
        <v>0</v>
      </c>
    </row>
    <row r="40" spans="1:21" ht="15" customHeight="1" x14ac:dyDescent="0.25">
      <c r="K40" s="4">
        <f t="shared" si="3"/>
        <v>0</v>
      </c>
    </row>
    <row r="41" spans="1:21" ht="15" customHeight="1" x14ac:dyDescent="0.25">
      <c r="A41" s="5"/>
      <c r="B41" s="5"/>
      <c r="C41" s="5"/>
      <c r="D41" s="5"/>
      <c r="E41" s="5"/>
      <c r="F41" s="5"/>
      <c r="G41" s="5"/>
      <c r="H41" s="5">
        <f>H42*8/20</f>
        <v>5529.2159999999994</v>
      </c>
      <c r="I41" s="5"/>
      <c r="J41" s="5"/>
      <c r="K41" s="4">
        <f t="shared" si="3"/>
        <v>0</v>
      </c>
      <c r="L41" s="5"/>
      <c r="M41" s="5"/>
      <c r="N41" s="5"/>
    </row>
    <row r="42" spans="1:21" ht="15" customHeight="1" x14ac:dyDescent="0.25">
      <c r="A42" t="s">
        <v>7</v>
      </c>
      <c r="B42">
        <v>550</v>
      </c>
      <c r="C42" t="s">
        <v>8</v>
      </c>
      <c r="D42" s="3">
        <v>8</v>
      </c>
      <c r="E42" t="s">
        <v>9</v>
      </c>
      <c r="F42">
        <f>512*3</f>
        <v>1536</v>
      </c>
      <c r="G42" t="s">
        <v>10</v>
      </c>
      <c r="H42" s="4">
        <f>D42*3.1416*B$42</f>
        <v>13823.039999999999</v>
      </c>
      <c r="I42" t="s">
        <v>11</v>
      </c>
      <c r="J42" s="4">
        <f>H42/F42</f>
        <v>8.9993749999999988</v>
      </c>
      <c r="K42" s="4">
        <f t="shared" si="3"/>
        <v>13.499062499999997</v>
      </c>
      <c r="L42" t="s">
        <v>17</v>
      </c>
      <c r="N42" s="4">
        <f>F42/3*2</f>
        <v>1024</v>
      </c>
    </row>
    <row r="43" spans="1:21" ht="15" customHeight="1" x14ac:dyDescent="0.25">
      <c r="C43" t="s">
        <v>12</v>
      </c>
      <c r="D43" s="3">
        <v>3</v>
      </c>
      <c r="E43" t="s">
        <v>13</v>
      </c>
      <c r="F43">
        <v>1152</v>
      </c>
      <c r="G43" t="s">
        <v>14</v>
      </c>
      <c r="H43" s="4">
        <f>D43*3.1416*B$42</f>
        <v>5183.6399999999994</v>
      </c>
      <c r="J43" s="4">
        <f>H43/F43</f>
        <v>4.4996874999999994</v>
      </c>
      <c r="K43" s="4">
        <f t="shared" si="3"/>
        <v>6.7495312499999986</v>
      </c>
      <c r="L43" t="s">
        <v>18</v>
      </c>
      <c r="N43" s="5">
        <f>(2*F43)/3-1</f>
        <v>767</v>
      </c>
    </row>
    <row r="44" spans="1:21" ht="15" customHeight="1" x14ac:dyDescent="0.25">
      <c r="D44" s="3"/>
    </row>
    <row r="45" spans="1:21" ht="15" customHeight="1" x14ac:dyDescent="0.25">
      <c r="A45" t="s">
        <v>7</v>
      </c>
      <c r="B45">
        <v>550</v>
      </c>
      <c r="C45" t="s">
        <v>8</v>
      </c>
      <c r="D45" s="3">
        <v>40</v>
      </c>
      <c r="E45" t="s">
        <v>9</v>
      </c>
      <c r="F45">
        <f>2*3888</f>
        <v>7776</v>
      </c>
      <c r="G45" t="s">
        <v>10</v>
      </c>
      <c r="H45">
        <f>D45*3.1416*B$42</f>
        <v>69115.199999999997</v>
      </c>
      <c r="I45" t="s">
        <v>11</v>
      </c>
      <c r="J45">
        <f>H45/F45</f>
        <v>8.8882716049382715</v>
      </c>
      <c r="K45">
        <f>J45*3/2</f>
        <v>13.332407407407407</v>
      </c>
      <c r="N45">
        <f>F45/3*2</f>
        <v>5184</v>
      </c>
      <c r="O45">
        <f>N45/96</f>
        <v>54</v>
      </c>
    </row>
    <row r="46" spans="1:21" ht="15" customHeight="1" x14ac:dyDescent="0.25">
      <c r="C46" t="s">
        <v>12</v>
      </c>
      <c r="D46" s="3">
        <v>6</v>
      </c>
      <c r="E46" t="s">
        <v>13</v>
      </c>
      <c r="F46">
        <v>2304</v>
      </c>
      <c r="G46" t="s">
        <v>14</v>
      </c>
      <c r="H46">
        <f>D46*3.1416*B$42</f>
        <v>10367.279999999999</v>
      </c>
      <c r="J46">
        <f>H46/F46</f>
        <v>4.4996874999999994</v>
      </c>
      <c r="K46">
        <f>J46*3/2</f>
        <v>6.7495312499999986</v>
      </c>
      <c r="N46" s="5">
        <f>(2*F46)/3-1</f>
        <v>1535</v>
      </c>
    </row>
    <row r="47" spans="1:21" ht="15" customHeight="1" x14ac:dyDescent="0.25">
      <c r="D47" s="3"/>
    </row>
    <row r="48" spans="1:21" ht="15" customHeight="1" x14ac:dyDescent="0.25">
      <c r="K48" s="4">
        <f>J48*3/2</f>
        <v>0</v>
      </c>
      <c r="P48" s="7"/>
      <c r="Q48" s="7"/>
      <c r="R48" s="7">
        <v>2048</v>
      </c>
      <c r="S48" s="7">
        <f>R48*2</f>
        <v>4096</v>
      </c>
      <c r="T48" s="7">
        <f t="shared" ref="T48:U48" si="5">S48*2</f>
        <v>8192</v>
      </c>
      <c r="U48" s="7">
        <f t="shared" si="5"/>
        <v>16384</v>
      </c>
    </row>
    <row r="49" spans="1:21" ht="15" customHeight="1" x14ac:dyDescent="0.25">
      <c r="A49" s="11" t="s">
        <v>7</v>
      </c>
      <c r="B49" s="11">
        <v>1000</v>
      </c>
      <c r="C49" s="11" t="s">
        <v>8</v>
      </c>
      <c r="D49" s="12">
        <v>16</v>
      </c>
      <c r="E49" s="11" t="s">
        <v>9</v>
      </c>
      <c r="F49" s="11">
        <f>2048*3</f>
        <v>6144</v>
      </c>
      <c r="G49" s="11" t="s">
        <v>10</v>
      </c>
      <c r="H49" s="11">
        <f>D49*3.1416*B$49</f>
        <v>50265.599999999999</v>
      </c>
      <c r="I49" s="11" t="s">
        <v>11</v>
      </c>
      <c r="J49" s="11">
        <f>H49/F49</f>
        <v>8.1812500000000004</v>
      </c>
      <c r="K49" s="11">
        <f>J49*3/2</f>
        <v>12.271875000000001</v>
      </c>
      <c r="L49" s="11" t="s">
        <v>19</v>
      </c>
      <c r="M49" s="11"/>
      <c r="N49" s="11">
        <f>F49/3*2</f>
        <v>4096</v>
      </c>
      <c r="O49" s="11">
        <f>N49/2</f>
        <v>2048</v>
      </c>
      <c r="P49" s="4" t="s">
        <v>81</v>
      </c>
      <c r="Q49" s="4">
        <f>F49*F50/9*4/1024/1024*2*633*13.5</f>
        <v>205092</v>
      </c>
      <c r="R49" s="4">
        <f>Q49/R48</f>
        <v>100.142578125</v>
      </c>
      <c r="S49" s="4">
        <f>Q49/S48</f>
        <v>50.0712890625</v>
      </c>
      <c r="T49" s="4">
        <f>Q49/T48</f>
        <v>25.03564453125</v>
      </c>
      <c r="U49" s="4">
        <f>Q49/U48</f>
        <v>12.517822265625</v>
      </c>
    </row>
    <row r="50" spans="1:21" ht="15" customHeight="1" x14ac:dyDescent="0.25">
      <c r="A50" s="11"/>
      <c r="B50" s="11"/>
      <c r="C50" s="11" t="s">
        <v>12</v>
      </c>
      <c r="D50" s="12">
        <v>3</v>
      </c>
      <c r="E50" s="11" t="s">
        <v>13</v>
      </c>
      <c r="F50" s="11">
        <f>192*3*2*2*2</f>
        <v>4608</v>
      </c>
      <c r="G50" s="11" t="s">
        <v>14</v>
      </c>
      <c r="H50" s="11">
        <f>D50*3.1416*B$49</f>
        <v>9424.7999999999993</v>
      </c>
      <c r="I50" s="11"/>
      <c r="J50" s="11">
        <f>H50/F50</f>
        <v>2.0453124999999996</v>
      </c>
      <c r="K50" s="11"/>
      <c r="L50" s="11" t="s">
        <v>20</v>
      </c>
      <c r="M50" s="11"/>
      <c r="N50" s="13">
        <f>(2*F50)/3-1</f>
        <v>3071</v>
      </c>
      <c r="O50" s="11"/>
    </row>
    <row r="51" spans="1:21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21" s="4" customFormat="1" ht="15" customHeight="1" x14ac:dyDescent="0.25">
      <c r="A52" s="11" t="s">
        <v>7</v>
      </c>
      <c r="B52" s="11">
        <v>1000</v>
      </c>
      <c r="C52" s="11" t="s">
        <v>8</v>
      </c>
      <c r="D52" s="12">
        <v>32</v>
      </c>
      <c r="E52" s="11" t="s">
        <v>9</v>
      </c>
      <c r="F52" s="11">
        <f>6144*2</f>
        <v>12288</v>
      </c>
      <c r="G52" s="11" t="s">
        <v>10</v>
      </c>
      <c r="H52" s="11">
        <f>D52*3.1416*B$49</f>
        <v>100531.2</v>
      </c>
      <c r="I52" s="11" t="s">
        <v>11</v>
      </c>
      <c r="J52" s="11">
        <f>H52/F52</f>
        <v>8.1812500000000004</v>
      </c>
      <c r="K52" s="11">
        <f>J52*3/2</f>
        <v>12.271875000000001</v>
      </c>
      <c r="L52" s="11" t="s">
        <v>19</v>
      </c>
      <c r="M52" s="11"/>
      <c r="N52" s="11">
        <f>F52/3*2</f>
        <v>8192</v>
      </c>
      <c r="O52" s="11">
        <f>N52/2</f>
        <v>4096</v>
      </c>
    </row>
    <row r="53" spans="1:21" s="4" customFormat="1" ht="15" customHeight="1" x14ac:dyDescent="0.25">
      <c r="A53" s="11"/>
      <c r="B53" s="11"/>
      <c r="C53" s="11" t="s">
        <v>12</v>
      </c>
      <c r="D53" s="12">
        <v>6</v>
      </c>
      <c r="E53" s="11" t="s">
        <v>13</v>
      </c>
      <c r="F53" s="11">
        <f>192*3*2*2*2</f>
        <v>4608</v>
      </c>
      <c r="G53" s="11" t="s">
        <v>14</v>
      </c>
      <c r="H53" s="11">
        <f>D53*3.1416*B$49</f>
        <v>18849.599999999999</v>
      </c>
      <c r="I53" s="11"/>
      <c r="J53" s="11">
        <f>H53/F53</f>
        <v>4.0906249999999993</v>
      </c>
      <c r="K53" s="11"/>
      <c r="L53" s="11" t="s">
        <v>20</v>
      </c>
      <c r="M53" s="11"/>
      <c r="N53" s="13">
        <f>(2*F53)/3-1</f>
        <v>3071</v>
      </c>
      <c r="O53" s="11"/>
    </row>
    <row r="54" spans="1:21" s="4" customFormat="1" ht="15" customHeight="1" x14ac:dyDescent="0.25">
      <c r="A54" s="11"/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3"/>
      <c r="O54" s="11"/>
    </row>
    <row r="55" spans="1:21" s="4" customFormat="1" ht="15" customHeight="1" x14ac:dyDescent="0.25">
      <c r="A55" s="11" t="s">
        <v>7</v>
      </c>
      <c r="B55" s="11">
        <v>1000</v>
      </c>
      <c r="C55" s="11" t="s">
        <v>8</v>
      </c>
      <c r="D55" s="12">
        <v>64</v>
      </c>
      <c r="E55" s="11" t="s">
        <v>9</v>
      </c>
      <c r="F55" s="11">
        <f>6144*4</f>
        <v>24576</v>
      </c>
      <c r="G55" s="11" t="s">
        <v>10</v>
      </c>
      <c r="H55" s="11">
        <f>D55*3.1416*B$49</f>
        <v>201062.39999999999</v>
      </c>
      <c r="I55" s="11" t="s">
        <v>11</v>
      </c>
      <c r="J55" s="11">
        <f>H55/F55</f>
        <v>8.1812500000000004</v>
      </c>
      <c r="K55" s="11">
        <f>J55*3/2</f>
        <v>12.271875000000001</v>
      </c>
      <c r="L55" s="11" t="s">
        <v>19</v>
      </c>
      <c r="M55" s="11"/>
      <c r="N55" s="11">
        <f>F55/3*2</f>
        <v>16384</v>
      </c>
      <c r="O55" s="11">
        <f>N55/2</f>
        <v>8192</v>
      </c>
    </row>
    <row r="56" spans="1:21" s="4" customFormat="1" ht="15" customHeight="1" x14ac:dyDescent="0.25">
      <c r="A56" s="11"/>
      <c r="B56" s="11"/>
      <c r="C56" s="11" t="s">
        <v>12</v>
      </c>
      <c r="D56" s="12">
        <v>6</v>
      </c>
      <c r="E56" s="11" t="s">
        <v>13</v>
      </c>
      <c r="F56" s="11">
        <f>192*3*2*2*2</f>
        <v>4608</v>
      </c>
      <c r="G56" s="11" t="s">
        <v>14</v>
      </c>
      <c r="H56" s="11">
        <f>D56*3.1416*B$49</f>
        <v>18849.599999999999</v>
      </c>
      <c r="I56" s="11"/>
      <c r="J56" s="11">
        <f>H56/F56</f>
        <v>4.0906249999999993</v>
      </c>
      <c r="K56" s="11"/>
      <c r="L56" s="11" t="s">
        <v>20</v>
      </c>
      <c r="M56" s="11"/>
      <c r="N56" s="13">
        <f>(2*F56)/3-1</f>
        <v>3071</v>
      </c>
      <c r="O56" s="11"/>
    </row>
    <row r="57" spans="1:21" s="4" customFormat="1" ht="15" customHeight="1" x14ac:dyDescent="0.25">
      <c r="A57" s="11"/>
      <c r="B57" s="11"/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3"/>
      <c r="O57" s="11"/>
      <c r="P57" s="7"/>
      <c r="Q57" s="7"/>
      <c r="R57" s="7">
        <v>2048</v>
      </c>
      <c r="S57" s="7">
        <f>R57*2</f>
        <v>4096</v>
      </c>
      <c r="T57" s="7">
        <f t="shared" ref="T57:U57" si="6">S57*2</f>
        <v>8192</v>
      </c>
      <c r="U57" s="7">
        <f t="shared" si="6"/>
        <v>16384</v>
      </c>
    </row>
    <row r="58" spans="1:21" s="4" customFormat="1" ht="15" customHeight="1" x14ac:dyDescent="0.25">
      <c r="A58" s="11" t="s">
        <v>7</v>
      </c>
      <c r="B58" s="11">
        <v>2000</v>
      </c>
      <c r="C58" s="11" t="s">
        <v>8</v>
      </c>
      <c r="D58" s="12">
        <v>16</v>
      </c>
      <c r="E58" s="11" t="s">
        <v>9</v>
      </c>
      <c r="F58" s="11">
        <f>12288</f>
        <v>12288</v>
      </c>
      <c r="G58" s="11" t="s">
        <v>10</v>
      </c>
      <c r="H58" s="11">
        <f>D58*3.1416*B$58</f>
        <v>100531.2</v>
      </c>
      <c r="I58" s="11" t="s">
        <v>11</v>
      </c>
      <c r="J58" s="11">
        <f>H58/F58</f>
        <v>8.1812500000000004</v>
      </c>
      <c r="K58" s="11">
        <f>J58*3/2</f>
        <v>12.271875000000001</v>
      </c>
      <c r="L58" s="11" t="s">
        <v>19</v>
      </c>
      <c r="M58" s="11"/>
      <c r="N58" s="11">
        <f>F58/3*2</f>
        <v>8192</v>
      </c>
      <c r="O58" s="11">
        <f>N58/2</f>
        <v>4096</v>
      </c>
      <c r="P58" s="4" t="s">
        <v>81</v>
      </c>
      <c r="Q58" s="4">
        <f>F58*F59/9*4/1024/1024*2*633*13.5</f>
        <v>820368</v>
      </c>
      <c r="R58" s="4">
        <f>Q58/R57</f>
        <v>400.5703125</v>
      </c>
      <c r="S58" s="4">
        <f>Q58/S57</f>
        <v>200.28515625</v>
      </c>
      <c r="T58" s="4">
        <f>Q58/T57</f>
        <v>100.142578125</v>
      </c>
      <c r="U58" s="4">
        <f>Q58/U57</f>
        <v>50.0712890625</v>
      </c>
    </row>
    <row r="59" spans="1:21" ht="15" customHeight="1" x14ac:dyDescent="0.25">
      <c r="A59" s="11"/>
      <c r="B59" s="11"/>
      <c r="C59" s="11" t="s">
        <v>12</v>
      </c>
      <c r="D59" s="12">
        <v>6</v>
      </c>
      <c r="E59" s="11" t="s">
        <v>13</v>
      </c>
      <c r="F59" s="11">
        <f>4608*2</f>
        <v>9216</v>
      </c>
      <c r="G59" s="11" t="s">
        <v>14</v>
      </c>
      <c r="H59" s="11">
        <f>D59*3.1416*B$58</f>
        <v>37699.199999999997</v>
      </c>
      <c r="I59" s="11"/>
      <c r="J59" s="11">
        <f>H59/F59</f>
        <v>4.0906249999999993</v>
      </c>
      <c r="K59" s="11"/>
      <c r="L59" s="11" t="s">
        <v>20</v>
      </c>
      <c r="M59" s="11"/>
      <c r="N59" s="13">
        <f>(2*F59)/3-1</f>
        <v>6143</v>
      </c>
      <c r="O59" s="11" t="s">
        <v>21</v>
      </c>
    </row>
    <row r="60" spans="1:21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7"/>
      <c r="Q60" s="7"/>
      <c r="R60" s="7">
        <v>2048</v>
      </c>
      <c r="S60" s="7">
        <f>R60*2</f>
        <v>4096</v>
      </c>
      <c r="T60" s="7">
        <f t="shared" ref="T60:U60" si="7">S60*2</f>
        <v>8192</v>
      </c>
      <c r="U60" s="7">
        <f t="shared" si="7"/>
        <v>16384</v>
      </c>
    </row>
    <row r="61" spans="1:21" ht="15" customHeight="1" x14ac:dyDescent="0.25">
      <c r="A61" s="11" t="s">
        <v>7</v>
      </c>
      <c r="B61" s="11">
        <v>2000</v>
      </c>
      <c r="C61" s="11" t="s">
        <v>8</v>
      </c>
      <c r="D61" s="12">
        <v>32</v>
      </c>
      <c r="E61" s="11" t="s">
        <v>9</v>
      </c>
      <c r="F61" s="11">
        <f>2*F58</f>
        <v>24576</v>
      </c>
      <c r="G61" s="11" t="s">
        <v>10</v>
      </c>
      <c r="H61" s="11">
        <f>D61*3.1416*B$58</f>
        <v>201062.39999999999</v>
      </c>
      <c r="I61" s="11" t="s">
        <v>11</v>
      </c>
      <c r="J61" s="11">
        <f>H61/F61</f>
        <v>8.1812500000000004</v>
      </c>
      <c r="K61" s="11">
        <f>J61*3/2</f>
        <v>12.271875000000001</v>
      </c>
      <c r="L61" s="11" t="s">
        <v>19</v>
      </c>
      <c r="M61" s="11"/>
      <c r="N61" s="11">
        <f>F61/3*2</f>
        <v>16384</v>
      </c>
      <c r="O61" s="11">
        <f>N61/2</f>
        <v>8192</v>
      </c>
      <c r="P61" s="4" t="s">
        <v>81</v>
      </c>
      <c r="Q61" s="4">
        <f>F61*F62/9*4/1024/1024*2*633*13.5</f>
        <v>1640736</v>
      </c>
      <c r="R61" s="4">
        <f>Q61/R60</f>
        <v>801.140625</v>
      </c>
      <c r="S61" s="4">
        <f>Q61/S60</f>
        <v>400.5703125</v>
      </c>
      <c r="T61" s="4">
        <f>Q61/T60</f>
        <v>200.28515625</v>
      </c>
      <c r="U61" s="4">
        <f>Q61/U60</f>
        <v>100.142578125</v>
      </c>
    </row>
    <row r="62" spans="1:21" ht="15" customHeight="1" x14ac:dyDescent="0.25">
      <c r="A62" s="11"/>
      <c r="B62" s="11"/>
      <c r="C62" s="11" t="s">
        <v>12</v>
      </c>
      <c r="D62" s="12">
        <v>6</v>
      </c>
      <c r="E62" s="11" t="s">
        <v>13</v>
      </c>
      <c r="F62" s="11">
        <f>4608*2</f>
        <v>9216</v>
      </c>
      <c r="G62" s="11" t="s">
        <v>14</v>
      </c>
      <c r="H62" s="11">
        <f>D62*3.1416*B$58</f>
        <v>37699.199999999997</v>
      </c>
      <c r="I62" s="11"/>
      <c r="J62" s="11">
        <f>H62/F62</f>
        <v>4.0906249999999993</v>
      </c>
      <c r="K62" s="11"/>
      <c r="L62" s="11" t="s">
        <v>20</v>
      </c>
      <c r="M62" s="11"/>
      <c r="N62" s="13">
        <f>(2*F62)/3-1</f>
        <v>6143</v>
      </c>
      <c r="O62" s="11" t="s">
        <v>21</v>
      </c>
    </row>
    <row r="63" spans="1:21" s="7" customFormat="1" ht="15" customHeight="1" x14ac:dyDescent="0.25">
      <c r="C63" s="7" t="s">
        <v>12</v>
      </c>
      <c r="D63" s="7">
        <v>6</v>
      </c>
      <c r="E63" s="7" t="s">
        <v>13</v>
      </c>
      <c r="F63" s="7">
        <v>9216</v>
      </c>
      <c r="G63" s="7" t="s">
        <v>14</v>
      </c>
      <c r="H63" s="7" t="e">
        <f>D63*3.1416*#REF!</f>
        <v>#REF!</v>
      </c>
      <c r="J63" s="7" t="e">
        <f>H63/F63</f>
        <v>#REF!</v>
      </c>
      <c r="M63"/>
      <c r="N63"/>
      <c r="O63"/>
      <c r="R63" s="7">
        <v>2048</v>
      </c>
      <c r="S63" s="7">
        <f>R63*2</f>
        <v>4096</v>
      </c>
      <c r="T63" s="7">
        <f t="shared" ref="T63:U63" si="8">S63*2</f>
        <v>8192</v>
      </c>
      <c r="U63" s="7">
        <f t="shared" si="8"/>
        <v>16384</v>
      </c>
    </row>
    <row r="64" spans="1:21" s="4" customFormat="1" ht="15" customHeight="1" x14ac:dyDescent="0.25">
      <c r="A64" s="11" t="s">
        <v>7</v>
      </c>
      <c r="B64" s="11">
        <v>4000</v>
      </c>
      <c r="C64" s="11" t="s">
        <v>8</v>
      </c>
      <c r="D64" s="12">
        <v>16</v>
      </c>
      <c r="E64" s="11" t="s">
        <v>9</v>
      </c>
      <c r="F64" s="11">
        <f>F58*2</f>
        <v>24576</v>
      </c>
      <c r="G64" s="11" t="s">
        <v>10</v>
      </c>
      <c r="H64" s="11">
        <f>D64*3.1416*B$64</f>
        <v>201062.39999999999</v>
      </c>
      <c r="I64" s="11" t="s">
        <v>11</v>
      </c>
      <c r="J64" s="11">
        <f>H64/F64</f>
        <v>8.1812500000000004</v>
      </c>
      <c r="K64" s="11">
        <f>J64*3/2</f>
        <v>12.271875000000001</v>
      </c>
      <c r="L64" s="11" t="s">
        <v>19</v>
      </c>
      <c r="M64" s="11"/>
      <c r="N64" s="11">
        <f>F64/3*2</f>
        <v>16384</v>
      </c>
      <c r="O64" s="11">
        <f>N64/2</f>
        <v>8192</v>
      </c>
      <c r="P64" s="4" t="s">
        <v>81</v>
      </c>
      <c r="Q64" s="4">
        <f>F64*F65/9*4/1024/1024*2*1000*13.5</f>
        <v>2592000</v>
      </c>
      <c r="R64" s="4">
        <f>Q64/R63</f>
        <v>1265.625</v>
      </c>
      <c r="S64" s="4">
        <f>Q64/S63</f>
        <v>632.8125</v>
      </c>
      <c r="T64" s="4">
        <f>Q64/T63</f>
        <v>316.40625</v>
      </c>
      <c r="U64" s="4">
        <f>Q64/U63</f>
        <v>158.203125</v>
      </c>
    </row>
    <row r="65" spans="1:15" s="4" customFormat="1" ht="15" customHeight="1" x14ac:dyDescent="0.25">
      <c r="A65" s="11"/>
      <c r="B65" s="11"/>
      <c r="C65" s="11" t="s">
        <v>12</v>
      </c>
      <c r="D65" s="12">
        <v>6</v>
      </c>
      <c r="E65" s="11" t="s">
        <v>13</v>
      </c>
      <c r="F65" s="11">
        <f>4608*2</f>
        <v>9216</v>
      </c>
      <c r="G65" s="11" t="s">
        <v>14</v>
      </c>
      <c r="H65" s="11">
        <f>D65*3.1416*B$58</f>
        <v>37699.199999999997</v>
      </c>
      <c r="I65" s="11"/>
      <c r="J65" s="11">
        <f>H65/F65</f>
        <v>4.0906249999999993</v>
      </c>
      <c r="K65" s="11"/>
      <c r="L65" s="11" t="s">
        <v>20</v>
      </c>
      <c r="M65" s="11"/>
      <c r="N65" s="13">
        <f>(2*F65)/3-1</f>
        <v>6143</v>
      </c>
      <c r="O65" s="11" t="s">
        <v>21</v>
      </c>
    </row>
    <row r="66" spans="1:15" s="4" customFormat="1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5" customHeight="1" x14ac:dyDescent="0.25">
      <c r="F67" s="4">
        <f>633*F49*F50*(4/9)*4*11.5/1024/1024/1024</f>
        <v>341.2265625</v>
      </c>
      <c r="H67" s="4">
        <f>F67/512</f>
        <v>0.6664581298828125</v>
      </c>
    </row>
    <row r="68" spans="1:15" ht="15" customHeight="1" x14ac:dyDescent="0.25">
      <c r="H68" s="4">
        <f>1944/3*2</f>
        <v>1296</v>
      </c>
    </row>
    <row r="69" spans="1:15" ht="15" customHeight="1" x14ac:dyDescent="0.25">
      <c r="H69" s="4">
        <f>1152/3*2</f>
        <v>768</v>
      </c>
    </row>
    <row r="70" spans="1:15" ht="15" customHeight="1" x14ac:dyDescent="0.25"/>
    <row r="71" spans="1:15" ht="15" customHeight="1" x14ac:dyDescent="0.25">
      <c r="F71" s="4">
        <f>1944/6</f>
        <v>324</v>
      </c>
    </row>
    <row r="72" spans="1:15" ht="15" customHeight="1" x14ac:dyDescent="0.25"/>
    <row r="73" spans="1:15" ht="15" customHeight="1" x14ac:dyDescent="0.25"/>
    <row r="74" spans="1:15" ht="15" customHeight="1" x14ac:dyDescent="0.25"/>
    <row r="75" spans="1:15" ht="15" customHeight="1" x14ac:dyDescent="0.25"/>
    <row r="76" spans="1:15" ht="15" customHeight="1" x14ac:dyDescent="0.25"/>
    <row r="77" spans="1:15" ht="15" customHeight="1" x14ac:dyDescent="0.25"/>
    <row r="78" spans="1:15" ht="15" customHeight="1" x14ac:dyDescent="0.25"/>
    <row r="79" spans="1:15" ht="15" customHeight="1" x14ac:dyDescent="0.25"/>
    <row r="80" spans="1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  <row r="65537" ht="15" customHeight="1" x14ac:dyDescent="0.25"/>
    <row r="65538" ht="15" customHeight="1" x14ac:dyDescent="0.25"/>
    <row r="65539" ht="15" customHeight="1" x14ac:dyDescent="0.25"/>
    <row r="65540" ht="15" customHeight="1" x14ac:dyDescent="0.25"/>
    <row r="65541" ht="15" customHeight="1" x14ac:dyDescent="0.25"/>
    <row r="65542" ht="15" customHeight="1" x14ac:dyDescent="0.25"/>
    <row r="65543" ht="15" customHeight="1" x14ac:dyDescent="0.25"/>
    <row r="65544" ht="15" customHeight="1" x14ac:dyDescent="0.25"/>
    <row r="65545" ht="15" customHeight="1" x14ac:dyDescent="0.25"/>
    <row r="65546" ht="15" customHeight="1" x14ac:dyDescent="0.25"/>
  </sheetData>
  <mergeCells count="4">
    <mergeCell ref="C1:D1"/>
    <mergeCell ref="E1:F1"/>
    <mergeCell ref="G1:H1"/>
    <mergeCell ref="N1:O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534"/>
  <sheetViews>
    <sheetView zoomScaleNormal="100" workbookViewId="0">
      <selection activeCell="G7" sqref="G7"/>
    </sheetView>
  </sheetViews>
  <sheetFormatPr baseColWidth="10" defaultRowHeight="15" x14ac:dyDescent="0.25"/>
  <cols>
    <col min="1" max="1" width="22.7109375" style="4" bestFit="1" customWidth="1"/>
    <col min="2" max="16384" width="11.42578125" style="4"/>
  </cols>
  <sheetData>
    <row r="1" spans="1:13" ht="15" customHeight="1" thickBot="1" x14ac:dyDescent="0.3">
      <c r="A1" s="22" t="s">
        <v>22</v>
      </c>
      <c r="B1" s="23" t="s">
        <v>95</v>
      </c>
      <c r="C1" s="23" t="s">
        <v>93</v>
      </c>
    </row>
    <row r="2" spans="1:13" ht="15" customHeight="1" thickTop="1" x14ac:dyDescent="0.25">
      <c r="A2" s="24" t="s">
        <v>83</v>
      </c>
      <c r="B2" s="25">
        <v>1000</v>
      </c>
      <c r="C2" s="25">
        <v>2000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 customHeight="1" x14ac:dyDescent="0.25">
      <c r="A3" s="4" t="s">
        <v>23</v>
      </c>
      <c r="B3" s="25">
        <v>1000</v>
      </c>
      <c r="C3" s="25">
        <v>1000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" customHeight="1" x14ac:dyDescent="0.25">
      <c r="A4" s="4" t="s">
        <v>24</v>
      </c>
      <c r="B4" s="25">
        <v>1002</v>
      </c>
      <c r="C4" s="25">
        <v>1002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" customHeight="1" x14ac:dyDescent="0.25">
      <c r="A5" s="4" t="s">
        <v>25</v>
      </c>
      <c r="B5" s="25">
        <v>10000</v>
      </c>
      <c r="C5" s="25">
        <v>25000</v>
      </c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ht="15" customHeight="1" x14ac:dyDescent="0.25">
      <c r="A6" s="4" t="s">
        <v>100</v>
      </c>
      <c r="B6" s="25"/>
      <c r="C6" s="25">
        <v>3.7999999999999999E-2</v>
      </c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15" customHeight="1" x14ac:dyDescent="0.25">
      <c r="A7" s="4" t="s">
        <v>26</v>
      </c>
      <c r="B7" s="25">
        <v>50</v>
      </c>
      <c r="C7" s="25">
        <v>50</v>
      </c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5" customHeight="1" x14ac:dyDescent="0.25">
      <c r="A8" s="4" t="s">
        <v>27</v>
      </c>
      <c r="B8" s="25">
        <v>16</v>
      </c>
      <c r="C8" s="25">
        <v>16</v>
      </c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15" customHeight="1" x14ac:dyDescent="0.25">
      <c r="A9" s="4" t="s">
        <v>28</v>
      </c>
      <c r="B9" s="25">
        <v>2E-3</v>
      </c>
      <c r="C9" s="25">
        <v>0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 customHeight="1" x14ac:dyDescent="0.25">
      <c r="A10" s="4" t="s">
        <v>84</v>
      </c>
      <c r="B10" s="26">
        <v>3.1</v>
      </c>
      <c r="C10" s="26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 customHeight="1" x14ac:dyDescent="0.25">
      <c r="A11" s="4" t="s">
        <v>85</v>
      </c>
      <c r="B11" s="26">
        <v>1.5E-3</v>
      </c>
      <c r="C11" s="26">
        <v>1E-3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 customHeight="1" x14ac:dyDescent="0.25">
      <c r="A12" s="4" t="s">
        <v>29</v>
      </c>
      <c r="B12" s="27">
        <v>250</v>
      </c>
      <c r="C12" s="27">
        <v>2355</v>
      </c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ht="15" customHeight="1" x14ac:dyDescent="0.25">
      <c r="A13" s="4" t="s">
        <v>30</v>
      </c>
      <c r="B13" s="27">
        <v>430</v>
      </c>
      <c r="C13" s="27">
        <v>2363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 customHeight="1" x14ac:dyDescent="0.25">
      <c r="A14" s="4" t="s">
        <v>86</v>
      </c>
      <c r="B14" s="27">
        <v>0.9</v>
      </c>
      <c r="C14" s="27">
        <v>0.9</v>
      </c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 customHeight="1" x14ac:dyDescent="0.25">
      <c r="A15" s="4" t="s">
        <v>87</v>
      </c>
      <c r="B15" s="28">
        <f>B11/B14*50</f>
        <v>8.3333333333333329E-2</v>
      </c>
      <c r="C15" s="28">
        <f>(C13-C12)/(C7*10)</f>
        <v>1.6E-2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5" customHeight="1" x14ac:dyDescent="0.25">
      <c r="A16" s="4" t="s">
        <v>31</v>
      </c>
      <c r="B16" s="28">
        <f>B14*(B13-B12)/B7</f>
        <v>3.24</v>
      </c>
      <c r="C16" s="28">
        <f>C14*(C13-C12)/C7</f>
        <v>0.14400000000000002</v>
      </c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5" customHeight="1" x14ac:dyDescent="0.25">
      <c r="A17" s="4" t="s">
        <v>32</v>
      </c>
      <c r="B17" s="29" t="s">
        <v>94</v>
      </c>
      <c r="C17" s="29" t="s">
        <v>94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5" customHeight="1" x14ac:dyDescent="0.25">
      <c r="A18" s="4" t="s">
        <v>89</v>
      </c>
      <c r="B18" s="27" t="s">
        <v>90</v>
      </c>
      <c r="C18" s="27" t="s">
        <v>90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5" customHeight="1" x14ac:dyDescent="0.25">
      <c r="A19" s="4" t="s">
        <v>33</v>
      </c>
      <c r="B19" s="30" t="s">
        <v>16</v>
      </c>
      <c r="C19" s="30" t="s">
        <v>16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5" customHeight="1" thickBot="1" x14ac:dyDescent="0.3">
      <c r="A20" s="4" t="s">
        <v>91</v>
      </c>
      <c r="B20" s="31">
        <f>(20-B16)*B7/B14/B11*B10/3600/24</f>
        <v>22.271947873799721</v>
      </c>
      <c r="C20" s="31">
        <f>(10-C16)*C7/C14/C11*C10/3600/24</f>
        <v>158.43621399176953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5" customHeight="1" thickTop="1" x14ac:dyDescent="0.25">
      <c r="A21" s="4" t="s">
        <v>92</v>
      </c>
      <c r="B21" s="4">
        <f>B16*B7/B14/B11*B10/3600*1024</f>
        <v>105813.33333333333</v>
      </c>
      <c r="C21" s="4">
        <f>C16*C7/C14/C11*C10/3600*1024</f>
        <v>56888.888888888905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5" customHeight="1" x14ac:dyDescent="0.25">
      <c r="A22" s="36" t="s">
        <v>122</v>
      </c>
      <c r="C22" s="4">
        <f>10*C7*C14/C11*C10/3600*4096</f>
        <v>12800000</v>
      </c>
    </row>
    <row r="23" spans="1:13" ht="15" customHeight="1" x14ac:dyDescent="0.25">
      <c r="A23" s="36" t="s">
        <v>123</v>
      </c>
      <c r="C23" s="4">
        <f>10*C7/C14/C11</f>
        <v>555555.5555555555</v>
      </c>
    </row>
    <row r="24" spans="1:13" ht="15" customHeight="1" x14ac:dyDescent="0.25">
      <c r="A24" s="36" t="s">
        <v>124</v>
      </c>
      <c r="C24" s="4">
        <v>200</v>
      </c>
      <c r="D24" s="4">
        <f>C23/D25</f>
        <v>222.2222222222222</v>
      </c>
    </row>
    <row r="25" spans="1:13" ht="15" customHeight="1" x14ac:dyDescent="0.25">
      <c r="A25" s="36" t="s">
        <v>125</v>
      </c>
      <c r="C25" s="4">
        <f>C23/C24</f>
        <v>2777.7777777777774</v>
      </c>
      <c r="D25" s="4">
        <v>2500</v>
      </c>
    </row>
    <row r="26" spans="1:13" ht="15" customHeight="1" x14ac:dyDescent="0.25">
      <c r="A26" s="36" t="s">
        <v>126</v>
      </c>
      <c r="C26" s="4">
        <f>C24*238/1024</f>
        <v>46.484375</v>
      </c>
      <c r="D26" s="4">
        <f>D24*238/1024</f>
        <v>51.64930555555555</v>
      </c>
    </row>
    <row r="27" spans="1:13" ht="15" customHeight="1" x14ac:dyDescent="0.25">
      <c r="A27" s="36" t="s">
        <v>130</v>
      </c>
      <c r="C27" s="4">
        <f>C23*C11*C14/50</f>
        <v>10</v>
      </c>
    </row>
    <row r="28" spans="1:13" ht="15" customHeight="1" x14ac:dyDescent="0.25">
      <c r="A28" s="36" t="s">
        <v>127</v>
      </c>
      <c r="C28" s="4">
        <f>(C13-C12)*C6</f>
        <v>0.30399999999999999</v>
      </c>
    </row>
    <row r="29" spans="1:13" ht="15" customHeight="1" x14ac:dyDescent="0.25">
      <c r="A29" s="36" t="s">
        <v>128</v>
      </c>
      <c r="C29" s="4">
        <f>C23*C11*C6</f>
        <v>21.111111111111111</v>
      </c>
      <c r="D29" s="4" t="s">
        <v>129</v>
      </c>
    </row>
    <row r="30" spans="1:13" ht="15" customHeight="1" x14ac:dyDescent="0.25"/>
    <row r="31" spans="1:13" ht="15" customHeight="1" x14ac:dyDescent="0.25"/>
    <row r="32" spans="1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5536"/>
  <sheetViews>
    <sheetView zoomScaleNormal="100" workbookViewId="0">
      <selection activeCell="M2" sqref="M2"/>
    </sheetView>
  </sheetViews>
  <sheetFormatPr baseColWidth="10" defaultRowHeight="15" x14ac:dyDescent="0.25"/>
  <cols>
    <col min="1" max="1" width="25.42578125" bestFit="1" customWidth="1"/>
    <col min="2" max="1025" width="10.5703125"/>
  </cols>
  <sheetData>
    <row r="1" spans="1:16" ht="15" customHeight="1" x14ac:dyDescent="0.25">
      <c r="A1" t="s">
        <v>0</v>
      </c>
      <c r="B1" t="s">
        <v>15</v>
      </c>
      <c r="C1" t="s">
        <v>64</v>
      </c>
      <c r="D1" t="s">
        <v>65</v>
      </c>
      <c r="E1" t="s">
        <v>62</v>
      </c>
      <c r="F1" t="s">
        <v>63</v>
      </c>
      <c r="G1" t="s">
        <v>66</v>
      </c>
      <c r="H1" t="s">
        <v>67</v>
      </c>
      <c r="I1" t="s">
        <v>68</v>
      </c>
      <c r="J1" t="s">
        <v>69</v>
      </c>
      <c r="K1" t="s">
        <v>71</v>
      </c>
      <c r="L1" t="s">
        <v>70</v>
      </c>
      <c r="M1" t="s">
        <v>72</v>
      </c>
      <c r="N1" t="s">
        <v>73</v>
      </c>
      <c r="O1" t="s">
        <v>74</v>
      </c>
    </row>
    <row r="2" spans="1:16" ht="15" customHeight="1" x14ac:dyDescent="0.25">
      <c r="A2" t="s">
        <v>75</v>
      </c>
      <c r="B2">
        <f>6144*4</f>
        <v>24576</v>
      </c>
      <c r="C2">
        <v>383</v>
      </c>
      <c r="D2">
        <v>4608</v>
      </c>
      <c r="E2">
        <v>1024</v>
      </c>
      <c r="F2">
        <v>57.09</v>
      </c>
      <c r="G2">
        <v>47.64</v>
      </c>
      <c r="H2">
        <v>22.89</v>
      </c>
      <c r="I2">
        <v>2250.0340000000001</v>
      </c>
      <c r="J2" s="4">
        <v>2250.0441000000001</v>
      </c>
      <c r="K2">
        <f>J2-I2</f>
        <v>1.0099999999965803E-2</v>
      </c>
      <c r="L2">
        <f>0.0049</f>
        <v>4.8999999999999998E-3</v>
      </c>
      <c r="M2" s="4">
        <f>25/L2*G2/3600*5/24*5</f>
        <v>70.330215419501144</v>
      </c>
      <c r="N2">
        <f>M2*E2*24</f>
        <v>1728435.3741496601</v>
      </c>
      <c r="O2">
        <f>B2/3/E2</f>
        <v>8</v>
      </c>
    </row>
    <row r="3" spans="1:16" ht="15" customHeight="1" x14ac:dyDescent="0.25">
      <c r="A3" s="4" t="s">
        <v>76</v>
      </c>
      <c r="B3" s="4">
        <f>6144*4</f>
        <v>24576</v>
      </c>
      <c r="C3" s="4">
        <v>383</v>
      </c>
      <c r="D3" s="4">
        <v>4608</v>
      </c>
      <c r="E3">
        <v>2048</v>
      </c>
      <c r="F3">
        <v>69.03</v>
      </c>
      <c r="G3">
        <v>27</v>
      </c>
      <c r="H3">
        <v>13.5</v>
      </c>
      <c r="I3">
        <v>2251.9875000000002</v>
      </c>
      <c r="J3">
        <v>2256.8434999999999</v>
      </c>
      <c r="K3" s="4">
        <f>J3-I3</f>
        <v>4.8559999999997672</v>
      </c>
      <c r="L3">
        <v>4.8549999999999999E-3</v>
      </c>
      <c r="M3" s="4">
        <f>25/L3*G3/3600*5/24*5</f>
        <v>40.22914521112255</v>
      </c>
      <c r="N3" s="4">
        <f>M3*E3*24</f>
        <v>1977342.9454170954</v>
      </c>
      <c r="O3">
        <v>4</v>
      </c>
    </row>
    <row r="4" spans="1:16" ht="15" customHeight="1" x14ac:dyDescent="0.25">
      <c r="A4" s="4" t="s">
        <v>79</v>
      </c>
      <c r="B4" s="4">
        <f>6144*4</f>
        <v>24576</v>
      </c>
      <c r="C4" s="4">
        <v>383</v>
      </c>
      <c r="D4" s="4">
        <v>4608</v>
      </c>
      <c r="E4" s="4">
        <v>2048</v>
      </c>
      <c r="F4" s="4">
        <v>67.209999999999994</v>
      </c>
      <c r="G4" s="4">
        <v>27.04</v>
      </c>
      <c r="H4" s="4">
        <v>13.84</v>
      </c>
      <c r="I4" s="4">
        <v>2256.8434999999999</v>
      </c>
      <c r="J4" s="4">
        <v>2261.7262999999998</v>
      </c>
      <c r="K4" s="4">
        <f>J4-I4</f>
        <v>4.882799999999861</v>
      </c>
      <c r="L4" s="4">
        <v>4.8820000000000001E-3</v>
      </c>
      <c r="M4" s="4">
        <f>25/L4*G4/3600*5/24*5</f>
        <v>40.06592622938382</v>
      </c>
      <c r="N4" s="4">
        <f>M4*E4*24</f>
        <v>1969320.4060266735</v>
      </c>
      <c r="O4" s="4">
        <v>4</v>
      </c>
    </row>
    <row r="5" spans="1:16" ht="15" customHeight="1" x14ac:dyDescent="0.25">
      <c r="A5" s="4" t="s">
        <v>77</v>
      </c>
      <c r="B5" s="4">
        <f>6144*4</f>
        <v>24576</v>
      </c>
      <c r="C5" s="4">
        <v>383</v>
      </c>
      <c r="D5" s="4">
        <v>4608</v>
      </c>
      <c r="E5" s="4">
        <v>2048</v>
      </c>
      <c r="F5" s="4">
        <v>67.31</v>
      </c>
      <c r="G5" s="4">
        <v>27</v>
      </c>
      <c r="H5" s="4">
        <v>13.5</v>
      </c>
      <c r="I5" s="4">
        <v>2261.7262999999998</v>
      </c>
      <c r="J5" s="4">
        <v>2266.5969</v>
      </c>
      <c r="K5" s="4">
        <f>J5-I5</f>
        <v>4.870600000000195</v>
      </c>
      <c r="L5" s="4">
        <v>4.8549999999999999E-3</v>
      </c>
      <c r="M5" s="4">
        <f>25/L5*G5/3600*5/24*5</f>
        <v>40.22914521112255</v>
      </c>
      <c r="N5" s="4">
        <f>M5*E5*24</f>
        <v>1977342.9454170954</v>
      </c>
      <c r="O5" s="4">
        <v>4</v>
      </c>
    </row>
    <row r="6" spans="1:16" ht="15" customHeight="1" x14ac:dyDescent="0.25">
      <c r="A6" s="4" t="s">
        <v>78</v>
      </c>
      <c r="B6" s="4">
        <f>6144*4</f>
        <v>24576</v>
      </c>
      <c r="C6" s="4">
        <v>383</v>
      </c>
      <c r="D6" s="4">
        <v>4608</v>
      </c>
      <c r="E6" s="4">
        <v>2048</v>
      </c>
      <c r="F6" s="4">
        <v>67.31</v>
      </c>
      <c r="G6" s="4">
        <v>27</v>
      </c>
      <c r="H6" s="4">
        <v>13.5</v>
      </c>
      <c r="I6" s="4">
        <v>2266.5969</v>
      </c>
      <c r="J6" s="4">
        <v>2271.4740000000002</v>
      </c>
      <c r="K6" s="4">
        <f>J6-I6</f>
        <v>4.877100000000155</v>
      </c>
      <c r="L6" s="4">
        <v>4.8549999999999999E-3</v>
      </c>
      <c r="M6" s="4">
        <f>25/L6*G6/3600*5/24*5</f>
        <v>40.22914521112255</v>
      </c>
      <c r="N6" s="4">
        <f>M6*E6*24</f>
        <v>1977342.9454170954</v>
      </c>
      <c r="O6" s="4">
        <v>4</v>
      </c>
    </row>
    <row r="7" spans="1:16" ht="15" customHeight="1" x14ac:dyDescent="0.25">
      <c r="P7" t="s">
        <v>80</v>
      </c>
    </row>
    <row r="8" spans="1:16" ht="15" customHeight="1" x14ac:dyDescent="0.25"/>
    <row r="9" spans="1:16" ht="15" customHeight="1" x14ac:dyDescent="0.25"/>
    <row r="10" spans="1:16" ht="15" customHeight="1" x14ac:dyDescent="0.25"/>
    <row r="11" spans="1:16" ht="15" customHeight="1" x14ac:dyDescent="0.25"/>
    <row r="12" spans="1:16" ht="15" customHeight="1" x14ac:dyDescent="0.25"/>
    <row r="13" spans="1:16" ht="15" customHeight="1" x14ac:dyDescent="0.25"/>
    <row r="14" spans="1:16" ht="15" customHeight="1" x14ac:dyDescent="0.25"/>
    <row r="15" spans="1:16" ht="15" customHeight="1" x14ac:dyDescent="0.25"/>
    <row r="16" spans="1: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5536"/>
  <sheetViews>
    <sheetView zoomScaleNormal="100" workbookViewId="0">
      <selection activeCell="C2" sqref="C2"/>
    </sheetView>
  </sheetViews>
  <sheetFormatPr baseColWidth="10" defaultRowHeight="15" x14ac:dyDescent="0.25"/>
  <cols>
    <col min="1" max="1" width="17.7109375"/>
    <col min="2" max="4" width="10.5703125"/>
    <col min="5" max="5" width="11.85546875"/>
    <col min="6" max="6" width="10.5703125"/>
    <col min="8" max="1025" width="10.5703125"/>
  </cols>
  <sheetData>
    <row r="1" spans="1:14" ht="15" customHeight="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ht="15" customHeight="1" x14ac:dyDescent="0.25">
      <c r="A2" s="8" t="s">
        <v>36</v>
      </c>
      <c r="B2" s="8">
        <v>1030</v>
      </c>
      <c r="C2" s="8">
        <v>1220</v>
      </c>
      <c r="D2" s="8">
        <v>125</v>
      </c>
      <c r="E2" s="8">
        <f>10*3.1416</f>
        <v>31.416</v>
      </c>
      <c r="F2" s="8">
        <f>3*3.1416</f>
        <v>9.4247999999999994</v>
      </c>
      <c r="G2" s="8"/>
      <c r="H2" s="8">
        <v>4400</v>
      </c>
      <c r="I2" s="8">
        <v>6200</v>
      </c>
      <c r="J2" s="8">
        <f t="shared" ref="J2:J9" si="0">0.9*(I2-H2)/E2</f>
        <v>51.566080977845687</v>
      </c>
      <c r="K2" s="8" t="s">
        <v>37</v>
      </c>
      <c r="L2" s="9" t="s">
        <v>16</v>
      </c>
      <c r="M2" s="9">
        <v>0</v>
      </c>
    </row>
    <row r="3" spans="1:14" ht="15" customHeight="1" x14ac:dyDescent="0.25">
      <c r="A3" s="8" t="s">
        <v>38</v>
      </c>
      <c r="B3" s="8">
        <v>1000</v>
      </c>
      <c r="C3" s="8">
        <v>1014</v>
      </c>
      <c r="D3" s="8">
        <v>125</v>
      </c>
      <c r="E3" s="8">
        <f>10*3.1416</f>
        <v>31.416</v>
      </c>
      <c r="F3" s="9">
        <f t="shared" ref="F3:F8" si="1">6*3.1416</f>
        <v>18.849599999999999</v>
      </c>
      <c r="G3" s="9"/>
      <c r="H3" s="8">
        <v>5000</v>
      </c>
      <c r="I3" s="8">
        <v>5300</v>
      </c>
      <c r="J3" s="8">
        <f t="shared" si="0"/>
        <v>8.5943468296409478</v>
      </c>
      <c r="K3" s="8" t="s">
        <v>39</v>
      </c>
      <c r="L3" s="9"/>
      <c r="M3" s="9"/>
    </row>
    <row r="4" spans="1:14" ht="15" customHeight="1" x14ac:dyDescent="0.25">
      <c r="A4" s="9" t="s">
        <v>40</v>
      </c>
      <c r="B4" s="9">
        <v>1100</v>
      </c>
      <c r="C4" s="9">
        <v>1668</v>
      </c>
      <c r="D4" s="9">
        <v>125</v>
      </c>
      <c r="E4" s="9">
        <f>20*3.1416</f>
        <v>62.832000000000001</v>
      </c>
      <c r="F4" s="9">
        <f t="shared" si="1"/>
        <v>18.849599999999999</v>
      </c>
      <c r="G4" s="9"/>
      <c r="H4" s="9">
        <v>2644</v>
      </c>
      <c r="I4" s="9">
        <v>4122</v>
      </c>
      <c r="J4" s="9">
        <f t="shared" si="0"/>
        <v>21.170741023682201</v>
      </c>
      <c r="K4" s="9" t="s">
        <v>37</v>
      </c>
      <c r="L4" s="9" t="s">
        <v>16</v>
      </c>
      <c r="M4" s="9">
        <v>0</v>
      </c>
    </row>
    <row r="5" spans="1:14" ht="15" customHeight="1" x14ac:dyDescent="0.25">
      <c r="A5" s="9" t="s">
        <v>40</v>
      </c>
      <c r="B5" s="9">
        <v>1670</v>
      </c>
      <c r="C5" s="9">
        <v>1710</v>
      </c>
      <c r="D5" s="9">
        <v>125</v>
      </c>
      <c r="E5" s="9">
        <f>20*3.1416</f>
        <v>62.832000000000001</v>
      </c>
      <c r="F5" s="9">
        <f t="shared" si="1"/>
        <v>18.849599999999999</v>
      </c>
      <c r="G5" s="9"/>
      <c r="H5" s="9">
        <v>4122</v>
      </c>
      <c r="I5" s="9">
        <v>4933</v>
      </c>
      <c r="J5" s="9">
        <f t="shared" si="0"/>
        <v>11.616692131398013</v>
      </c>
      <c r="K5" s="9" t="s">
        <v>37</v>
      </c>
      <c r="L5" s="9" t="s">
        <v>16</v>
      </c>
      <c r="M5" s="10">
        <v>41744</v>
      </c>
    </row>
    <row r="6" spans="1:14" ht="15" customHeight="1" x14ac:dyDescent="0.25">
      <c r="A6" s="9" t="s">
        <v>41</v>
      </c>
      <c r="B6" s="9">
        <v>1723</v>
      </c>
      <c r="C6" s="9">
        <v>2007</v>
      </c>
      <c r="D6" s="9">
        <v>125</v>
      </c>
      <c r="E6" s="9">
        <f>40*3.1416</f>
        <v>125.664</v>
      </c>
      <c r="F6" s="9">
        <f t="shared" si="1"/>
        <v>18.849599999999999</v>
      </c>
      <c r="G6" s="9"/>
      <c r="H6" s="9">
        <v>107</v>
      </c>
      <c r="I6" s="9">
        <v>2766</v>
      </c>
      <c r="J6" s="9">
        <f t="shared" si="0"/>
        <v>19.043640183346064</v>
      </c>
      <c r="K6" s="9" t="s">
        <v>37</v>
      </c>
      <c r="L6" s="9" t="s">
        <v>16</v>
      </c>
      <c r="M6" s="9">
        <v>0</v>
      </c>
    </row>
    <row r="7" spans="1:14" ht="15" customHeight="1" x14ac:dyDescent="0.25">
      <c r="A7" s="9" t="s">
        <v>41</v>
      </c>
      <c r="B7" s="9">
        <v>2007</v>
      </c>
      <c r="C7" s="9">
        <v>2496</v>
      </c>
      <c r="D7" s="9">
        <v>125</v>
      </c>
      <c r="E7" s="9">
        <f>40*3.1416</f>
        <v>125.664</v>
      </c>
      <c r="F7" s="9">
        <f t="shared" si="1"/>
        <v>18.849599999999999</v>
      </c>
      <c r="G7" s="9"/>
      <c r="H7" s="9">
        <v>2765</v>
      </c>
      <c r="I7" s="9">
        <v>7354</v>
      </c>
      <c r="J7" s="9">
        <f t="shared" si="0"/>
        <v>32.866214667685256</v>
      </c>
      <c r="K7" s="9" t="s">
        <v>37</v>
      </c>
      <c r="L7" s="9" t="s">
        <v>16</v>
      </c>
      <c r="M7" s="10">
        <v>41760</v>
      </c>
    </row>
    <row r="8" spans="1:14" ht="15" customHeight="1" x14ac:dyDescent="0.25">
      <c r="A8" s="9" t="s">
        <v>42</v>
      </c>
      <c r="B8" s="9">
        <v>1000</v>
      </c>
      <c r="C8" s="9">
        <v>1008</v>
      </c>
      <c r="D8" s="9">
        <v>125</v>
      </c>
      <c r="E8" s="9">
        <f>80*3.1416</f>
        <v>251.328</v>
      </c>
      <c r="F8" s="9">
        <f t="shared" si="1"/>
        <v>18.849599999999999</v>
      </c>
      <c r="G8" s="9"/>
      <c r="H8" s="9">
        <v>278.27999999999997</v>
      </c>
      <c r="I8" s="9">
        <v>7000</v>
      </c>
      <c r="J8" s="9">
        <f t="shared" si="0"/>
        <v>24.07033040488923</v>
      </c>
      <c r="K8" s="9" t="s">
        <v>37</v>
      </c>
      <c r="L8" s="9" t="s">
        <v>16</v>
      </c>
      <c r="M8" s="9">
        <v>0</v>
      </c>
    </row>
    <row r="9" spans="1:14" ht="15" customHeight="1" x14ac:dyDescent="0.25">
      <c r="A9" s="9" t="s">
        <v>43</v>
      </c>
      <c r="B9" s="9">
        <v>1000</v>
      </c>
      <c r="C9" s="9">
        <v>1021</v>
      </c>
      <c r="D9" s="9">
        <v>125</v>
      </c>
      <c r="E9" s="9">
        <f>20*3.1416</f>
        <v>62.832000000000001</v>
      </c>
      <c r="F9" s="9">
        <f>12*3.1416</f>
        <v>37.699199999999998</v>
      </c>
      <c r="G9" s="9"/>
      <c r="H9" s="9">
        <v>0</v>
      </c>
      <c r="I9" s="9">
        <v>3100</v>
      </c>
      <c r="J9" s="9">
        <f t="shared" si="0"/>
        <v>44.404125286478227</v>
      </c>
      <c r="K9" s="9" t="s">
        <v>37</v>
      </c>
      <c r="L9" s="9"/>
      <c r="M9" s="9">
        <v>0</v>
      </c>
    </row>
    <row r="10" spans="1:14" ht="15" customHeight="1" x14ac:dyDescent="0.25">
      <c r="A10" s="9" t="s">
        <v>44</v>
      </c>
      <c r="B10" s="9" t="s">
        <v>45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>
        <v>0</v>
      </c>
    </row>
    <row r="11" spans="1:14" ht="15" customHeight="1" x14ac:dyDescent="0.25">
      <c r="A11" s="9" t="s">
        <v>46</v>
      </c>
      <c r="B11" s="9">
        <v>1000</v>
      </c>
      <c r="C11" s="9">
        <v>1010</v>
      </c>
      <c r="D11" s="9">
        <v>125</v>
      </c>
      <c r="E11" s="9">
        <f>160*3.1415</f>
        <v>502.64000000000004</v>
      </c>
      <c r="F11" s="9">
        <v>18.84</v>
      </c>
      <c r="G11" s="9"/>
      <c r="H11" s="9">
        <v>918</v>
      </c>
      <c r="I11" s="9">
        <v>4000</v>
      </c>
      <c r="J11" s="9">
        <f>0.9*(I11-H11)/E11</f>
        <v>5.5184625179054594</v>
      </c>
      <c r="K11" s="9" t="s">
        <v>39</v>
      </c>
      <c r="L11" s="9" t="s">
        <v>16</v>
      </c>
      <c r="M11" s="10">
        <v>41760</v>
      </c>
    </row>
    <row r="12" spans="1:14" ht="15" customHeight="1" x14ac:dyDescent="0.25">
      <c r="A12" s="9" t="s">
        <v>47</v>
      </c>
      <c r="B12" s="9">
        <v>1300</v>
      </c>
      <c r="C12" s="9">
        <v>2095</v>
      </c>
      <c r="D12" s="9">
        <v>180</v>
      </c>
      <c r="E12" s="9">
        <f>20*3.1416</f>
        <v>62.832000000000001</v>
      </c>
      <c r="F12" s="9">
        <v>18.84</v>
      </c>
      <c r="G12" s="9"/>
      <c r="H12" s="9">
        <v>1800</v>
      </c>
      <c r="I12" s="9">
        <v>2800</v>
      </c>
      <c r="J12" s="9">
        <f>0.9*(I12-H12)/E12</f>
        <v>14.323911382734911</v>
      </c>
      <c r="K12" s="9" t="s">
        <v>37</v>
      </c>
      <c r="L12" s="9" t="s">
        <v>16</v>
      </c>
      <c r="M12" s="9">
        <v>0</v>
      </c>
    </row>
    <row r="13" spans="1:14" ht="15" customHeight="1" x14ac:dyDescent="0.25">
      <c r="A13" s="9" t="s">
        <v>48</v>
      </c>
      <c r="B13" s="9">
        <v>1000</v>
      </c>
      <c r="C13" s="9">
        <v>1253</v>
      </c>
      <c r="D13" s="9">
        <v>180</v>
      </c>
      <c r="E13" s="9">
        <f>40*3.1416</f>
        <v>125.664</v>
      </c>
      <c r="F13" s="9">
        <f>6*3.1416</f>
        <v>18.849599999999999</v>
      </c>
      <c r="G13" s="9"/>
      <c r="H13" s="9">
        <v>3142</v>
      </c>
      <c r="I13" s="9">
        <v>4500</v>
      </c>
      <c r="J13" s="9">
        <f>0.9*(I13-H13)/E13</f>
        <v>9.7259358288770059</v>
      </c>
      <c r="K13" s="9" t="s">
        <v>37</v>
      </c>
      <c r="L13" s="9" t="s">
        <v>16</v>
      </c>
      <c r="M13" s="9">
        <v>0</v>
      </c>
    </row>
    <row r="14" spans="1:14" ht="15" customHeight="1" x14ac:dyDescent="0.25">
      <c r="A14" s="9" t="s">
        <v>49</v>
      </c>
      <c r="B14" s="9">
        <v>1000</v>
      </c>
      <c r="C14" s="9">
        <v>1569</v>
      </c>
      <c r="D14" s="9">
        <v>180</v>
      </c>
      <c r="E14" s="9">
        <f>80*3.1416</f>
        <v>251.328</v>
      </c>
      <c r="F14" s="9">
        <f>6*3.1416</f>
        <v>18.849599999999999</v>
      </c>
      <c r="G14" s="9"/>
      <c r="H14" s="9">
        <v>369</v>
      </c>
      <c r="I14" s="9">
        <v>3515</v>
      </c>
      <c r="J14" s="9">
        <f>0.9*(I14-H14)/E14</f>
        <v>11.265756302521009</v>
      </c>
      <c r="K14" s="9" t="s">
        <v>37</v>
      </c>
      <c r="L14" s="9" t="s">
        <v>16</v>
      </c>
      <c r="M14" s="10">
        <v>41749</v>
      </c>
    </row>
    <row r="15" spans="1:14" ht="15" customHeight="1" x14ac:dyDescent="0.25">
      <c r="A15" s="9" t="s">
        <v>50</v>
      </c>
      <c r="B15" s="8">
        <v>317</v>
      </c>
      <c r="C15" s="8">
        <v>347</v>
      </c>
      <c r="D15" s="9">
        <v>180</v>
      </c>
      <c r="E15" s="9">
        <f>160*3.1415</f>
        <v>502.64000000000004</v>
      </c>
      <c r="F15" s="9">
        <f>6*3.1416</f>
        <v>18.849599999999999</v>
      </c>
      <c r="G15" s="9"/>
      <c r="H15" s="9">
        <v>600</v>
      </c>
      <c r="I15" s="9">
        <v>700</v>
      </c>
      <c r="J15" s="9">
        <f>0.9*(I15-H15)/E15</f>
        <v>0.17905459175553079</v>
      </c>
      <c r="K15" s="9" t="s">
        <v>39</v>
      </c>
      <c r="L15" s="9" t="s">
        <v>19</v>
      </c>
      <c r="M15" s="9" t="s">
        <v>51</v>
      </c>
    </row>
    <row r="16" spans="1:14" ht="1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>
        <v>0</v>
      </c>
    </row>
    <row r="17" spans="1:14" ht="15" customHeight="1" x14ac:dyDescent="0.25">
      <c r="A17" s="8" t="s">
        <v>52</v>
      </c>
      <c r="B17" s="9">
        <v>820</v>
      </c>
      <c r="C17" s="9">
        <v>2121</v>
      </c>
      <c r="D17" s="8">
        <v>250</v>
      </c>
      <c r="E17" s="9">
        <f>20*3.1416</f>
        <v>62.832000000000001</v>
      </c>
      <c r="F17" s="9">
        <v>18.84</v>
      </c>
      <c r="G17" s="9"/>
      <c r="H17" s="8">
        <v>500</v>
      </c>
      <c r="I17" s="8">
        <v>1405</v>
      </c>
      <c r="J17" s="9">
        <f>0.9*(I17-H17)/E17</f>
        <v>12.963139801375096</v>
      </c>
      <c r="K17" s="8" t="s">
        <v>37</v>
      </c>
      <c r="L17" s="8" t="s">
        <v>16</v>
      </c>
      <c r="M17" s="8">
        <v>0</v>
      </c>
    </row>
    <row r="18" spans="1:14" ht="15" customHeight="1" x14ac:dyDescent="0.25">
      <c r="A18" s="9" t="s">
        <v>53</v>
      </c>
      <c r="B18" s="9">
        <v>2116</v>
      </c>
      <c r="C18" s="9">
        <v>2451</v>
      </c>
      <c r="D18" s="9">
        <v>250</v>
      </c>
      <c r="E18" s="9">
        <v>62.832000000000001</v>
      </c>
      <c r="F18" s="9">
        <v>37.699199999999998</v>
      </c>
      <c r="G18" s="9"/>
      <c r="H18" s="9">
        <v>1400</v>
      </c>
      <c r="I18" s="9">
        <v>1625</v>
      </c>
      <c r="J18" s="9">
        <f>0.9*(I18-H18)/E18</f>
        <v>3.2228800611153554</v>
      </c>
      <c r="K18" s="9" t="s">
        <v>37</v>
      </c>
      <c r="L18" s="9" t="s">
        <v>16</v>
      </c>
      <c r="M18" s="9" t="s">
        <v>51</v>
      </c>
    </row>
    <row r="19" spans="1:14" ht="15" customHeight="1" x14ac:dyDescent="0.25">
      <c r="A19" s="9" t="s">
        <v>54</v>
      </c>
      <c r="B19" s="8">
        <v>1040</v>
      </c>
      <c r="C19" s="8">
        <v>1157</v>
      </c>
      <c r="D19" s="8">
        <v>250</v>
      </c>
      <c r="E19" s="9">
        <f>40*3.1416</f>
        <v>125.664</v>
      </c>
      <c r="F19" s="9">
        <f>6*3.1416</f>
        <v>18.849599999999999</v>
      </c>
      <c r="G19" s="9"/>
      <c r="H19" s="8">
        <v>1629</v>
      </c>
      <c r="I19" s="8">
        <v>2756</v>
      </c>
      <c r="J19" s="9">
        <f>0.9*(I19-H19)/E19</f>
        <v>8.0715240641711237</v>
      </c>
      <c r="K19" s="8" t="s">
        <v>39</v>
      </c>
      <c r="L19" s="8" t="s">
        <v>16</v>
      </c>
      <c r="M19" s="9" t="s">
        <v>55</v>
      </c>
    </row>
    <row r="20" spans="1:14" ht="15" customHeight="1" x14ac:dyDescent="0.25">
      <c r="A20" s="9" t="s">
        <v>56</v>
      </c>
      <c r="B20" s="9"/>
      <c r="C20" s="9"/>
      <c r="D20" s="9">
        <v>250</v>
      </c>
      <c r="E20" s="9">
        <f>160*3.1415</f>
        <v>502.64000000000004</v>
      </c>
      <c r="F20" s="9">
        <f>6*3.1416</f>
        <v>18.849599999999999</v>
      </c>
      <c r="G20" s="9"/>
      <c r="H20" s="9">
        <v>0</v>
      </c>
      <c r="I20" s="9">
        <v>420</v>
      </c>
      <c r="J20" s="9">
        <f>0.9*(I20-H20)/E20</f>
        <v>0.75202928537322933</v>
      </c>
      <c r="K20" s="9" t="s">
        <v>39</v>
      </c>
      <c r="L20" s="9" t="s">
        <v>19</v>
      </c>
      <c r="M20" s="9" t="s">
        <v>51</v>
      </c>
    </row>
    <row r="21" spans="1:14" ht="15" customHeight="1" x14ac:dyDescent="0.25">
      <c r="A21" s="8" t="s">
        <v>57</v>
      </c>
      <c r="B21" s="9">
        <v>101</v>
      </c>
      <c r="C21" s="9">
        <v>283</v>
      </c>
      <c r="D21" s="8">
        <v>550</v>
      </c>
      <c r="E21" s="9">
        <f>20*3.1416</f>
        <v>62.832000000000001</v>
      </c>
      <c r="F21" s="9">
        <v>18.84</v>
      </c>
      <c r="G21" s="9"/>
      <c r="H21" s="8">
        <v>327</v>
      </c>
      <c r="I21" s="8">
        <v>1167</v>
      </c>
      <c r="J21" s="9">
        <f>0.9*(I21-H21)/E21</f>
        <v>12.032085561497325</v>
      </c>
      <c r="K21" s="8" t="s">
        <v>37</v>
      </c>
      <c r="L21" s="8" t="s">
        <v>19</v>
      </c>
      <c r="M21" s="8">
        <v>0</v>
      </c>
      <c r="N21" t="s">
        <v>58</v>
      </c>
    </row>
    <row r="22" spans="1:14" ht="15" customHeight="1" x14ac:dyDescent="0.25">
      <c r="A22" s="8" t="s">
        <v>59</v>
      </c>
    </row>
    <row r="23" spans="1:14" ht="15" customHeight="1" x14ac:dyDescent="0.25">
      <c r="A23" s="8" t="s">
        <v>60</v>
      </c>
    </row>
    <row r="24" spans="1:14" ht="15" customHeight="1" x14ac:dyDescent="0.25">
      <c r="A24" s="8" t="s">
        <v>61</v>
      </c>
    </row>
    <row r="25" spans="1:14" ht="15" customHeight="1" x14ac:dyDescent="0.25"/>
    <row r="26" spans="1:14" ht="15" customHeight="1" x14ac:dyDescent="0.25"/>
    <row r="27" spans="1:14" ht="15" customHeight="1" x14ac:dyDescent="0.25"/>
    <row r="28" spans="1:14" ht="15" customHeight="1" x14ac:dyDescent="0.25"/>
    <row r="29" spans="1:14" ht="15" customHeight="1" x14ac:dyDescent="0.25"/>
    <row r="30" spans="1:14" ht="15" customHeight="1" x14ac:dyDescent="0.25"/>
    <row r="31" spans="1:14" ht="15" customHeight="1" x14ac:dyDescent="0.25"/>
    <row r="32" spans="1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zoomScale="120" zoomScaleNormal="120" zoomScaleSheet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baseColWidth="10" defaultRowHeight="15" x14ac:dyDescent="0.25"/>
  <cols>
    <col min="1" max="1" width="11.42578125" style="4"/>
    <col min="2" max="2" width="12.140625" style="4" bestFit="1" customWidth="1"/>
    <col min="3" max="16384" width="11.42578125" style="4"/>
  </cols>
  <sheetData>
    <row r="1" spans="1:12" x14ac:dyDescent="0.25">
      <c r="A1" s="4" t="s">
        <v>82</v>
      </c>
      <c r="B1" s="4" t="s">
        <v>115</v>
      </c>
      <c r="C1" s="4" t="s">
        <v>96</v>
      </c>
      <c r="D1" s="4" t="s">
        <v>97</v>
      </c>
      <c r="E1" s="4" t="s">
        <v>98</v>
      </c>
      <c r="F1" s="4" t="s">
        <v>82</v>
      </c>
      <c r="G1" s="4" t="s">
        <v>99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</row>
    <row r="2" spans="1:12" x14ac:dyDescent="0.25">
      <c r="A2" s="4">
        <v>250</v>
      </c>
      <c r="B2" s="4" t="s">
        <v>116</v>
      </c>
      <c r="C2" s="4">
        <v>5.0000000000000001E-3</v>
      </c>
      <c r="H2" s="4">
        <v>359.520014</v>
      </c>
      <c r="L2" s="4" t="s">
        <v>106</v>
      </c>
    </row>
    <row r="3" spans="1:12" x14ac:dyDescent="0.25">
      <c r="A3" s="4">
        <v>500</v>
      </c>
      <c r="B3" s="4" t="s">
        <v>116</v>
      </c>
      <c r="C3" s="4">
        <v>0.01</v>
      </c>
      <c r="D3" s="4" t="e">
        <f>#REF!*#REF!</f>
        <v>#REF!</v>
      </c>
      <c r="E3" s="4" t="e">
        <f>#REF!*#REF!</f>
        <v>#REF!</v>
      </c>
      <c r="F3" s="4" t="e">
        <f>#REF!*#REF!</f>
        <v>#REF!</v>
      </c>
      <c r="G3" s="4" t="e">
        <f>(#REF!+#REF!)*0.5*#REF!</f>
        <v>#REF!</v>
      </c>
    </row>
    <row r="4" spans="1:12" x14ac:dyDescent="0.25">
      <c r="A4" s="4">
        <v>1000</v>
      </c>
      <c r="B4" s="4" t="s">
        <v>116</v>
      </c>
      <c r="C4" s="32">
        <v>2E-3</v>
      </c>
      <c r="G4" s="4" t="e">
        <f>(#REF!+#REF!)*0.5*#REF!</f>
        <v>#REF!</v>
      </c>
      <c r="L4" s="4" t="s">
        <v>107</v>
      </c>
    </row>
    <row r="5" spans="1:12" x14ac:dyDescent="0.25">
      <c r="A5" s="4">
        <v>1000</v>
      </c>
      <c r="B5" s="4" t="s">
        <v>117</v>
      </c>
      <c r="C5" s="32">
        <v>5.0000000000000001E-3</v>
      </c>
      <c r="G5" s="4" t="e">
        <f>(#REF!+#REF!)*0.5*#REF!</f>
        <v>#REF!</v>
      </c>
    </row>
    <row r="6" spans="1:12" s="32" customFormat="1" x14ac:dyDescent="0.25">
      <c r="A6" s="32">
        <v>2000</v>
      </c>
      <c r="B6" s="32" t="s">
        <v>116</v>
      </c>
      <c r="C6" s="32">
        <v>0.01</v>
      </c>
      <c r="D6" s="32">
        <v>142.056445</v>
      </c>
      <c r="E6" s="32">
        <v>1340.888267</v>
      </c>
      <c r="F6" s="32">
        <v>953.45722999999998</v>
      </c>
      <c r="G6" s="4" t="e">
        <f>(#REF!+#REF!)*0.5*#REF!</f>
        <v>#REF!</v>
      </c>
      <c r="H6" s="32">
        <v>493.97176000000002</v>
      </c>
      <c r="I6" s="32" t="s">
        <v>94</v>
      </c>
      <c r="J6" s="32" t="s">
        <v>94</v>
      </c>
    </row>
    <row r="7" spans="1:12" x14ac:dyDescent="0.25">
      <c r="A7" s="32">
        <v>1000</v>
      </c>
      <c r="B7" s="32" t="s">
        <v>108</v>
      </c>
      <c r="C7" s="33">
        <v>0.02</v>
      </c>
      <c r="D7" s="33">
        <v>48.411434</v>
      </c>
      <c r="E7" s="33">
        <v>1394.1689490000001</v>
      </c>
      <c r="F7" s="33">
        <v>986.420479</v>
      </c>
      <c r="G7" s="4" t="e">
        <f>(#REF!+#REF!)*0.5*#REF!</f>
        <v>#REF!</v>
      </c>
      <c r="H7" s="33">
        <v>396.27880399999998</v>
      </c>
      <c r="I7" s="32" t="s">
        <v>88</v>
      </c>
      <c r="J7" s="4" t="s">
        <v>88</v>
      </c>
    </row>
    <row r="8" spans="1:12" x14ac:dyDescent="0.25">
      <c r="C8" s="4">
        <v>0.03</v>
      </c>
    </row>
    <row r="12" spans="1:12" x14ac:dyDescent="0.25">
      <c r="C12" s="4" t="s">
        <v>118</v>
      </c>
      <c r="D12" s="4" t="s">
        <v>119</v>
      </c>
      <c r="E12" s="4" t="s">
        <v>100</v>
      </c>
      <c r="F12" s="4" t="s">
        <v>120</v>
      </c>
      <c r="G12" s="4" t="s">
        <v>7</v>
      </c>
      <c r="H12" s="4" t="s">
        <v>109</v>
      </c>
      <c r="J12" s="4" t="s">
        <v>110</v>
      </c>
      <c r="K12" s="4">
        <v>1.7976000000000001</v>
      </c>
    </row>
    <row r="14" spans="1:12" x14ac:dyDescent="0.25">
      <c r="A14" s="4">
        <v>250</v>
      </c>
      <c r="B14" s="4">
        <f>16*3.1415</f>
        <v>50.264000000000003</v>
      </c>
      <c r="C14" s="34">
        <v>312.62237549999998</v>
      </c>
      <c r="D14" s="4">
        <v>1402.9724120999999</v>
      </c>
      <c r="E14" s="4">
        <v>4.8694300000000003E-2</v>
      </c>
      <c r="F14" s="4">
        <v>1.7976000999999999</v>
      </c>
      <c r="G14" s="4">
        <v>5000</v>
      </c>
      <c r="H14" s="4">
        <f>(D14-C14)/B14</f>
        <v>21.692464519337893</v>
      </c>
    </row>
    <row r="15" spans="1:12" x14ac:dyDescent="0.25">
      <c r="A15" s="4">
        <v>500</v>
      </c>
      <c r="B15" s="4">
        <f>16*3.1415</f>
        <v>50.264000000000003</v>
      </c>
      <c r="C15" s="34">
        <v>164.87625120000001</v>
      </c>
      <c r="D15" s="4">
        <v>1167.6096190999999</v>
      </c>
      <c r="E15" s="4">
        <v>4.4148600000000003E-2</v>
      </c>
      <c r="F15" s="4">
        <v>1.7976000000000001</v>
      </c>
      <c r="G15" s="4">
        <v>12500</v>
      </c>
      <c r="H15" s="4">
        <f>(D15-C15)/B15</f>
        <v>19.949334869886993</v>
      </c>
    </row>
    <row r="16" spans="1:12" x14ac:dyDescent="0.25">
      <c r="A16" s="4">
        <v>1000</v>
      </c>
      <c r="B16" s="4">
        <f>16*3.1415</f>
        <v>50.264000000000003</v>
      </c>
      <c r="C16" s="34">
        <v>2051.1264648000001</v>
      </c>
      <c r="D16" s="4">
        <v>2296.0678711</v>
      </c>
      <c r="E16" s="4">
        <v>4.1269899999999998E-2</v>
      </c>
      <c r="F16" s="4">
        <v>1.7976000000000001</v>
      </c>
      <c r="G16" s="4">
        <v>25000</v>
      </c>
      <c r="H16" s="4">
        <f>(D16-C16)/B16</f>
        <v>4.8730981676746756</v>
      </c>
      <c r="I16" s="4" t="s">
        <v>121</v>
      </c>
    </row>
    <row r="17" spans="1:8" x14ac:dyDescent="0.25">
      <c r="A17" s="4">
        <v>1000</v>
      </c>
      <c r="B17" s="4">
        <f>32*3.1415</f>
        <v>100.52800000000001</v>
      </c>
      <c r="C17" s="35">
        <v>2004.6693115</v>
      </c>
      <c r="D17" s="4">
        <v>2253.5866698999998</v>
      </c>
      <c r="E17" s="4">
        <v>4.0944399999999999E-2</v>
      </c>
      <c r="F17" s="4">
        <v>1.7976000999999999</v>
      </c>
      <c r="G17" s="4">
        <v>25000</v>
      </c>
      <c r="H17" s="4">
        <f>(D17-C17)/B17</f>
        <v>2.4760997771765059</v>
      </c>
    </row>
    <row r="18" spans="1:8" x14ac:dyDescent="0.25">
      <c r="A18" s="32">
        <v>2000</v>
      </c>
      <c r="B18" s="4">
        <f>16*3.1415</f>
        <v>50.264000000000003</v>
      </c>
      <c r="G18" s="4">
        <v>9359</v>
      </c>
      <c r="H18" s="4">
        <f>(D18-C18)/B18</f>
        <v>0</v>
      </c>
    </row>
    <row r="19" spans="1:8" ht="14.25" customHeight="1" x14ac:dyDescent="0.25"/>
    <row r="31" spans="1:8" x14ac:dyDescent="0.25">
      <c r="A31" s="4" t="s">
        <v>102</v>
      </c>
      <c r="D31" s="4" t="s">
        <v>111</v>
      </c>
      <c r="E31" s="4" t="s">
        <v>112</v>
      </c>
      <c r="F31" s="4" t="s">
        <v>113</v>
      </c>
      <c r="G31" s="4" t="s">
        <v>114</v>
      </c>
    </row>
    <row r="32" spans="1:8" x14ac:dyDescent="0.25">
      <c r="A32" s="34">
        <v>1000</v>
      </c>
      <c r="B32" s="34">
        <v>2E-3</v>
      </c>
      <c r="C32" s="34">
        <v>16000</v>
      </c>
      <c r="D32" s="34">
        <v>2</v>
      </c>
      <c r="E32" s="34">
        <v>3</v>
      </c>
      <c r="F32" s="34">
        <v>3</v>
      </c>
      <c r="G32" s="34">
        <v>7</v>
      </c>
    </row>
    <row r="33" spans="1:7" x14ac:dyDescent="0.25">
      <c r="A33" s="34">
        <v>1000</v>
      </c>
      <c r="B33" s="34">
        <v>5.0000000000000001E-3</v>
      </c>
      <c r="C33" s="34">
        <v>10000</v>
      </c>
    </row>
    <row r="34" spans="1:7" x14ac:dyDescent="0.25">
      <c r="A34" s="34">
        <v>1000</v>
      </c>
      <c r="B34" s="34">
        <v>0.01</v>
      </c>
      <c r="C34" s="34">
        <v>6000</v>
      </c>
    </row>
    <row r="35" spans="1:7" x14ac:dyDescent="0.25">
      <c r="A35" s="34">
        <v>1000</v>
      </c>
      <c r="B35" s="35">
        <v>0.02</v>
      </c>
      <c r="C35" s="35">
        <v>3500</v>
      </c>
    </row>
    <row r="36" spans="1:7" x14ac:dyDescent="0.25">
      <c r="A36" s="4">
        <v>500</v>
      </c>
      <c r="B36" s="4">
        <v>1.4999999999999999E-2</v>
      </c>
      <c r="C36" s="4">
        <v>2500</v>
      </c>
      <c r="D36" s="4">
        <v>3</v>
      </c>
      <c r="E36" s="4">
        <v>10</v>
      </c>
      <c r="F36" s="4">
        <v>5</v>
      </c>
      <c r="G36" s="4">
        <v>26.92</v>
      </c>
    </row>
    <row r="37" spans="1:7" x14ac:dyDescent="0.25">
      <c r="A37" s="4">
        <v>250</v>
      </c>
      <c r="B37" s="4">
        <v>1.2E-2</v>
      </c>
      <c r="C37" s="4">
        <v>1600</v>
      </c>
      <c r="D37" s="4">
        <v>3</v>
      </c>
      <c r="E37" s="4">
        <v>5</v>
      </c>
      <c r="F37" s="4">
        <v>6</v>
      </c>
      <c r="G37" s="4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MESH</vt:lpstr>
      <vt:lpstr>SIMULATIONS-ACTUAL</vt:lpstr>
      <vt:lpstr>Hoja3</vt:lpstr>
      <vt:lpstr>SIMULATIONS</vt:lpstr>
      <vt:lpstr>Paper_validation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Hoyas Calvo</dc:creator>
  <cp:lastModifiedBy>Sergio Hoyas Calvo</cp:lastModifiedBy>
  <cp:revision>0</cp:revision>
  <dcterms:created xsi:type="dcterms:W3CDTF">2013-07-25T10:08:30Z</dcterms:created>
  <dcterms:modified xsi:type="dcterms:W3CDTF">2022-10-04T09:45:11Z</dcterms:modified>
</cp:coreProperties>
</file>