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 Passarella\Google Drive\New Conferences\Six lectures on SFC models\Models\"/>
    </mc:Choice>
  </mc:AlternateContent>
  <bookViews>
    <workbookView xWindow="0" yWindow="0" windowWidth="19200" windowHeight="7430"/>
  </bookViews>
  <sheets>
    <sheet name="PC_data" sheetId="1" r:id="rId1"/>
  </sheets>
  <calcPr calcId="162913"/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50" i="1" l="1"/>
  <c r="E50" i="1"/>
  <c r="I49" i="1"/>
  <c r="I48" i="1"/>
  <c r="M48" i="1" s="1"/>
  <c r="C48" i="1"/>
  <c r="I45" i="1"/>
  <c r="K46" i="1" s="1"/>
  <c r="E44" i="1"/>
  <c r="C44" i="1"/>
  <c r="M44" i="1" s="1"/>
  <c r="C42" i="1"/>
  <c r="M42" i="1" s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K43" i="1"/>
  <c r="E43" i="1"/>
  <c r="E42" i="1"/>
  <c r="G37" i="1"/>
  <c r="I34" i="1"/>
  <c r="C34" i="1"/>
  <c r="M34" i="1" s="1"/>
  <c r="E37" i="1"/>
  <c r="Q2" i="1"/>
  <c r="N2" i="1" s="1"/>
  <c r="O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I35" i="1" s="1"/>
  <c r="I46" i="1" l="1"/>
  <c r="M46" i="1" s="1"/>
  <c r="I50" i="1"/>
  <c r="M43" i="1"/>
  <c r="H3" i="1"/>
  <c r="J3" i="1" s="1"/>
  <c r="I37" i="1"/>
  <c r="M3" i="1" l="1"/>
  <c r="N3" i="1" l="1"/>
  <c r="H4" i="1" l="1"/>
  <c r="M4" i="1" s="1"/>
  <c r="O3" i="1"/>
  <c r="J4" i="1" l="1"/>
  <c r="N4" i="1" l="1"/>
  <c r="H5" i="1" s="1"/>
  <c r="O4" i="1" l="1"/>
  <c r="J5" i="1" l="1"/>
  <c r="M5" i="1"/>
  <c r="N5" i="1" l="1"/>
  <c r="H6" i="1" s="1"/>
  <c r="O5" i="1" l="1"/>
  <c r="J6" i="1" l="1"/>
  <c r="M6" i="1"/>
  <c r="N6" i="1" l="1"/>
  <c r="H7" i="1" s="1"/>
  <c r="O6" i="1" l="1"/>
  <c r="J7" i="1" l="1"/>
  <c r="M7" i="1"/>
  <c r="N7" i="1" l="1"/>
  <c r="H8" i="1" s="1"/>
  <c r="O7" i="1" l="1"/>
  <c r="J8" i="1" l="1"/>
  <c r="M8" i="1"/>
  <c r="N8" i="1" l="1"/>
  <c r="H9" i="1" s="1"/>
  <c r="O8" i="1" l="1"/>
  <c r="J9" i="1" l="1"/>
  <c r="M9" i="1"/>
  <c r="N9" i="1" l="1"/>
  <c r="H10" i="1" s="1"/>
  <c r="O9" i="1" l="1"/>
  <c r="J10" i="1" l="1"/>
  <c r="M10" i="1"/>
  <c r="N10" i="1" l="1"/>
  <c r="H11" i="1" s="1"/>
  <c r="O10" i="1" l="1"/>
  <c r="J11" i="1" l="1"/>
  <c r="M11" i="1"/>
  <c r="N11" i="1" l="1"/>
  <c r="H12" i="1" s="1"/>
  <c r="O11" i="1" l="1"/>
  <c r="J12" i="1" l="1"/>
  <c r="M12" i="1"/>
  <c r="N12" i="1" l="1"/>
  <c r="H13" i="1" s="1"/>
  <c r="O12" i="1" l="1"/>
  <c r="J13" i="1" l="1"/>
  <c r="M13" i="1"/>
  <c r="N13" i="1" l="1"/>
  <c r="H14" i="1" s="1"/>
  <c r="O13" i="1" l="1"/>
  <c r="J14" i="1" l="1"/>
  <c r="M14" i="1"/>
  <c r="N14" i="1" l="1"/>
  <c r="H15" i="1" s="1"/>
  <c r="O14" i="1" l="1"/>
  <c r="J15" i="1" l="1"/>
  <c r="M15" i="1"/>
  <c r="N15" i="1" l="1"/>
  <c r="H16" i="1" s="1"/>
  <c r="O15" i="1" l="1"/>
  <c r="J16" i="1" l="1"/>
  <c r="M16" i="1"/>
  <c r="N16" i="1" l="1"/>
  <c r="H17" i="1" s="1"/>
  <c r="O16" i="1" l="1"/>
  <c r="J17" i="1" l="1"/>
  <c r="M17" i="1"/>
  <c r="N17" i="1" l="1"/>
  <c r="H18" i="1" s="1"/>
  <c r="O17" i="1" l="1"/>
  <c r="J18" i="1" l="1"/>
  <c r="M18" i="1"/>
  <c r="N18" i="1" l="1"/>
  <c r="H19" i="1" s="1"/>
  <c r="O18" i="1" l="1"/>
  <c r="J19" i="1" l="1"/>
  <c r="M19" i="1"/>
  <c r="N19" i="1" l="1"/>
  <c r="H20" i="1" s="1"/>
  <c r="O19" i="1" l="1"/>
  <c r="J20" i="1" l="1"/>
  <c r="M20" i="1"/>
  <c r="N20" i="1" l="1"/>
  <c r="H21" i="1" s="1"/>
  <c r="O20" i="1" l="1"/>
  <c r="J21" i="1" l="1"/>
  <c r="M21" i="1"/>
  <c r="N21" i="1" l="1"/>
  <c r="H22" i="1" s="1"/>
  <c r="O21" i="1" l="1"/>
  <c r="J22" i="1" l="1"/>
  <c r="M22" i="1"/>
  <c r="N22" i="1" l="1"/>
  <c r="H23" i="1" s="1"/>
  <c r="O22" i="1" l="1"/>
  <c r="J23" i="1" l="1"/>
  <c r="M23" i="1"/>
  <c r="N23" i="1" l="1"/>
  <c r="H24" i="1" s="1"/>
  <c r="O23" i="1" l="1"/>
  <c r="J24" i="1" l="1"/>
  <c r="M24" i="1"/>
  <c r="N24" i="1" l="1"/>
  <c r="H25" i="1" s="1"/>
  <c r="O24" i="1" l="1"/>
  <c r="J25" i="1" l="1"/>
  <c r="M25" i="1"/>
  <c r="N25" i="1" l="1"/>
  <c r="H26" i="1" s="1"/>
  <c r="O25" i="1" l="1"/>
  <c r="J26" i="1" l="1"/>
  <c r="M26" i="1"/>
  <c r="N26" i="1" l="1"/>
  <c r="H27" i="1" s="1"/>
  <c r="O26" i="1" l="1"/>
  <c r="J27" i="1" l="1"/>
  <c r="M27" i="1"/>
  <c r="K45" i="1" s="1"/>
  <c r="N27" i="1" l="1"/>
  <c r="H28" i="1" l="1"/>
  <c r="C45" i="1"/>
  <c r="O27" i="1"/>
  <c r="M45" i="1" l="1"/>
  <c r="K47" i="1"/>
  <c r="C47" i="1"/>
  <c r="M47" i="1" s="1"/>
  <c r="J28" i="1"/>
  <c r="M28" i="1"/>
  <c r="K49" i="1" s="1"/>
  <c r="K50" i="1" l="1"/>
  <c r="K35" i="1"/>
  <c r="K36" i="1"/>
  <c r="N28" i="1"/>
  <c r="C49" i="1" s="1"/>
  <c r="C50" i="1" s="1"/>
  <c r="K37" i="1" l="1"/>
  <c r="C35" i="1"/>
  <c r="C36" i="1"/>
  <c r="M36" i="1" s="1"/>
  <c r="O28" i="1"/>
  <c r="M49" i="1" l="1"/>
  <c r="M50" i="1" s="1"/>
  <c r="M35" i="1"/>
  <c r="M37" i="1" s="1"/>
  <c r="C37" i="1"/>
</calcChain>
</file>

<file path=xl/sharedStrings.xml><?xml version="1.0" encoding="utf-8"?>
<sst xmlns="http://schemas.openxmlformats.org/spreadsheetml/2006/main" count="45" uniqueCount="37">
  <si>
    <t>Year</t>
  </si>
  <si>
    <t>CONS</t>
  </si>
  <si>
    <t>INV</t>
  </si>
  <si>
    <t>GOV</t>
  </si>
  <si>
    <t>X</t>
  </si>
  <si>
    <t>IM</t>
  </si>
  <si>
    <t>Y</t>
  </si>
  <si>
    <t>TAX</t>
  </si>
  <si>
    <t>WB</t>
  </si>
  <si>
    <t>YD</t>
  </si>
  <si>
    <t>Hh</t>
  </si>
  <si>
    <t>Bh</t>
  </si>
  <si>
    <t>NVh</t>
  </si>
  <si>
    <t>Rb</t>
  </si>
  <si>
    <t>Bs</t>
  </si>
  <si>
    <t>Bcb</t>
  </si>
  <si>
    <t>Households</t>
  </si>
  <si>
    <t>Firms</t>
  </si>
  <si>
    <t>Central bank</t>
  </si>
  <si>
    <t>Government</t>
  </si>
  <si>
    <t>Total</t>
  </si>
  <si>
    <t>Money</t>
  </si>
  <si>
    <t>Bills</t>
  </si>
  <si>
    <t>Balance</t>
  </si>
  <si>
    <t>Balance sheet in 2021 (current prices)</t>
  </si>
  <si>
    <t>= re-classified variables</t>
  </si>
  <si>
    <t>Banks</t>
  </si>
  <si>
    <t>Transactions-flow matrix in 2021 (current prices)</t>
  </si>
  <si>
    <t>Income</t>
  </si>
  <si>
    <t>Interests</t>
  </si>
  <si>
    <t>Taxes</t>
  </si>
  <si>
    <t>Δ in cash</t>
  </si>
  <si>
    <t>Δ in bills</t>
  </si>
  <si>
    <t>Cons.</t>
  </si>
  <si>
    <t xml:space="preserve">Gov. </t>
  </si>
  <si>
    <t>CB prof.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</si>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</sst>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quotePrefix="1"/>
    <xf numFmtId="0" fontId="16" fillId="36" borderId="10" xfId="0" applyFont="1" applyFill="1" applyBorder="1" applyAlignment="1">
      <alignment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0" xfId="0" applyFont="1" applyFill="1" applyAlignment="1">
      <alignment vertical="center"/>
    </xf>
    <xf numFmtId="0" fontId="16" fillId="36" borderId="0" xfId="0" applyFont="1" applyFill="1" applyBorder="1" applyAlignment="1">
      <alignment vertical="center"/>
    </xf>
    <xf numFmtId="0" fontId="16" fillId="36" borderId="12" xfId="0" applyFont="1" applyFill="1" applyBorder="1" applyAlignment="1">
      <alignment vertical="center"/>
    </xf>
    <xf numFmtId="2" fontId="14" fillId="36" borderId="12" xfId="0" applyNumberFormat="1" applyFont="1" applyFill="1" applyBorder="1" applyAlignment="1">
      <alignment horizontal="center" vertical="center"/>
    </xf>
    <xf numFmtId="2" fontId="14" fillId="36" borderId="10" xfId="0" applyNumberFormat="1" applyFont="1" applyFill="1" applyBorder="1" applyAlignment="1">
      <alignment horizontal="center" vertical="center"/>
    </xf>
    <xf numFmtId="2" fontId="14" fillId="36" borderId="11" xfId="0" applyNumberFormat="1" applyFont="1" applyFill="1" applyBorder="1" applyAlignment="1">
      <alignment horizontal="center" vertical="center"/>
    </xf>
    <xf numFmtId="2" fontId="18" fillId="36" borderId="11" xfId="0" applyNumberFormat="1" applyFont="1" applyFill="1" applyBorder="1" applyAlignment="1">
      <alignment horizontal="center" vertical="center"/>
    </xf>
    <xf numFmtId="2" fontId="14" fillId="36" borderId="0" xfId="0" applyNumberFormat="1" applyFont="1" applyFill="1" applyBorder="1" applyAlignment="1">
      <alignment horizontal="center" vertical="center"/>
    </xf>
    <xf numFmtId="2" fontId="0" fillId="36" borderId="12" xfId="0" applyNumberFormat="1" applyFont="1" applyFill="1" applyBorder="1" applyAlignment="1">
      <alignment horizontal="center" vertical="center"/>
    </xf>
    <xf numFmtId="2" fontId="0" fillId="36" borderId="0" xfId="0" applyNumberFormat="1" applyFont="1" applyFill="1" applyBorder="1" applyAlignment="1">
      <alignment horizontal="center" vertical="center"/>
    </xf>
    <xf numFmtId="2" fontId="0" fillId="36" borderId="10" xfId="0" applyNumberFormat="1" applyFont="1" applyFill="1" applyBorder="1" applyAlignment="1">
      <alignment horizontal="center" vertical="center"/>
    </xf>
    <xf numFmtId="2" fontId="18" fillId="36" borderId="10" xfId="0" applyNumberFormat="1" applyFont="1" applyFill="1" applyBorder="1" applyAlignment="1">
      <alignment horizontal="center" vertical="center"/>
    </xf>
    <xf numFmtId="2" fontId="0" fillId="36" borderId="0" xfId="0" applyNumberFormat="1" applyFont="1" applyFill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zoomScale="80" zoomScaleNormal="80" workbookViewId="0">
      <selection activeCell="U18" sqref="U18"/>
    </sheetView>
  </sheetViews>
  <sheetFormatPr defaultRowHeight="12.5" x14ac:dyDescent="0.25"/>
  <sheetData>
    <row r="1" spans="1:20" x14ac:dyDescent="0.25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2" t="s">
        <v>36</v>
      </c>
      <c r="M1" s="2" t="s">
        <v>14</v>
      </c>
      <c r="N1" s="2" t="s">
        <v>11</v>
      </c>
      <c r="O1" s="2" t="s">
        <v>12</v>
      </c>
      <c r="P1" s="4" t="s">
        <v>13</v>
      </c>
      <c r="Q1" s="2" t="s">
        <v>15</v>
      </c>
    </row>
    <row r="2" spans="1:20" x14ac:dyDescent="0.25">
      <c r="A2">
        <v>1995</v>
      </c>
      <c r="B2" s="3">
        <f>G2-D2</f>
        <v>815945</v>
      </c>
      <c r="C2">
        <v>198068</v>
      </c>
      <c r="D2">
        <v>172298</v>
      </c>
      <c r="E2">
        <v>243824</v>
      </c>
      <c r="F2">
        <v>207651</v>
      </c>
      <c r="G2">
        <v>988243</v>
      </c>
      <c r="H2" s="3">
        <v>212456</v>
      </c>
      <c r="I2">
        <v>353786</v>
      </c>
      <c r="J2" s="3">
        <v>839948</v>
      </c>
      <c r="K2">
        <v>42951</v>
      </c>
      <c r="L2" s="3">
        <f>K2</f>
        <v>42951</v>
      </c>
      <c r="M2" s="3">
        <v>507396</v>
      </c>
      <c r="N2" s="3">
        <f t="shared" ref="N2:N28" si="0">M2-Q2</f>
        <v>464445</v>
      </c>
      <c r="O2" s="3">
        <f>N2+K2</f>
        <v>507396</v>
      </c>
      <c r="P2">
        <v>8.6177341000000005E-2</v>
      </c>
      <c r="Q2" s="3">
        <f>K2</f>
        <v>42951</v>
      </c>
    </row>
    <row r="3" spans="1:20" x14ac:dyDescent="0.25">
      <c r="A3">
        <v>1996</v>
      </c>
      <c r="B3" s="3">
        <f t="shared" ref="B3:B28" si="1">G3-D3</f>
        <v>861627</v>
      </c>
      <c r="C3">
        <v>202429</v>
      </c>
      <c r="D3">
        <v>184246</v>
      </c>
      <c r="E3">
        <v>247921</v>
      </c>
      <c r="F3">
        <v>200535</v>
      </c>
      <c r="G3">
        <v>1045873</v>
      </c>
      <c r="H3" s="3">
        <f>0.2*(G3+P2*N2)</f>
        <v>217179.52702814899</v>
      </c>
      <c r="I3">
        <v>378499</v>
      </c>
      <c r="J3" s="3">
        <f>G3-H3+P2*N2</f>
        <v>868718.10811259598</v>
      </c>
      <c r="K3">
        <v>43739</v>
      </c>
      <c r="L3" s="3">
        <f t="shared" ref="L3:L28" si="2">K3</f>
        <v>43739</v>
      </c>
      <c r="M3" s="3">
        <f>M2+D3+P2*M2-H3-P2*Q2</f>
        <v>514487.10811259598</v>
      </c>
      <c r="N3" s="3">
        <f t="shared" si="0"/>
        <v>470748.10811259598</v>
      </c>
      <c r="O3" s="3">
        <f>N3+K3</f>
        <v>514487.10811259598</v>
      </c>
      <c r="P3">
        <v>9.1749553999999997E-2</v>
      </c>
      <c r="Q3" s="3">
        <f>K3</f>
        <v>43739</v>
      </c>
    </row>
    <row r="4" spans="1:20" x14ac:dyDescent="0.25">
      <c r="A4">
        <v>1997</v>
      </c>
      <c r="B4" s="3">
        <f t="shared" si="1"/>
        <v>899199</v>
      </c>
      <c r="C4">
        <v>213028</v>
      </c>
      <c r="D4">
        <v>193160</v>
      </c>
      <c r="E4">
        <v>263802</v>
      </c>
      <c r="F4">
        <v>223262</v>
      </c>
      <c r="G4">
        <v>1092359</v>
      </c>
      <c r="H4" s="3">
        <f>0.2*(G4+P3*N3)</f>
        <v>227109.9857931349</v>
      </c>
      <c r="I4">
        <v>397066</v>
      </c>
      <c r="J4" s="3">
        <f>G4-H4+P3*N3</f>
        <v>908439.94317253958</v>
      </c>
      <c r="K4">
        <v>46923</v>
      </c>
      <c r="L4" s="3">
        <f t="shared" si="2"/>
        <v>46923</v>
      </c>
      <c r="M4" s="3">
        <f>M3+D4+P3*M3-H4-P3*Q3</f>
        <v>523728.0512851355</v>
      </c>
      <c r="N4" s="3">
        <f t="shared" si="0"/>
        <v>476805.0512851355</v>
      </c>
      <c r="O4" s="3">
        <f>N4+K4</f>
        <v>523728.0512851355</v>
      </c>
      <c r="P4">
        <v>7.5787064000000001E-2</v>
      </c>
      <c r="Q4" s="3">
        <f>K4</f>
        <v>46923</v>
      </c>
      <c r="S4" s="2"/>
      <c r="T4" s="5" t="s">
        <v>25</v>
      </c>
    </row>
    <row r="5" spans="1:20" x14ac:dyDescent="0.25">
      <c r="A5">
        <v>1998</v>
      </c>
      <c r="B5" s="3">
        <f t="shared" si="1"/>
        <v>939233</v>
      </c>
      <c r="C5">
        <v>224747</v>
      </c>
      <c r="D5">
        <v>199624</v>
      </c>
      <c r="E5">
        <v>274042</v>
      </c>
      <c r="F5">
        <v>239497</v>
      </c>
      <c r="G5">
        <v>1138857</v>
      </c>
      <c r="H5" s="3">
        <f>0.2*(G5+P4*N4)</f>
        <v>234998.530987454</v>
      </c>
      <c r="I5">
        <v>395312</v>
      </c>
      <c r="J5" s="3">
        <f>G5-H5+P4*N4</f>
        <v>939994.12394981587</v>
      </c>
      <c r="K5">
        <v>50305</v>
      </c>
      <c r="L5" s="3">
        <f t="shared" si="2"/>
        <v>50305</v>
      </c>
      <c r="M5" s="3">
        <f>M4+D5+P4*M4-H5-P4*Q4</f>
        <v>524489.17523495143</v>
      </c>
      <c r="N5" s="3">
        <f t="shared" si="0"/>
        <v>474184.17523495143</v>
      </c>
      <c r="O5" s="3">
        <f>N5+K5</f>
        <v>524489.17523495143</v>
      </c>
      <c r="P5">
        <v>6.6758091000000006E-2</v>
      </c>
      <c r="Q5" s="3">
        <f>K5</f>
        <v>50305</v>
      </c>
    </row>
    <row r="6" spans="1:20" x14ac:dyDescent="0.25">
      <c r="A6">
        <v>1999</v>
      </c>
      <c r="B6" s="3">
        <f t="shared" si="1"/>
        <v>968945</v>
      </c>
      <c r="C6">
        <v>237770</v>
      </c>
      <c r="D6">
        <v>206206</v>
      </c>
      <c r="E6">
        <v>272643</v>
      </c>
      <c r="F6">
        <v>251716</v>
      </c>
      <c r="G6">
        <v>1175151</v>
      </c>
      <c r="H6" s="3">
        <f>0.2*(G6+P5*N5)</f>
        <v>241361.32606421897</v>
      </c>
      <c r="I6">
        <v>410340</v>
      </c>
      <c r="J6" s="3">
        <f>G6-H6+P5*N5</f>
        <v>965445.30425687588</v>
      </c>
      <c r="K6">
        <v>56333</v>
      </c>
      <c r="L6" s="3">
        <f t="shared" si="2"/>
        <v>56333</v>
      </c>
      <c r="M6" s="3">
        <f>M5+D6+P5*M5-H6-P5*Q5</f>
        <v>520989.47949182731</v>
      </c>
      <c r="N6" s="3">
        <f t="shared" si="0"/>
        <v>464656.47949182731</v>
      </c>
      <c r="O6" s="3">
        <f>N6+K6</f>
        <v>520989.47949182731</v>
      </c>
      <c r="P6">
        <v>5.5196262000000003E-2</v>
      </c>
      <c r="Q6" s="3">
        <f>K6</f>
        <v>56333</v>
      </c>
    </row>
    <row r="7" spans="1:20" x14ac:dyDescent="0.25">
      <c r="A7">
        <v>2000</v>
      </c>
      <c r="B7" s="3">
        <f t="shared" si="1"/>
        <v>1021318</v>
      </c>
      <c r="C7">
        <v>259037</v>
      </c>
      <c r="D7">
        <v>220195</v>
      </c>
      <c r="E7">
        <v>318172</v>
      </c>
      <c r="F7">
        <v>307621</v>
      </c>
      <c r="G7">
        <v>1241513</v>
      </c>
      <c r="H7" s="3">
        <f>0.2*(G7+P6*N6)</f>
        <v>253432.06015640573</v>
      </c>
      <c r="I7">
        <v>427487</v>
      </c>
      <c r="J7" s="3">
        <f>G7-H7+P6*N6</f>
        <v>1013728.2406256229</v>
      </c>
      <c r="K7">
        <v>59394</v>
      </c>
      <c r="L7" s="3">
        <f t="shared" si="2"/>
        <v>59394</v>
      </c>
      <c r="M7" s="3">
        <f>M6+D7+P6*M6-H7-P6*Q6</f>
        <v>513399.72011745005</v>
      </c>
      <c r="N7" s="3">
        <f t="shared" si="0"/>
        <v>454005.72011745005</v>
      </c>
      <c r="O7" s="3">
        <f>N7+K7</f>
        <v>513399.72011745005</v>
      </c>
      <c r="P7">
        <v>5.4511406999999998E-2</v>
      </c>
      <c r="Q7" s="3">
        <f>K7</f>
        <v>59394</v>
      </c>
    </row>
    <row r="8" spans="1:20" x14ac:dyDescent="0.25">
      <c r="A8">
        <v>2001</v>
      </c>
      <c r="B8" s="3">
        <f t="shared" si="1"/>
        <v>1064179</v>
      </c>
      <c r="C8">
        <v>271825</v>
      </c>
      <c r="D8">
        <v>239959</v>
      </c>
      <c r="E8">
        <v>334498</v>
      </c>
      <c r="F8">
        <v>318022</v>
      </c>
      <c r="G8">
        <v>1304138</v>
      </c>
      <c r="H8" s="3">
        <f>0.2*(G8+P7*N7)</f>
        <v>265777.29811793007</v>
      </c>
      <c r="I8">
        <v>451041</v>
      </c>
      <c r="J8" s="3">
        <f>G8-H8+P7*N7</f>
        <v>1063109.1924717203</v>
      </c>
      <c r="K8">
        <v>49167</v>
      </c>
      <c r="L8" s="3">
        <f t="shared" si="2"/>
        <v>49167</v>
      </c>
      <c r="M8" s="3">
        <f>M7+D8+P7*M7-H8-P7*Q7</f>
        <v>512329.91258917027</v>
      </c>
      <c r="N8" s="3">
        <f t="shared" si="0"/>
        <v>463162.91258917027</v>
      </c>
      <c r="O8" s="3">
        <f>N8+K8</f>
        <v>512329.91258917027</v>
      </c>
      <c r="P8">
        <v>5.5538921999999998E-2</v>
      </c>
      <c r="Q8" s="3">
        <f>K8</f>
        <v>49167</v>
      </c>
    </row>
    <row r="9" spans="1:20" x14ac:dyDescent="0.25">
      <c r="A9">
        <v>2002</v>
      </c>
      <c r="B9" s="3">
        <f t="shared" si="1"/>
        <v>1099840</v>
      </c>
      <c r="C9">
        <v>291267</v>
      </c>
      <c r="D9">
        <v>250419</v>
      </c>
      <c r="E9">
        <v>329564</v>
      </c>
      <c r="F9">
        <v>319342</v>
      </c>
      <c r="G9">
        <v>1350259</v>
      </c>
      <c r="H9" s="3">
        <f>0.2*(G9+P8*N8)</f>
        <v>275196.51377511653</v>
      </c>
      <c r="I9">
        <v>470108</v>
      </c>
      <c r="J9" s="3">
        <f>G9-H9+P8*N8</f>
        <v>1100786.0551004661</v>
      </c>
      <c r="K9">
        <v>53408</v>
      </c>
      <c r="L9" s="3">
        <f t="shared" si="2"/>
        <v>53408</v>
      </c>
      <c r="M9" s="3">
        <f>M8+D9+P8*M8-H9-P8*Q8</f>
        <v>513275.96768963651</v>
      </c>
      <c r="N9" s="3">
        <f t="shared" si="0"/>
        <v>459867.96768963651</v>
      </c>
      <c r="O9" s="3">
        <f>N9+K9</f>
        <v>513275.96768963651</v>
      </c>
      <c r="P9">
        <v>4.9400569999999998E-2</v>
      </c>
      <c r="Q9" s="3">
        <f>K9</f>
        <v>53408</v>
      </c>
    </row>
    <row r="10" spans="1:20" x14ac:dyDescent="0.25">
      <c r="A10">
        <v>2003</v>
      </c>
      <c r="B10" s="3">
        <f t="shared" si="1"/>
        <v>1130044</v>
      </c>
      <c r="C10">
        <v>295388</v>
      </c>
      <c r="D10">
        <v>264649</v>
      </c>
      <c r="E10">
        <v>324994</v>
      </c>
      <c r="F10">
        <v>318642</v>
      </c>
      <c r="G10">
        <v>1394693</v>
      </c>
      <c r="H10" s="3">
        <f>0.2*(G10+P9*N9)</f>
        <v>283482.14794572192</v>
      </c>
      <c r="I10">
        <v>490889</v>
      </c>
      <c r="J10" s="3">
        <f>G10-H10+P9*N9</f>
        <v>1133928.5917828877</v>
      </c>
      <c r="K10">
        <v>64267</v>
      </c>
      <c r="L10" s="3">
        <f t="shared" si="2"/>
        <v>64267</v>
      </c>
      <c r="M10" s="3">
        <f>M9+D10+P9*M9-H10-P9*Q9</f>
        <v>517160.55947252421</v>
      </c>
      <c r="N10" s="3">
        <f t="shared" si="0"/>
        <v>452893.55947252421</v>
      </c>
      <c r="O10" s="3">
        <f>N10+K10</f>
        <v>517160.55947252421</v>
      </c>
      <c r="P10">
        <v>4.6025005000000001E-2</v>
      </c>
      <c r="Q10" s="3">
        <f>K10</f>
        <v>64267</v>
      </c>
    </row>
    <row r="11" spans="1:20" x14ac:dyDescent="0.25">
      <c r="A11">
        <v>2004</v>
      </c>
      <c r="B11" s="3">
        <f t="shared" si="1"/>
        <v>1174064</v>
      </c>
      <c r="C11">
        <v>308799</v>
      </c>
      <c r="D11">
        <v>278255</v>
      </c>
      <c r="E11">
        <v>348699</v>
      </c>
      <c r="F11">
        <v>340141</v>
      </c>
      <c r="G11">
        <v>1452319</v>
      </c>
      <c r="H11" s="3">
        <f>0.2*(G11+P10*N10)</f>
        <v>294632.68566783814</v>
      </c>
      <c r="I11">
        <v>509540</v>
      </c>
      <c r="J11" s="3">
        <f>G11-H11+P10*N10</f>
        <v>1178530.7426713526</v>
      </c>
      <c r="K11">
        <v>76070</v>
      </c>
      <c r="L11" s="3">
        <f t="shared" si="2"/>
        <v>76070</v>
      </c>
      <c r="M11" s="3">
        <f>M10+D11+P10*M10-H11-P10*Q10</f>
        <v>521627.30214387691</v>
      </c>
      <c r="N11" s="3">
        <f t="shared" si="0"/>
        <v>445557.30214387691</v>
      </c>
      <c r="O11" s="3">
        <f>N11+K11</f>
        <v>521627.30214387691</v>
      </c>
      <c r="P11">
        <v>4.3894897000000002E-2</v>
      </c>
      <c r="Q11" s="3">
        <f>K11</f>
        <v>76070</v>
      </c>
    </row>
    <row r="12" spans="1:20" x14ac:dyDescent="0.25">
      <c r="A12">
        <v>2005</v>
      </c>
      <c r="B12" s="3">
        <f t="shared" si="1"/>
        <v>1200666</v>
      </c>
      <c r="C12">
        <v>316194</v>
      </c>
      <c r="D12">
        <v>292969</v>
      </c>
      <c r="E12">
        <v>367451</v>
      </c>
      <c r="F12">
        <v>368928</v>
      </c>
      <c r="G12">
        <v>1493635</v>
      </c>
      <c r="H12" s="3">
        <f>0.2*(G12+P11*N11)</f>
        <v>302638.53837704071</v>
      </c>
      <c r="I12">
        <v>531929</v>
      </c>
      <c r="J12" s="3">
        <f>G12-H12+P11*N11</f>
        <v>1210554.1535081626</v>
      </c>
      <c r="K12">
        <v>89146</v>
      </c>
      <c r="L12" s="3">
        <f t="shared" si="2"/>
        <v>89146</v>
      </c>
      <c r="M12" s="3">
        <f>M11+D12+P11*M11-H12-P11*Q11</f>
        <v>531515.45565203961</v>
      </c>
      <c r="N12" s="3">
        <f t="shared" si="0"/>
        <v>442369.45565203961</v>
      </c>
      <c r="O12" s="3">
        <f>N12+K12</f>
        <v>531515.45565203961</v>
      </c>
      <c r="P12">
        <v>4.2261227999999998E-2</v>
      </c>
      <c r="Q12" s="3">
        <f>K12</f>
        <v>89146</v>
      </c>
    </row>
    <row r="13" spans="1:20" x14ac:dyDescent="0.25">
      <c r="A13">
        <v>2006</v>
      </c>
      <c r="B13" s="3">
        <f t="shared" si="1"/>
        <v>1250165</v>
      </c>
      <c r="C13">
        <v>340933</v>
      </c>
      <c r="D13">
        <v>302522</v>
      </c>
      <c r="E13">
        <v>406392</v>
      </c>
      <c r="F13">
        <v>419143</v>
      </c>
      <c r="G13">
        <v>1552687</v>
      </c>
      <c r="H13" s="3">
        <f>0.2*(G13+P12*N12)</f>
        <v>314276.41528510937</v>
      </c>
      <c r="I13">
        <v>555830</v>
      </c>
      <c r="J13" s="3">
        <f>G13-H13+P12*N12</f>
        <v>1257105.6611404375</v>
      </c>
      <c r="K13">
        <v>103968</v>
      </c>
      <c r="L13" s="3">
        <f t="shared" si="2"/>
        <v>103968</v>
      </c>
      <c r="M13" s="3">
        <f>M12+D13+P12*M12-H13-P12*Q12</f>
        <v>538456.11679247697</v>
      </c>
      <c r="N13" s="3">
        <f t="shared" si="0"/>
        <v>434488.11679247697</v>
      </c>
      <c r="O13" s="3">
        <f>N13+K13</f>
        <v>538456.11679247697</v>
      </c>
      <c r="P13">
        <v>4.1212401000000003E-2</v>
      </c>
      <c r="Q13" s="3">
        <f>K13</f>
        <v>103968</v>
      </c>
    </row>
    <row r="14" spans="1:20" x14ac:dyDescent="0.25">
      <c r="A14">
        <v>2007</v>
      </c>
      <c r="B14" s="3">
        <f t="shared" si="1"/>
        <v>1307574</v>
      </c>
      <c r="C14">
        <v>359238</v>
      </c>
      <c r="D14">
        <v>307266</v>
      </c>
      <c r="E14">
        <v>441837</v>
      </c>
      <c r="F14">
        <v>447317</v>
      </c>
      <c r="G14">
        <v>1614840</v>
      </c>
      <c r="H14" s="3">
        <f>0.2*(G14+P13*N13)</f>
        <v>326549.25969979726</v>
      </c>
      <c r="I14">
        <v>576340</v>
      </c>
      <c r="J14" s="3">
        <f>G14-H14+P13*N13</f>
        <v>1306197.038799189</v>
      </c>
      <c r="K14">
        <v>112983</v>
      </c>
      <c r="L14" s="3">
        <f t="shared" si="2"/>
        <v>112983</v>
      </c>
      <c r="M14" s="3">
        <f>M13+D14+P13*M13-H14-P13*Q13</f>
        <v>537079.15559166612</v>
      </c>
      <c r="N14" s="3">
        <f t="shared" si="0"/>
        <v>424096.15559166612</v>
      </c>
      <c r="O14" s="3">
        <f>N14+K14</f>
        <v>537079.15559166612</v>
      </c>
      <c r="P14">
        <v>4.4067271999999998E-2</v>
      </c>
      <c r="Q14" s="3">
        <f>K14</f>
        <v>112983</v>
      </c>
    </row>
    <row r="15" spans="1:20" x14ac:dyDescent="0.25">
      <c r="A15">
        <v>2008</v>
      </c>
      <c r="B15" s="3">
        <f t="shared" si="1"/>
        <v>1317366</v>
      </c>
      <c r="C15">
        <v>356666</v>
      </c>
      <c r="D15">
        <v>320333</v>
      </c>
      <c r="E15">
        <v>439932</v>
      </c>
      <c r="F15">
        <v>452498</v>
      </c>
      <c r="G15">
        <v>1637699</v>
      </c>
      <c r="H15" s="3">
        <f>0.2*(G15+P14*N14)</f>
        <v>331277.55212852248</v>
      </c>
      <c r="I15">
        <v>595572</v>
      </c>
      <c r="J15" s="3">
        <f>G15-H15+P14*N14</f>
        <v>1325110.2085140899</v>
      </c>
      <c r="K15">
        <v>123257</v>
      </c>
      <c r="L15" s="3">
        <f t="shared" si="2"/>
        <v>123257</v>
      </c>
      <c r="M15" s="3">
        <f>M14+D15+P14*M14-H15-P14*Q14</f>
        <v>544823.36410575605</v>
      </c>
      <c r="N15" s="3">
        <f t="shared" si="0"/>
        <v>421566.36410575605</v>
      </c>
      <c r="O15" s="3">
        <f>N15+K15</f>
        <v>544823.36410575605</v>
      </c>
      <c r="P15">
        <v>4.5706963000000003E-2</v>
      </c>
      <c r="Q15" s="3">
        <f>K15</f>
        <v>123257</v>
      </c>
    </row>
    <row r="16" spans="1:20" x14ac:dyDescent="0.25">
      <c r="A16">
        <v>2009</v>
      </c>
      <c r="B16" s="3">
        <f t="shared" si="1"/>
        <v>1251101</v>
      </c>
      <c r="C16">
        <v>307703</v>
      </c>
      <c r="D16">
        <v>326155</v>
      </c>
      <c r="E16">
        <v>353292</v>
      </c>
      <c r="F16">
        <v>363078</v>
      </c>
      <c r="G16">
        <v>1577256</v>
      </c>
      <c r="H16" s="3">
        <f>0.2*(G16+P15*N15)</f>
        <v>319304.90364124533</v>
      </c>
      <c r="I16">
        <v>590431</v>
      </c>
      <c r="J16" s="3">
        <f>G16-H16+P15*N15</f>
        <v>1277219.6145649811</v>
      </c>
      <c r="K16">
        <v>129192</v>
      </c>
      <c r="L16" s="3">
        <f t="shared" si="2"/>
        <v>129192</v>
      </c>
      <c r="M16" s="3">
        <f>M15+D16+P15*M15-H16-P15*Q15</f>
        <v>570941.97867073701</v>
      </c>
      <c r="N16" s="3">
        <f t="shared" si="0"/>
        <v>441749.97867073701</v>
      </c>
      <c r="O16" s="3">
        <f>N16+K16</f>
        <v>570941.97867073701</v>
      </c>
      <c r="P16">
        <v>3.8157550999999998E-2</v>
      </c>
      <c r="Q16" s="3">
        <f>K16</f>
        <v>129192</v>
      </c>
    </row>
    <row r="17" spans="1:17" x14ac:dyDescent="0.25">
      <c r="A17">
        <v>2010</v>
      </c>
      <c r="B17" s="3">
        <f t="shared" si="1"/>
        <v>1280114</v>
      </c>
      <c r="C17">
        <v>331599</v>
      </c>
      <c r="D17">
        <v>331166</v>
      </c>
      <c r="E17">
        <v>404013</v>
      </c>
      <c r="F17">
        <v>433952</v>
      </c>
      <c r="G17">
        <v>1611280</v>
      </c>
      <c r="H17" s="3">
        <f>0.2*(G17+P16*N16)</f>
        <v>325627.21946807555</v>
      </c>
      <c r="I17">
        <v>599034</v>
      </c>
      <c r="J17" s="3">
        <f>G17-H17+P16*N16</f>
        <v>1302508.877872302</v>
      </c>
      <c r="K17">
        <v>133437</v>
      </c>
      <c r="L17" s="3">
        <f t="shared" si="2"/>
        <v>133437</v>
      </c>
      <c r="M17" s="3">
        <f>M16+D17+P16*M16-H17-P16*Q16</f>
        <v>593336.85654303897</v>
      </c>
      <c r="N17" s="3">
        <f t="shared" si="0"/>
        <v>459899.85654303897</v>
      </c>
      <c r="O17" s="3">
        <f>N17+K17</f>
        <v>593336.85654303897</v>
      </c>
      <c r="P17">
        <v>3.6033224000000003E-2</v>
      </c>
      <c r="Q17" s="3">
        <f>K17</f>
        <v>133437</v>
      </c>
    </row>
    <row r="18" spans="1:17" x14ac:dyDescent="0.25">
      <c r="A18">
        <v>2011</v>
      </c>
      <c r="B18" s="3">
        <f t="shared" si="1"/>
        <v>1322039</v>
      </c>
      <c r="C18">
        <v>337468</v>
      </c>
      <c r="D18">
        <v>326718</v>
      </c>
      <c r="E18">
        <v>443061</v>
      </c>
      <c r="F18">
        <v>466151</v>
      </c>
      <c r="G18">
        <v>1648757</v>
      </c>
      <c r="H18" s="3">
        <f>0.2*(G18+P17*N17)</f>
        <v>333065.73490967666</v>
      </c>
      <c r="I18">
        <v>608088</v>
      </c>
      <c r="J18" s="3">
        <f>G18-H18+P17*N17</f>
        <v>1332262.9396387064</v>
      </c>
      <c r="K18">
        <v>141838</v>
      </c>
      <c r="L18" s="3">
        <f t="shared" si="2"/>
        <v>141838</v>
      </c>
      <c r="M18" s="3">
        <f>M17+D18+P17*M17-H18-P17*Q17</f>
        <v>603560.79618174548</v>
      </c>
      <c r="N18" s="3">
        <f t="shared" si="0"/>
        <v>461722.79618174548</v>
      </c>
      <c r="O18" s="3">
        <f>N18+K18</f>
        <v>603560.79618174548</v>
      </c>
      <c r="P18">
        <v>3.8114264000000002E-2</v>
      </c>
      <c r="Q18" s="3">
        <f>K18</f>
        <v>141838</v>
      </c>
    </row>
    <row r="19" spans="1:17" x14ac:dyDescent="0.25">
      <c r="A19">
        <v>2012</v>
      </c>
      <c r="B19" s="3">
        <f t="shared" si="1"/>
        <v>1302605</v>
      </c>
      <c r="C19">
        <v>288966</v>
      </c>
      <c r="D19">
        <v>321754</v>
      </c>
      <c r="E19">
        <v>460981</v>
      </c>
      <c r="F19">
        <v>443052</v>
      </c>
      <c r="G19">
        <v>1624359</v>
      </c>
      <c r="H19" s="3">
        <f>0.2*(G19+P18*N18)</f>
        <v>328391.44490969786</v>
      </c>
      <c r="I19">
        <v>600264</v>
      </c>
      <c r="J19" s="3">
        <f>G19-H19+P18*N18</f>
        <v>1313565.7796387915</v>
      </c>
      <c r="K19">
        <v>137756</v>
      </c>
      <c r="L19" s="3">
        <f t="shared" si="2"/>
        <v>137756</v>
      </c>
      <c r="M19" s="3">
        <f>M18+D19+P18*M18-H19-P18*Q18</f>
        <v>614521.57582053682</v>
      </c>
      <c r="N19" s="3">
        <f t="shared" si="0"/>
        <v>476765.57582053682</v>
      </c>
      <c r="O19" s="3">
        <f>N19+K19</f>
        <v>614521.57582053682</v>
      </c>
      <c r="P19">
        <v>4.0955894E-2</v>
      </c>
      <c r="Q19" s="3">
        <f>K19</f>
        <v>137756</v>
      </c>
    </row>
    <row r="20" spans="1:17" x14ac:dyDescent="0.25">
      <c r="A20">
        <v>2013</v>
      </c>
      <c r="B20" s="3">
        <f t="shared" si="1"/>
        <v>1293311</v>
      </c>
      <c r="C20">
        <v>272433</v>
      </c>
      <c r="D20">
        <v>319441</v>
      </c>
      <c r="E20">
        <v>461783</v>
      </c>
      <c r="F20">
        <v>423095</v>
      </c>
      <c r="G20">
        <v>1612752</v>
      </c>
      <c r="H20" s="3">
        <f>0.2*(G20+P19*N19)</f>
        <v>326455.67207723099</v>
      </c>
      <c r="I20">
        <v>594339</v>
      </c>
      <c r="J20" s="3">
        <f>G20-H20+P19*N19</f>
        <v>1305822.6883089237</v>
      </c>
      <c r="K20">
        <v>139992</v>
      </c>
      <c r="L20" s="3">
        <f t="shared" si="2"/>
        <v>139992</v>
      </c>
      <c r="M20" s="3">
        <f>M19+D20+P19*M19-H20-P19*Q19</f>
        <v>627033.26412946067</v>
      </c>
      <c r="N20" s="3">
        <f t="shared" si="0"/>
        <v>487041.26412946067</v>
      </c>
      <c r="O20" s="3">
        <f>N20+K20</f>
        <v>627033.26412946067</v>
      </c>
      <c r="P20">
        <v>3.6395019000000001E-2</v>
      </c>
      <c r="Q20" s="3">
        <f>K20</f>
        <v>139992</v>
      </c>
    </row>
    <row r="21" spans="1:17" x14ac:dyDescent="0.25">
      <c r="A21">
        <v>2014</v>
      </c>
      <c r="B21" s="3">
        <f t="shared" si="1"/>
        <v>1309427</v>
      </c>
      <c r="C21">
        <v>275995</v>
      </c>
      <c r="D21">
        <v>317979</v>
      </c>
      <c r="E21">
        <v>473719</v>
      </c>
      <c r="F21">
        <v>426597</v>
      </c>
      <c r="G21">
        <v>1627406</v>
      </c>
      <c r="H21" s="3">
        <f>0.2*(G21+P20*N20)</f>
        <v>329026.37521235517</v>
      </c>
      <c r="I21">
        <v>595991</v>
      </c>
      <c r="J21" s="3">
        <f>G21-H21+P20*N20</f>
        <v>1316105.5008494207</v>
      </c>
      <c r="K21">
        <v>141353</v>
      </c>
      <c r="L21" s="3">
        <f t="shared" si="2"/>
        <v>141353</v>
      </c>
      <c r="M21" s="3">
        <f>M20+D21+P20*M20-H21-P20*Q20</f>
        <v>633711.76497888123</v>
      </c>
      <c r="N21" s="3">
        <f t="shared" si="0"/>
        <v>492358.76497888123</v>
      </c>
      <c r="O21" s="3">
        <f>N21+K21</f>
        <v>633711.76497888123</v>
      </c>
      <c r="P21">
        <v>3.3408731999999997E-2</v>
      </c>
      <c r="Q21" s="3">
        <f>K21</f>
        <v>141353</v>
      </c>
    </row>
    <row r="22" spans="1:17" x14ac:dyDescent="0.25">
      <c r="A22">
        <v>2015</v>
      </c>
      <c r="B22" s="3">
        <f t="shared" si="1"/>
        <v>1339011</v>
      </c>
      <c r="C22">
        <v>283186</v>
      </c>
      <c r="D22">
        <v>316344</v>
      </c>
      <c r="E22">
        <v>491905</v>
      </c>
      <c r="F22">
        <v>442016</v>
      </c>
      <c r="G22">
        <v>1655355</v>
      </c>
      <c r="H22" s="3">
        <f>0.2*(G22+P21*N21)</f>
        <v>334360.81640540611</v>
      </c>
      <c r="I22">
        <v>609506</v>
      </c>
      <c r="J22" s="3">
        <f>G22-H22+P21*N21</f>
        <v>1337443.2656216242</v>
      </c>
      <c r="K22">
        <v>144595</v>
      </c>
      <c r="L22" s="3">
        <f t="shared" si="2"/>
        <v>144595</v>
      </c>
      <c r="M22" s="3">
        <f>M21+D22+P21*M21-H22-P21*Q21</f>
        <v>632144.03060050553</v>
      </c>
      <c r="N22" s="3">
        <f t="shared" si="0"/>
        <v>487549.03060050553</v>
      </c>
      <c r="O22" s="3">
        <f>N22+K22</f>
        <v>632144.03060050553</v>
      </c>
      <c r="P22">
        <v>2.9554694999999999E-2</v>
      </c>
      <c r="Q22" s="3">
        <f>K22</f>
        <v>144595</v>
      </c>
    </row>
    <row r="23" spans="1:17" x14ac:dyDescent="0.25">
      <c r="A23">
        <v>2016</v>
      </c>
      <c r="B23" s="3">
        <f t="shared" si="1"/>
        <v>1373138</v>
      </c>
      <c r="C23">
        <v>297798</v>
      </c>
      <c r="D23">
        <v>322650</v>
      </c>
      <c r="E23">
        <v>497339</v>
      </c>
      <c r="F23">
        <v>441578</v>
      </c>
      <c r="G23">
        <v>1695788</v>
      </c>
      <c r="H23" s="3">
        <f>0.2*(G23+P22*N22)</f>
        <v>342039.47257938876</v>
      </c>
      <c r="I23">
        <v>625000</v>
      </c>
      <c r="J23" s="3">
        <f>G23-H23+P22*N22</f>
        <v>1368157.8903175548</v>
      </c>
      <c r="K23">
        <v>150624</v>
      </c>
      <c r="L23" s="3">
        <f t="shared" si="2"/>
        <v>150624</v>
      </c>
      <c r="M23" s="3">
        <f>M22+D23+P22*M22-H23-P22*Q22</f>
        <v>627163.92091806035</v>
      </c>
      <c r="N23" s="3">
        <f t="shared" si="0"/>
        <v>476539.92091806035</v>
      </c>
      <c r="O23" s="3">
        <f>N23+K23</f>
        <v>627163.92091806035</v>
      </c>
      <c r="P23">
        <v>2.8319924E-2</v>
      </c>
      <c r="Q23" s="3">
        <f>K23</f>
        <v>150624</v>
      </c>
    </row>
    <row r="24" spans="1:17" x14ac:dyDescent="0.25">
      <c r="A24">
        <v>2017</v>
      </c>
      <c r="B24" s="3">
        <f t="shared" si="1"/>
        <v>1409591</v>
      </c>
      <c r="C24">
        <v>313526</v>
      </c>
      <c r="D24">
        <v>327002</v>
      </c>
      <c r="E24">
        <v>533720</v>
      </c>
      <c r="F24">
        <v>483997</v>
      </c>
      <c r="G24">
        <v>1736593</v>
      </c>
      <c r="H24" s="3">
        <f>0.2*(G24+P23*N23)</f>
        <v>350017.71486867312</v>
      </c>
      <c r="I24">
        <v>642230</v>
      </c>
      <c r="J24" s="3">
        <f>G24-H24+P23*N23</f>
        <v>1400070.8594746923</v>
      </c>
      <c r="K24">
        <v>155752</v>
      </c>
      <c r="L24" s="3">
        <f t="shared" si="2"/>
        <v>155752</v>
      </c>
      <c r="M24" s="3">
        <f>M23+D24+P23*M23-H24-P23*Q23</f>
        <v>617643.78039275273</v>
      </c>
      <c r="N24" s="3">
        <f t="shared" si="0"/>
        <v>461891.78039275273</v>
      </c>
      <c r="O24" s="3">
        <f>N24+K24</f>
        <v>617643.78039275273</v>
      </c>
      <c r="P24">
        <v>2.7309765999999999E-2</v>
      </c>
      <c r="Q24" s="3">
        <f>K24</f>
        <v>155752</v>
      </c>
    </row>
    <row r="25" spans="1:17" x14ac:dyDescent="0.25">
      <c r="A25">
        <v>2018</v>
      </c>
      <c r="B25" s="3">
        <f t="shared" si="1"/>
        <v>1436937</v>
      </c>
      <c r="C25">
        <v>328194</v>
      </c>
      <c r="D25">
        <v>334454</v>
      </c>
      <c r="E25">
        <v>555394</v>
      </c>
      <c r="F25">
        <v>512818</v>
      </c>
      <c r="G25">
        <v>1771391</v>
      </c>
      <c r="H25" s="3">
        <f>0.2*(G25+P24*N24)</f>
        <v>356801.0312879699</v>
      </c>
      <c r="I25">
        <v>665490</v>
      </c>
      <c r="J25" s="3">
        <f>G25-H25+P24*N24</f>
        <v>1427204.1251518794</v>
      </c>
      <c r="K25">
        <v>162421</v>
      </c>
      <c r="L25" s="3">
        <f t="shared" si="2"/>
        <v>162421</v>
      </c>
      <c r="M25" s="3">
        <f>M24+D25+P24*M24-H25-P24*Q24</f>
        <v>607910.90554463235</v>
      </c>
      <c r="N25" s="3">
        <f t="shared" si="0"/>
        <v>445489.90554463235</v>
      </c>
      <c r="O25" s="3">
        <f>N25+K25</f>
        <v>607910.90554463235</v>
      </c>
      <c r="P25">
        <v>2.6346511999999999E-2</v>
      </c>
      <c r="Q25" s="3">
        <f>K25</f>
        <v>162421</v>
      </c>
    </row>
    <row r="26" spans="1:17" x14ac:dyDescent="0.25">
      <c r="A26">
        <v>2019</v>
      </c>
      <c r="B26" s="3">
        <f t="shared" si="1"/>
        <v>1462136</v>
      </c>
      <c r="C26">
        <v>327703</v>
      </c>
      <c r="D26">
        <v>334512</v>
      </c>
      <c r="E26">
        <v>567784</v>
      </c>
      <c r="F26">
        <v>508031</v>
      </c>
      <c r="G26">
        <v>1796648</v>
      </c>
      <c r="H26" s="3">
        <f>0.2*(G26+P25*N25)</f>
        <v>361677.0210284621</v>
      </c>
      <c r="I26">
        <v>681104</v>
      </c>
      <c r="J26" s="3">
        <f>G26-H26+P25*N25</f>
        <v>1446708.0841138484</v>
      </c>
      <c r="K26">
        <v>165890</v>
      </c>
      <c r="L26" s="3">
        <f t="shared" si="2"/>
        <v>165890</v>
      </c>
      <c r="M26" s="3">
        <f>M25+D26+P25*M25-H26-P25*Q25</f>
        <v>592482.98965848086</v>
      </c>
      <c r="N26" s="3">
        <f t="shared" si="0"/>
        <v>426592.98965848086</v>
      </c>
      <c r="O26" s="3">
        <f>N26+K26</f>
        <v>592482.98965848086</v>
      </c>
      <c r="P26">
        <v>2.3887823999999998E-2</v>
      </c>
      <c r="Q26" s="3">
        <f>K26</f>
        <v>165890</v>
      </c>
    </row>
    <row r="27" spans="1:17" x14ac:dyDescent="0.25">
      <c r="A27">
        <v>2020</v>
      </c>
      <c r="B27" s="3">
        <f t="shared" si="1"/>
        <v>1317041</v>
      </c>
      <c r="C27">
        <v>293530</v>
      </c>
      <c r="D27">
        <v>343580</v>
      </c>
      <c r="E27">
        <v>488941</v>
      </c>
      <c r="F27">
        <v>429156</v>
      </c>
      <c r="G27">
        <v>1660621</v>
      </c>
      <c r="H27" s="3">
        <f>0.2*(G27+P26*N26)</f>
        <v>334162.27565131919</v>
      </c>
      <c r="I27">
        <v>642972</v>
      </c>
      <c r="J27" s="3">
        <f>G27-H27+P26*N26</f>
        <v>1336649.1026052765</v>
      </c>
      <c r="K27">
        <v>185433</v>
      </c>
      <c r="L27" s="3">
        <f t="shared" si="2"/>
        <v>185433</v>
      </c>
      <c r="M27" s="3">
        <f>M26+D27+P26*M26-H27-P26*Q26</f>
        <v>612091.09226375725</v>
      </c>
      <c r="N27" s="3">
        <f t="shared" si="0"/>
        <v>426658.09226375725</v>
      </c>
      <c r="O27" s="3">
        <f>N27+K27</f>
        <v>612091.09226375725</v>
      </c>
      <c r="P27">
        <v>2.2529526000000001E-2</v>
      </c>
      <c r="Q27" s="3">
        <f>K27</f>
        <v>185433</v>
      </c>
    </row>
    <row r="28" spans="1:17" x14ac:dyDescent="0.25">
      <c r="A28">
        <v>2021</v>
      </c>
      <c r="B28" s="3">
        <f t="shared" si="1"/>
        <v>1429333</v>
      </c>
      <c r="C28">
        <v>357215</v>
      </c>
      <c r="D28">
        <v>352718</v>
      </c>
      <c r="E28">
        <v>582192</v>
      </c>
      <c r="F28">
        <v>540198</v>
      </c>
      <c r="G28">
        <v>1782051</v>
      </c>
      <c r="H28" s="3">
        <f>0.2*(G28+P27*N27)</f>
        <v>358332.68091655336</v>
      </c>
      <c r="I28">
        <v>692915</v>
      </c>
      <c r="J28" s="3">
        <f>G28-H28+P27*N27</f>
        <v>1433330.7236662135</v>
      </c>
      <c r="K28">
        <v>200683</v>
      </c>
      <c r="L28" s="3">
        <f t="shared" si="2"/>
        <v>200683</v>
      </c>
      <c r="M28" s="3">
        <f>M27+D28+P27*M27-H28-P27*Q27</f>
        <v>616088.81592997059</v>
      </c>
      <c r="N28" s="3">
        <f t="shared" si="0"/>
        <v>415405.81592997059</v>
      </c>
      <c r="O28" s="3">
        <f>N28+K28</f>
        <v>616088.81592997059</v>
      </c>
      <c r="P28">
        <v>2.3582901999999999E-2</v>
      </c>
      <c r="Q28" s="3">
        <f>K28</f>
        <v>200683</v>
      </c>
    </row>
    <row r="32" spans="1:17" s="1" customFormat="1" ht="20" customHeight="1" x14ac:dyDescent="0.25">
      <c r="B32" s="21" t="s">
        <v>24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2:13" s="1" customFormat="1" ht="20" customHeight="1" x14ac:dyDescent="0.25">
      <c r="B33" s="6"/>
      <c r="C33" s="21" t="s">
        <v>16</v>
      </c>
      <c r="D33" s="21"/>
      <c r="E33" s="21" t="s">
        <v>17</v>
      </c>
      <c r="F33" s="21"/>
      <c r="G33" s="21" t="s">
        <v>26</v>
      </c>
      <c r="H33" s="21"/>
      <c r="I33" s="21" t="s">
        <v>18</v>
      </c>
      <c r="J33" s="21"/>
      <c r="K33" s="21" t="s">
        <v>19</v>
      </c>
      <c r="L33" s="21"/>
      <c r="M33" s="7" t="s">
        <v>20</v>
      </c>
    </row>
    <row r="34" spans="2:13" s="1" customFormat="1" ht="20" customHeight="1" x14ac:dyDescent="0.25">
      <c r="B34" s="8" t="s">
        <v>21</v>
      </c>
      <c r="C34" s="22">
        <f>K28</f>
        <v>200683</v>
      </c>
      <c r="D34" s="22"/>
      <c r="E34" s="22"/>
      <c r="F34" s="22"/>
      <c r="G34" s="22"/>
      <c r="H34" s="22"/>
      <c r="I34" s="22">
        <f>-K28</f>
        <v>-200683</v>
      </c>
      <c r="J34" s="22"/>
      <c r="K34" s="22"/>
      <c r="L34" s="22"/>
      <c r="M34" s="11">
        <f>SUM(C34:L34)</f>
        <v>0</v>
      </c>
    </row>
    <row r="35" spans="2:13" s="1" customFormat="1" ht="20" customHeight="1" x14ac:dyDescent="0.25">
      <c r="B35" s="6" t="s">
        <v>22</v>
      </c>
      <c r="C35" s="23">
        <f>N28</f>
        <v>415405.81592997059</v>
      </c>
      <c r="D35" s="23"/>
      <c r="E35" s="23"/>
      <c r="F35" s="23"/>
      <c r="G35" s="23"/>
      <c r="H35" s="23"/>
      <c r="I35" s="23">
        <f>+Q28</f>
        <v>200683</v>
      </c>
      <c r="J35" s="23"/>
      <c r="K35" s="23">
        <f>-M28</f>
        <v>-616088.81592997059</v>
      </c>
      <c r="L35" s="23"/>
      <c r="M35" s="12">
        <f>SUM(C35:L35)</f>
        <v>0</v>
      </c>
    </row>
    <row r="36" spans="2:13" s="1" customFormat="1" ht="20" customHeight="1" x14ac:dyDescent="0.25">
      <c r="B36" s="6" t="s">
        <v>23</v>
      </c>
      <c r="C36" s="23">
        <f>-(N28+K28)</f>
        <v>-616088.81592997059</v>
      </c>
      <c r="D36" s="23"/>
      <c r="E36" s="23"/>
      <c r="F36" s="23"/>
      <c r="G36" s="23"/>
      <c r="H36" s="23"/>
      <c r="I36" s="23"/>
      <c r="J36" s="23"/>
      <c r="K36" s="23">
        <f>M28</f>
        <v>616088.81592997059</v>
      </c>
      <c r="L36" s="23"/>
      <c r="M36" s="13">
        <f>SUM(C36:L36)</f>
        <v>0</v>
      </c>
    </row>
    <row r="37" spans="2:13" s="1" customFormat="1" ht="20" customHeight="1" x14ac:dyDescent="0.25">
      <c r="B37" s="6" t="s">
        <v>20</v>
      </c>
      <c r="C37" s="19">
        <f>SUM(C34:D36)</f>
        <v>0</v>
      </c>
      <c r="D37" s="19"/>
      <c r="E37" s="19">
        <f t="shared" ref="E37:G37" si="3">SUM(E34:F36)</f>
        <v>0</v>
      </c>
      <c r="F37" s="19"/>
      <c r="G37" s="19">
        <f t="shared" si="3"/>
        <v>0</v>
      </c>
      <c r="H37" s="19"/>
      <c r="I37" s="19">
        <f t="shared" ref="I37" si="4">SUM(I34:J36)</f>
        <v>0</v>
      </c>
      <c r="J37" s="19"/>
      <c r="K37" s="19">
        <f t="shared" ref="K37" si="5">SUM(K34:L36)</f>
        <v>0</v>
      </c>
      <c r="L37" s="19"/>
      <c r="M37" s="14">
        <f>SUM(M34:M36)</f>
        <v>0</v>
      </c>
    </row>
    <row r="40" spans="2:13" ht="20" customHeight="1" x14ac:dyDescent="0.25">
      <c r="B40" s="21" t="s">
        <v>27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spans="2:13" ht="20" customHeight="1" x14ac:dyDescent="0.25">
      <c r="B41" s="6"/>
      <c r="C41" s="21" t="s">
        <v>16</v>
      </c>
      <c r="D41" s="21"/>
      <c r="E41" s="21" t="s">
        <v>17</v>
      </c>
      <c r="F41" s="21"/>
      <c r="G41" s="21" t="s">
        <v>26</v>
      </c>
      <c r="H41" s="21"/>
      <c r="I41" s="21" t="s">
        <v>18</v>
      </c>
      <c r="J41" s="21"/>
      <c r="K41" s="21" t="s">
        <v>19</v>
      </c>
      <c r="L41" s="21"/>
      <c r="M41" s="7" t="s">
        <v>20</v>
      </c>
    </row>
    <row r="42" spans="2:13" ht="20" customHeight="1" x14ac:dyDescent="0.25">
      <c r="B42" s="9" t="s">
        <v>33</v>
      </c>
      <c r="C42" s="16">
        <f>-B28</f>
        <v>-1429333</v>
      </c>
      <c r="D42" s="16"/>
      <c r="E42" s="16">
        <f>B28</f>
        <v>1429333</v>
      </c>
      <c r="F42" s="16"/>
      <c r="G42" s="16"/>
      <c r="H42" s="16"/>
      <c r="I42" s="16"/>
      <c r="J42" s="16"/>
      <c r="K42" s="16"/>
      <c r="L42" s="16"/>
      <c r="M42" s="15">
        <f t="shared" ref="M42:M48" si="6">SUM(C42:L42)</f>
        <v>0</v>
      </c>
    </row>
    <row r="43" spans="2:13" ht="20" customHeight="1" x14ac:dyDescent="0.25">
      <c r="B43" s="9" t="s">
        <v>34</v>
      </c>
      <c r="C43" s="17"/>
      <c r="D43" s="17"/>
      <c r="E43" s="17">
        <f>D28</f>
        <v>352718</v>
      </c>
      <c r="F43" s="17"/>
      <c r="G43" s="17"/>
      <c r="H43" s="17"/>
      <c r="I43" s="17"/>
      <c r="J43" s="17"/>
      <c r="K43" s="17">
        <f>-D28</f>
        <v>-352718</v>
      </c>
      <c r="L43" s="17"/>
      <c r="M43" s="15">
        <f t="shared" si="6"/>
        <v>0</v>
      </c>
    </row>
    <row r="44" spans="2:13" ht="20" customHeight="1" x14ac:dyDescent="0.25">
      <c r="B44" s="9" t="s">
        <v>28</v>
      </c>
      <c r="C44" s="17">
        <f>G28</f>
        <v>1782051</v>
      </c>
      <c r="D44" s="17"/>
      <c r="E44" s="17">
        <f>-G28</f>
        <v>-1782051</v>
      </c>
      <c r="F44" s="17"/>
      <c r="G44" s="17"/>
      <c r="H44" s="17"/>
      <c r="I44" s="17"/>
      <c r="J44" s="17"/>
      <c r="K44" s="17"/>
      <c r="L44" s="17"/>
      <c r="M44" s="15">
        <f t="shared" si="6"/>
        <v>0</v>
      </c>
    </row>
    <row r="45" spans="2:13" ht="20" customHeight="1" x14ac:dyDescent="0.25">
      <c r="B45" s="9" t="s">
        <v>29</v>
      </c>
      <c r="C45" s="17">
        <f>P27*N27</f>
        <v>9612.4045827667178</v>
      </c>
      <c r="D45" s="17"/>
      <c r="E45" s="17"/>
      <c r="F45" s="17"/>
      <c r="G45" s="17"/>
      <c r="H45" s="17"/>
      <c r="I45" s="17">
        <f>P27*Q27</f>
        <v>4177.7175947579999</v>
      </c>
      <c r="J45" s="17"/>
      <c r="K45" s="17">
        <f>-P27*M27</f>
        <v>-13790.122177524718</v>
      </c>
      <c r="L45" s="17"/>
      <c r="M45" s="15">
        <f t="shared" si="6"/>
        <v>0</v>
      </c>
    </row>
    <row r="46" spans="2:13" ht="20" customHeight="1" x14ac:dyDescent="0.25">
      <c r="B46" s="8" t="s">
        <v>35</v>
      </c>
      <c r="C46" s="20"/>
      <c r="D46" s="20"/>
      <c r="E46" s="20"/>
      <c r="F46" s="20"/>
      <c r="G46" s="20"/>
      <c r="H46" s="20"/>
      <c r="I46" s="20">
        <f>-I45</f>
        <v>-4177.7175947579999</v>
      </c>
      <c r="J46" s="20"/>
      <c r="K46" s="20">
        <f>I45</f>
        <v>4177.7175947579999</v>
      </c>
      <c r="L46" s="20"/>
      <c r="M46" s="15">
        <f t="shared" si="6"/>
        <v>0</v>
      </c>
    </row>
    <row r="47" spans="2:13" ht="20" customHeight="1" x14ac:dyDescent="0.25">
      <c r="B47" s="9" t="s">
        <v>30</v>
      </c>
      <c r="C47" s="17">
        <f>-H28</f>
        <v>-358332.68091655336</v>
      </c>
      <c r="D47" s="17"/>
      <c r="E47" s="17"/>
      <c r="F47" s="17"/>
      <c r="G47" s="17"/>
      <c r="H47" s="17"/>
      <c r="I47" s="17"/>
      <c r="J47" s="17"/>
      <c r="K47" s="17">
        <f>H28</f>
        <v>358332.68091655336</v>
      </c>
      <c r="L47" s="17"/>
      <c r="M47" s="15">
        <f t="shared" si="6"/>
        <v>0</v>
      </c>
    </row>
    <row r="48" spans="2:13" ht="20" customHeight="1" x14ac:dyDescent="0.25">
      <c r="B48" s="10" t="s">
        <v>31</v>
      </c>
      <c r="C48" s="16">
        <f>-(K28-K27)</f>
        <v>-15250</v>
      </c>
      <c r="D48" s="16"/>
      <c r="E48" s="16"/>
      <c r="F48" s="16"/>
      <c r="G48" s="16"/>
      <c r="H48" s="16"/>
      <c r="I48" s="16">
        <f>K28-K27</f>
        <v>15250</v>
      </c>
      <c r="J48" s="16"/>
      <c r="K48" s="16"/>
      <c r="L48" s="16"/>
      <c r="M48" s="11">
        <f t="shared" si="6"/>
        <v>0</v>
      </c>
    </row>
    <row r="49" spans="2:13" ht="20" customHeight="1" x14ac:dyDescent="0.25">
      <c r="B49" s="6" t="s">
        <v>32</v>
      </c>
      <c r="C49" s="18">
        <f>-(N28-N27)</f>
        <v>11252.276333786664</v>
      </c>
      <c r="D49" s="18"/>
      <c r="E49" s="18"/>
      <c r="F49" s="18"/>
      <c r="G49" s="18"/>
      <c r="H49" s="18"/>
      <c r="I49" s="18">
        <f>-(Q28-Q27)</f>
        <v>-15250</v>
      </c>
      <c r="J49" s="18"/>
      <c r="K49" s="18">
        <f>M28-M27</f>
        <v>3997.7236662133364</v>
      </c>
      <c r="L49" s="18"/>
      <c r="M49" s="12">
        <f>SUM(C49:L49)</f>
        <v>0</v>
      </c>
    </row>
    <row r="50" spans="2:13" ht="20" customHeight="1" x14ac:dyDescent="0.25">
      <c r="B50" s="6" t="s">
        <v>20</v>
      </c>
      <c r="C50" s="19">
        <f>SUM(C42:D49)</f>
        <v>0</v>
      </c>
      <c r="D50" s="19"/>
      <c r="E50" s="19">
        <f t="shared" ref="E50" si="7">SUM(E42:F49)</f>
        <v>0</v>
      </c>
      <c r="F50" s="19"/>
      <c r="G50" s="19">
        <f t="shared" ref="G50" si="8">SUM(G42:H49)</f>
        <v>0</v>
      </c>
      <c r="H50" s="19"/>
      <c r="I50" s="19">
        <f t="shared" ref="I50" si="9">SUM(I42:J49)</f>
        <v>0</v>
      </c>
      <c r="J50" s="19"/>
      <c r="K50" s="19">
        <f t="shared" ref="K50" si="10">SUM(K42:L49)</f>
        <v>0</v>
      </c>
      <c r="L50" s="19"/>
      <c r="M50" s="14">
        <f>SUM(M46:M49)</f>
        <v>0</v>
      </c>
    </row>
  </sheetData>
  <mergeCells count="77">
    <mergeCell ref="I33:J33"/>
    <mergeCell ref="K33:L33"/>
    <mergeCell ref="C34:D34"/>
    <mergeCell ref="I34:J34"/>
    <mergeCell ref="E34:F34"/>
    <mergeCell ref="E35:F35"/>
    <mergeCell ref="E36:F36"/>
    <mergeCell ref="E37:F37"/>
    <mergeCell ref="C33:D33"/>
    <mergeCell ref="E33:F33"/>
    <mergeCell ref="K35:L35"/>
    <mergeCell ref="K36:L36"/>
    <mergeCell ref="K37:L37"/>
    <mergeCell ref="C35:D35"/>
    <mergeCell ref="C36:D36"/>
    <mergeCell ref="C37:D37"/>
    <mergeCell ref="G37:H37"/>
    <mergeCell ref="B32:M32"/>
    <mergeCell ref="B40:M40"/>
    <mergeCell ref="C41:D41"/>
    <mergeCell ref="E41:F41"/>
    <mergeCell ref="G41:H41"/>
    <mergeCell ref="I41:J41"/>
    <mergeCell ref="K41:L41"/>
    <mergeCell ref="G33:H33"/>
    <mergeCell ref="G34:H34"/>
    <mergeCell ref="G35:H35"/>
    <mergeCell ref="G36:H36"/>
    <mergeCell ref="I35:J35"/>
    <mergeCell ref="I36:J36"/>
    <mergeCell ref="I37:J37"/>
    <mergeCell ref="K34:L34"/>
    <mergeCell ref="C50:D50"/>
    <mergeCell ref="E50:F50"/>
    <mergeCell ref="G50:H50"/>
    <mergeCell ref="I50:J50"/>
    <mergeCell ref="K50:L50"/>
    <mergeCell ref="C49:D49"/>
    <mergeCell ref="E49:F49"/>
    <mergeCell ref="G49:H49"/>
    <mergeCell ref="I49:J49"/>
    <mergeCell ref="K49:L49"/>
    <mergeCell ref="E42:F42"/>
    <mergeCell ref="E43:F43"/>
    <mergeCell ref="E44:F44"/>
    <mergeCell ref="E45:F45"/>
    <mergeCell ref="E48:F48"/>
    <mergeCell ref="E46:F46"/>
    <mergeCell ref="E47:F47"/>
    <mergeCell ref="C42:D42"/>
    <mergeCell ref="C43:D43"/>
    <mergeCell ref="C44:D44"/>
    <mergeCell ref="C45:D45"/>
    <mergeCell ref="C48:D48"/>
    <mergeCell ref="C46:D46"/>
    <mergeCell ref="C47:D47"/>
    <mergeCell ref="I42:J42"/>
    <mergeCell ref="I43:J43"/>
    <mergeCell ref="I44:J44"/>
    <mergeCell ref="I45:J45"/>
    <mergeCell ref="I48:J48"/>
    <mergeCell ref="I46:J46"/>
    <mergeCell ref="I47:J47"/>
    <mergeCell ref="G42:H42"/>
    <mergeCell ref="G43:H43"/>
    <mergeCell ref="G44:H44"/>
    <mergeCell ref="G45:H45"/>
    <mergeCell ref="G48:H48"/>
    <mergeCell ref="G46:H46"/>
    <mergeCell ref="G47:H47"/>
    <mergeCell ref="K42:L42"/>
    <mergeCell ref="K43:L43"/>
    <mergeCell ref="K44:L44"/>
    <mergeCell ref="K45:L45"/>
    <mergeCell ref="K48:L48"/>
    <mergeCell ref="K46:L46"/>
    <mergeCell ref="K47:L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Passarella</dc:creator>
  <cp:lastModifiedBy>Referee 1</cp:lastModifiedBy>
  <dcterms:created xsi:type="dcterms:W3CDTF">2023-11-07T16:24:19Z</dcterms:created>
  <dcterms:modified xsi:type="dcterms:W3CDTF">2023-11-08T07:28:48Z</dcterms:modified>
</cp:coreProperties>
</file>