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co\matlab-projects\Congreso - finalFit\data\input\experimental\"/>
    </mc:Choice>
  </mc:AlternateContent>
  <xr:revisionPtr revIDLastSave="0" documentId="13_ncr:1_{68C2691C-CB69-4250-9772-FEE623E6389C}" xr6:coauthVersionLast="47" xr6:coauthVersionMax="47" xr10:uidLastSave="{00000000-0000-0000-0000-000000000000}"/>
  <bookViews>
    <workbookView xWindow="-108" yWindow="-108" windowWidth="23256" windowHeight="12456" tabRatio="603" firstSheet="2" activeTab="7" xr2:uid="{0211FFAE-2A5E-4DDD-BE0C-A854E5E64D7D}"/>
  </bookViews>
  <sheets>
    <sheet name="Figures" sheetId="15" r:id="rId1"/>
    <sheet name="Calibration curves" sheetId="8" r:id="rId2"/>
    <sheet name="milk_POMS" sheetId="10" r:id="rId3"/>
    <sheet name="water_PEBA" sheetId="13" r:id="rId4"/>
    <sheet name="milk_PEBA" sheetId="12" r:id="rId5"/>
    <sheet name="water_POMS" sheetId="14" r:id="rId6"/>
    <sheet name="Partition Constants" sheetId="20" r:id="rId7"/>
    <sheet name="Partition Constants (2)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21" l="1"/>
  <c r="P3" i="21"/>
  <c r="P4" i="21"/>
  <c r="P5" i="21"/>
  <c r="Q2" i="21"/>
  <c r="O3" i="21"/>
  <c r="O4" i="21"/>
  <c r="O5" i="21"/>
  <c r="O2" i="21"/>
  <c r="N2" i="21"/>
  <c r="N3" i="21"/>
  <c r="N4" i="21"/>
  <c r="N5" i="21"/>
  <c r="L3" i="21"/>
  <c r="M3" i="21"/>
  <c r="L4" i="21"/>
  <c r="M4" i="21"/>
  <c r="L5" i="21"/>
  <c r="M5" i="21"/>
  <c r="M2" i="21"/>
  <c r="L2" i="21"/>
  <c r="G2" i="21"/>
  <c r="H2" i="21"/>
  <c r="F23" i="21"/>
  <c r="G23" i="21" s="1"/>
  <c r="H23" i="21" s="1"/>
  <c r="D23" i="21"/>
  <c r="G22" i="21"/>
  <c r="H22" i="21" s="1"/>
  <c r="F22" i="21"/>
  <c r="D22" i="21"/>
  <c r="F21" i="21"/>
  <c r="G21" i="21" s="1"/>
  <c r="H21" i="21" s="1"/>
  <c r="D21" i="21"/>
  <c r="F20" i="21"/>
  <c r="G20" i="21" s="1"/>
  <c r="H20" i="21" s="1"/>
  <c r="D20" i="21"/>
  <c r="F19" i="21"/>
  <c r="G19" i="21" s="1"/>
  <c r="H19" i="21" s="1"/>
  <c r="D19" i="21"/>
  <c r="G18" i="21"/>
  <c r="H18" i="21" s="1"/>
  <c r="F18" i="21"/>
  <c r="D18" i="21"/>
  <c r="F17" i="21"/>
  <c r="G17" i="21" s="1"/>
  <c r="H17" i="21" s="1"/>
  <c r="D17" i="21"/>
  <c r="F16" i="21"/>
  <c r="G16" i="21" s="1"/>
  <c r="H16" i="21" s="1"/>
  <c r="D16" i="21"/>
  <c r="F15" i="21"/>
  <c r="G15" i="21" s="1"/>
  <c r="H15" i="21" s="1"/>
  <c r="D15" i="21"/>
  <c r="G14" i="21"/>
  <c r="H14" i="21" s="1"/>
  <c r="F14" i="21"/>
  <c r="D14" i="21"/>
  <c r="F13" i="21"/>
  <c r="G13" i="21" s="1"/>
  <c r="H13" i="21" s="1"/>
  <c r="D13" i="21"/>
  <c r="F12" i="21"/>
  <c r="G12" i="21" s="1"/>
  <c r="H12" i="21" s="1"/>
  <c r="D12" i="21"/>
  <c r="F11" i="21"/>
  <c r="G11" i="21" s="1"/>
  <c r="H11" i="21" s="1"/>
  <c r="D11" i="21"/>
  <c r="G10" i="21"/>
  <c r="H10" i="21" s="1"/>
  <c r="F10" i="21"/>
  <c r="D10" i="21"/>
  <c r="F9" i="21"/>
  <c r="G9" i="21" s="1"/>
  <c r="H9" i="21" s="1"/>
  <c r="D9" i="21"/>
  <c r="F8" i="21"/>
  <c r="G8" i="21" s="1"/>
  <c r="H8" i="21" s="1"/>
  <c r="D8" i="21"/>
  <c r="F7" i="21"/>
  <c r="G7" i="21" s="1"/>
  <c r="H7" i="21" s="1"/>
  <c r="D7" i="21"/>
  <c r="G6" i="21"/>
  <c r="H6" i="21" s="1"/>
  <c r="F6" i="21"/>
  <c r="D6" i="21"/>
  <c r="F5" i="21"/>
  <c r="G5" i="21" s="1"/>
  <c r="H5" i="21" s="1"/>
  <c r="D5" i="21"/>
  <c r="F4" i="21"/>
  <c r="G4" i="21" s="1"/>
  <c r="H4" i="21" s="1"/>
  <c r="D4" i="21"/>
  <c r="F3" i="21"/>
  <c r="G3" i="21" s="1"/>
  <c r="H3" i="21" s="1"/>
  <c r="D3" i="21"/>
  <c r="F2" i="21"/>
  <c r="D2" i="21"/>
  <c r="F2" i="20"/>
  <c r="G2" i="20" s="1"/>
  <c r="H2" i="20" s="1"/>
  <c r="G13" i="20"/>
  <c r="G16" i="20"/>
  <c r="H16" i="20" s="1"/>
  <c r="G18" i="20"/>
  <c r="H18" i="20" s="1"/>
  <c r="E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2" i="12"/>
  <c r="E2" i="13"/>
  <c r="E3" i="10"/>
  <c r="F7" i="20"/>
  <c r="G7" i="20" s="1"/>
  <c r="H7" i="20" s="1"/>
  <c r="F8" i="20"/>
  <c r="G8" i="20" s="1"/>
  <c r="H8" i="20" s="1"/>
  <c r="F9" i="20"/>
  <c r="G9" i="20" s="1"/>
  <c r="H9" i="20" s="1"/>
  <c r="F10" i="20"/>
  <c r="G10" i="20" s="1"/>
  <c r="H10" i="20" s="1"/>
  <c r="F11" i="20"/>
  <c r="G11" i="20" s="1"/>
  <c r="H11" i="20" s="1"/>
  <c r="F12" i="20"/>
  <c r="G12" i="20" s="1"/>
  <c r="H12" i="20" s="1"/>
  <c r="F13" i="20"/>
  <c r="F14" i="20"/>
  <c r="G14" i="20" s="1"/>
  <c r="F15" i="20"/>
  <c r="G15" i="20" s="1"/>
  <c r="F16" i="20"/>
  <c r="F17" i="20"/>
  <c r="G17" i="20" s="1"/>
  <c r="H17" i="20" s="1"/>
  <c r="F18" i="20"/>
  <c r="F19" i="20"/>
  <c r="G19" i="20" s="1"/>
  <c r="F20" i="20"/>
  <c r="G20" i="20" s="1"/>
  <c r="H20" i="20" s="1"/>
  <c r="F21" i="20"/>
  <c r="G21" i="20" s="1"/>
  <c r="F22" i="20"/>
  <c r="G22" i="20" s="1"/>
  <c r="F23" i="20"/>
  <c r="G23" i="20" s="1"/>
  <c r="H23" i="20" s="1"/>
  <c r="D23" i="20"/>
  <c r="D22" i="20"/>
  <c r="D21" i="20"/>
  <c r="D20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F6" i="20"/>
  <c r="D6" i="20"/>
  <c r="F5" i="20"/>
  <c r="G5" i="20" s="1"/>
  <c r="D5" i="20"/>
  <c r="F4" i="20"/>
  <c r="G4" i="20" s="1"/>
  <c r="D4" i="20"/>
  <c r="F3" i="20"/>
  <c r="G3" i="20" s="1"/>
  <c r="D3" i="20"/>
  <c r="D2" i="20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20" i="12"/>
  <c r="E21" i="12"/>
  <c r="E22" i="12"/>
  <c r="E18" i="12"/>
  <c r="E19" i="12"/>
  <c r="E15" i="12"/>
  <c r="E16" i="12"/>
  <c r="E17" i="12"/>
  <c r="E14" i="12"/>
  <c r="E11" i="12"/>
  <c r="E12" i="12"/>
  <c r="E13" i="12"/>
  <c r="E8" i="12"/>
  <c r="E9" i="12"/>
  <c r="E10" i="12"/>
  <c r="E5" i="12"/>
  <c r="E6" i="12"/>
  <c r="E7" i="12"/>
  <c r="E3" i="12"/>
  <c r="E4" i="12"/>
  <c r="E2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C4" i="8"/>
  <c r="R2" i="21" l="1"/>
  <c r="R4" i="21"/>
  <c r="G6" i="20"/>
  <c r="H6" i="20" s="1"/>
  <c r="H14" i="20"/>
  <c r="H13" i="20"/>
  <c r="H3" i="20"/>
  <c r="H4" i="20"/>
  <c r="H5" i="20"/>
  <c r="H19" i="20"/>
  <c r="H15" i="20"/>
  <c r="H22" i="20"/>
  <c r="H21" i="20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F16" i="8"/>
  <c r="C16" i="8"/>
  <c r="F15" i="8"/>
  <c r="C15" i="8"/>
  <c r="F14" i="8"/>
  <c r="C14" i="8"/>
  <c r="F13" i="8"/>
  <c r="C13" i="8"/>
  <c r="F12" i="8"/>
  <c r="C12" i="8"/>
  <c r="F11" i="8"/>
  <c r="C11" i="8"/>
  <c r="F10" i="8"/>
  <c r="C10" i="8"/>
  <c r="F9" i="8"/>
  <c r="C9" i="8"/>
  <c r="F8" i="8"/>
  <c r="C8" i="8"/>
  <c r="F7" i="8"/>
  <c r="C7" i="8"/>
  <c r="F6" i="8"/>
  <c r="C6" i="8"/>
  <c r="F5" i="8"/>
  <c r="C5" i="8"/>
  <c r="H3" i="8" s="1" a="1"/>
  <c r="F4" i="8"/>
  <c r="Q4" i="21" l="1"/>
  <c r="Q5" i="21"/>
  <c r="R3" i="21"/>
  <c r="Q3" i="21"/>
  <c r="H5" i="8"/>
  <c r="H3" i="8"/>
  <c r="I4" i="8"/>
  <c r="H4" i="8"/>
  <c r="I3" i="8"/>
  <c r="I5" i="8"/>
  <c r="H7" i="8" s="1"/>
  <c r="K3" i="8" a="1"/>
  <c r="R5" i="21" l="1"/>
  <c r="K5" i="8"/>
  <c r="L3" i="8"/>
  <c r="K3" i="8"/>
  <c r="L4" i="8"/>
  <c r="K4" i="8"/>
  <c r="L5" i="8"/>
  <c r="K7" i="8" s="1"/>
  <c r="B41" i="13"/>
  <c r="B42" i="13"/>
  <c r="B45" i="13"/>
  <c r="B44" i="13"/>
  <c r="B34" i="13"/>
  <c r="B43" i="13"/>
  <c r="B40" i="13"/>
  <c r="B35" i="13"/>
  <c r="B32" i="13"/>
  <c r="B38" i="13"/>
  <c r="B30" i="13"/>
  <c r="B46" i="13"/>
  <c r="B39" i="13"/>
  <c r="B47" i="13"/>
  <c r="B37" i="13"/>
  <c r="B33" i="13"/>
  <c r="B36" i="13"/>
  <c r="B31" i="13"/>
</calcChain>
</file>

<file path=xl/sharedStrings.xml><?xml version="1.0" encoding="utf-8"?>
<sst xmlns="http://schemas.openxmlformats.org/spreadsheetml/2006/main" count="403" uniqueCount="45">
  <si>
    <t>R2</t>
  </si>
  <si>
    <t>Water</t>
  </si>
  <si>
    <t>a</t>
  </si>
  <si>
    <t>b</t>
  </si>
  <si>
    <t>CONS</t>
  </si>
  <si>
    <t>LOD [ug/mL]</t>
  </si>
  <si>
    <t>[omim][Tf2N]</t>
  </si>
  <si>
    <t>water</t>
  </si>
  <si>
    <t>extractant</t>
  </si>
  <si>
    <t>PHASE</t>
  </si>
  <si>
    <t>A0</t>
  </si>
  <si>
    <t>A1</t>
  </si>
  <si>
    <t>A2</t>
  </si>
  <si>
    <t>A3</t>
  </si>
  <si>
    <t>A4</t>
  </si>
  <si>
    <t>A5</t>
  </si>
  <si>
    <t>A7</t>
  </si>
  <si>
    <t>A6</t>
  </si>
  <si>
    <t>AREA</t>
  </si>
  <si>
    <t>ORGINAL AREA</t>
  </si>
  <si>
    <t>CORRECTED AREA</t>
  </si>
  <si>
    <t>R =</t>
  </si>
  <si>
    <t>TIME</t>
  </si>
  <si>
    <t>CONCENTRATION</t>
  </si>
  <si>
    <t>SAMPLE</t>
  </si>
  <si>
    <t>POMS</t>
  </si>
  <si>
    <t>PEBA</t>
  </si>
  <si>
    <t>L1</t>
  </si>
  <si>
    <t>L2</t>
  </si>
  <si>
    <t>L3</t>
  </si>
  <si>
    <t>L4</t>
  </si>
  <si>
    <t>L5</t>
  </si>
  <si>
    <t>L6</t>
  </si>
  <si>
    <t>L7</t>
  </si>
  <si>
    <t>CONCENTRATION (ug/mL)</t>
  </si>
  <si>
    <t>Membrane</t>
  </si>
  <si>
    <t>aux</t>
  </si>
  <si>
    <t>Masa absorbida
ug</t>
  </si>
  <si>
    <t>Concentracion en membrana
mol/mL</t>
  </si>
  <si>
    <t>PCB mass (ug)</t>
  </si>
  <si>
    <t>PCB mass (mol)</t>
  </si>
  <si>
    <t>Concentracion en el liquido
mol/mL</t>
  </si>
  <si>
    <t>% Extraction</t>
  </si>
  <si>
    <t>Partition constant</t>
  </si>
  <si>
    <t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</si>
</sst>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_ "/>
    <numFmt numFmtId="165" formatCode="0.0"/>
    <numFmt numFmtId="166" formatCode="0.000"/>
    <numFmt numFmtId="167" formatCode="0.0_ "/>
    <numFmt numFmtId="168" formatCode="0.00.E+00"/>
    <numFmt numFmtId="169" formatCode="0.000.E+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8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5" xfId="0" applyFill="1" applyBorder="1"/>
    <xf numFmtId="0" fontId="0" fillId="2" borderId="4" xfId="0" applyFill="1" applyBorder="1"/>
    <xf numFmtId="0" fontId="0" fillId="3" borderId="6" xfId="0" applyFill="1" applyBorder="1"/>
    <xf numFmtId="0" fontId="0" fillId="3" borderId="7" xfId="0" applyFill="1" applyBorder="1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1" fillId="0" borderId="4" xfId="0" applyFont="1" applyBorder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16" xfId="0" applyBorder="1"/>
    <xf numFmtId="0" fontId="0" fillId="0" borderId="18" xfId="0" applyBorder="1"/>
    <xf numFmtId="0" fontId="0" fillId="0" borderId="12" xfId="0" applyBorder="1"/>
    <xf numFmtId="165" fontId="0" fillId="0" borderId="12" xfId="0" applyNumberFormat="1" applyBorder="1"/>
    <xf numFmtId="167" fontId="0" fillId="0" borderId="0" xfId="0" applyNumberFormat="1"/>
    <xf numFmtId="164" fontId="0" fillId="0" borderId="12" xfId="0" applyNumberFormat="1" applyBorder="1"/>
    <xf numFmtId="0" fontId="6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165" fontId="0" fillId="0" borderId="17" xfId="0" applyNumberFormat="1" applyBorder="1"/>
    <xf numFmtId="165" fontId="0" fillId="0" borderId="19" xfId="0" applyNumberFormat="1" applyBorder="1"/>
    <xf numFmtId="164" fontId="0" fillId="5" borderId="0" xfId="0" applyNumberFormat="1" applyFill="1"/>
    <xf numFmtId="0" fontId="0" fillId="5" borderId="0" xfId="0" applyFill="1"/>
    <xf numFmtId="165" fontId="0" fillId="5" borderId="0" xfId="0" applyNumberFormat="1" applyFill="1"/>
    <xf numFmtId="165" fontId="0" fillId="5" borderId="17" xfId="0" applyNumberFormat="1" applyFill="1" applyBorder="1"/>
    <xf numFmtId="0" fontId="0" fillId="5" borderId="14" xfId="0" applyFill="1" applyBorder="1"/>
    <xf numFmtId="165" fontId="0" fillId="5" borderId="15" xfId="0" applyNumberFormat="1" applyFill="1" applyBorder="1"/>
    <xf numFmtId="167" fontId="0" fillId="5" borderId="0" xfId="0" applyNumberFormat="1" applyFill="1"/>
    <xf numFmtId="166" fontId="0" fillId="5" borderId="14" xfId="0" applyNumberFormat="1" applyFill="1" applyBorder="1"/>
    <xf numFmtId="166" fontId="0" fillId="5" borderId="0" xfId="0" applyNumberFormat="1" applyFill="1"/>
    <xf numFmtId="11" fontId="0" fillId="0" borderId="0" xfId="0" applyNumberFormat="1"/>
    <xf numFmtId="168" fontId="0" fillId="0" borderId="17" xfId="0" applyNumberFormat="1" applyBorder="1"/>
    <xf numFmtId="0" fontId="1" fillId="0" borderId="0" xfId="0" applyFont="1"/>
    <xf numFmtId="49" fontId="1" fillId="0" borderId="0" xfId="0" applyNumberFormat="1" applyFont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169" fontId="0" fillId="8" borderId="0" xfId="0" applyNumberFormat="1" applyFill="1"/>
    <xf numFmtId="0" fontId="1" fillId="9" borderId="0" xfId="0" applyFont="1" applyFill="1" applyAlignment="1">
      <alignment horizontal="center" vertical="center" wrapText="1"/>
    </xf>
    <xf numFmtId="10" fontId="0" fillId="9" borderId="0" xfId="1" applyNumberFormat="1" applyFont="1" applyFill="1"/>
    <xf numFmtId="0" fontId="1" fillId="6" borderId="0" xfId="0" applyFont="1" applyFill="1" applyAlignment="1">
      <alignment vertical="center" wrapText="1"/>
    </xf>
    <xf numFmtId="166" fontId="0" fillId="6" borderId="0" xfId="0" applyNumberFormat="1" applyFill="1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0" fillId="0" borderId="0" xfId="0" applyNumberFormat="1"/>
    <xf numFmtId="166" fontId="0" fillId="7" borderId="0" xfId="0" applyNumberFormat="1" applyFill="1"/>
  </cellXfs>
  <cellStyles count="2">
    <cellStyle name="Normal" xfId="0" builtinId="0"/>
    <cellStyle name="Porcentaje" xfId="1" builtinId="5"/>
  </cellStyles>
  <dxfs count="63">
    <dxf>
      <fill>
        <patternFill>
          <bgColor theme="8"/>
        </patternFill>
      </fill>
    </dxf>
    <dxf>
      <fill>
        <patternFill>
          <bgColor theme="7" tint="0.59996337778862885"/>
        </patternFill>
      </fill>
    </dxf>
    <dxf>
      <fill>
        <patternFill>
          <bgColor theme="8"/>
        </patternFill>
      </fill>
    </dxf>
    <dxf>
      <fill>
        <patternFill>
          <bgColor theme="7" tint="0.59996337778862885"/>
        </patternFill>
      </fill>
    </dxf>
    <dxf>
      <fill>
        <patternFill>
          <bgColor theme="8"/>
        </patternFill>
      </fill>
    </dxf>
    <dxf>
      <fill>
        <patternFill>
          <bgColor theme="7" tint="0.59996337778862885"/>
        </patternFill>
      </fill>
    </dxf>
    <dxf>
      <fill>
        <patternFill>
          <bgColor theme="8"/>
        </patternFill>
      </fill>
    </dxf>
    <dxf>
      <fill>
        <patternFill>
          <bgColor theme="7" tint="0.59996337778862885"/>
        </patternFill>
      </fill>
    </dxf>
    <dxf>
      <fill>
        <patternFill>
          <bgColor theme="8"/>
        </patternFill>
      </fill>
    </dxf>
    <dxf>
      <fill>
        <patternFill>
          <bgColor theme="7" tint="0.59996337778862885"/>
        </patternFill>
      </fill>
    </dxf>
    <dxf>
      <fill>
        <patternFill>
          <bgColor theme="8"/>
        </patternFill>
      </fill>
    </dxf>
    <dxf>
      <fill>
        <patternFill>
          <bgColor theme="7" tint="0.59996337778862885"/>
        </patternFill>
      </fill>
    </dxf>
    <dxf>
      <fill>
        <patternFill>
          <bgColor theme="8"/>
        </patternFill>
      </fill>
    </dxf>
    <dxf>
      <fill>
        <patternFill>
          <bgColor theme="7" tint="0.59996337778862885"/>
        </patternFill>
      </fill>
    </dxf>
    <dxf>
      <fill>
        <patternFill>
          <bgColor theme="8"/>
        </patternFill>
      </fill>
    </dxf>
    <dxf>
      <fill>
        <patternFill>
          <bgColor theme="7" tint="0.59996337778862885"/>
        </patternFill>
      </fill>
    </dxf>
    <dxf>
      <numFmt numFmtId="168" formatCode="0.00.E+00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4" formatCode="0_ 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ill>
        <patternFill patternType="none">
          <fgColor rgb="FF000000"/>
          <bgColor auto="1"/>
        </patternFill>
      </fill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1" indent="0" justifyLastLine="0" shrinkToFit="0" readingOrder="0"/>
    </dxf>
    <dxf>
      <numFmt numFmtId="168" formatCode="0.00.E+00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4" formatCode="0_ 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ill>
        <patternFill patternType="none">
          <fgColor rgb="FF000000"/>
          <bgColor auto="1"/>
        </patternFill>
      </fill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1" indent="0" justifyLastLine="0" shrinkToFit="0" readingOrder="0"/>
    </dxf>
    <dxf>
      <numFmt numFmtId="165" formatCode="0.0"/>
    </dxf>
    <dxf>
      <numFmt numFmtId="164" formatCode="0_ 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numFmt numFmtId="165" formatCode="0.0"/>
    </dxf>
    <dxf>
      <numFmt numFmtId="164" formatCode="0_ 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numFmt numFmtId="165" formatCode="0.0"/>
    </dxf>
    <dxf>
      <numFmt numFmtId="164" formatCode="0_ 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numFmt numFmtId="165" formatCode="0.0"/>
    </dxf>
    <dxf>
      <numFmt numFmtId="164" formatCode="0_ 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color theme="0"/>
      </font>
      <fill>
        <patternFill>
          <bgColor rgb="FF7030A0"/>
        </patternFill>
      </fill>
      <border>
        <bottom style="double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TableStyleMedium2" defaultPivotStyle="PivotStyleLight16">
    <tableStyle name="Estilo de tabla 1" pivot="0" count="1" xr9:uid="{BBE4E4D8-2404-42A1-990B-5D7DAF813D01}">
      <tableStyleElement type="wholeTable" dxfId="62"/>
    </tableStyle>
    <tableStyle name="Estilo de tabla 2" pivot="0" count="2" xr9:uid="{309BA122-2C2A-4E02-8C66-340F395D3F5B}">
      <tableStyleElement type="wholeTable" dxfId="61"/>
      <tableStyleElement type="headerRow" dxfId="6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milk-PEBA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milk_PEBA!$C$2:$C$19</c:f>
              <c:numCache>
                <c:formatCode>General</c:formatCode>
                <c:ptCount val="1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</c:numCache>
            </c:numRef>
          </c:xVal>
          <c:yVal>
            <c:numRef>
              <c:f>milk_PEBA!$E$2:$E$19</c:f>
              <c:numCache>
                <c:formatCode>0.0</c:formatCode>
                <c:ptCount val="18"/>
                <c:pt idx="0">
                  <c:v>2.2770939552950007</c:v>
                </c:pt>
                <c:pt idx="1">
                  <c:v>1.9898071559229322</c:v>
                </c:pt>
                <c:pt idx="2">
                  <c:v>2.1159236004192974</c:v>
                </c:pt>
                <c:pt idx="3">
                  <c:v>2.0545587194593606</c:v>
                </c:pt>
                <c:pt idx="4">
                  <c:v>1.7963801384963816</c:v>
                </c:pt>
                <c:pt idx="5">
                  <c:v>1.8080332840021436</c:v>
                </c:pt>
                <c:pt idx="6">
                  <c:v>1.6065575042849545</c:v>
                </c:pt>
                <c:pt idx="7">
                  <c:v>1.6709794361940156</c:v>
                </c:pt>
                <c:pt idx="8">
                  <c:v>1.6922422164938338</c:v>
                </c:pt>
                <c:pt idx="9">
                  <c:v>1.2720158033168831</c:v>
                </c:pt>
                <c:pt idx="10">
                  <c:v>1.3629895114657893</c:v>
                </c:pt>
                <c:pt idx="11">
                  <c:v>1.1792953556098777</c:v>
                </c:pt>
                <c:pt idx="12">
                  <c:v>0.7639261312100043</c:v>
                </c:pt>
                <c:pt idx="13">
                  <c:v>0.70218489513657789</c:v>
                </c:pt>
                <c:pt idx="14">
                  <c:v>0.63984806297632235</c:v>
                </c:pt>
                <c:pt idx="15">
                  <c:v>0.62618067311829007</c:v>
                </c:pt>
                <c:pt idx="16">
                  <c:v>0.43783111233196165</c:v>
                </c:pt>
                <c:pt idx="17">
                  <c:v>0.46611063066851482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FA-4499-A092-861FA57F90BA}"/>
            </c:ext>
          </c:extLst>
        </c:ser>
        <c:ser>
          <c:idx val="1"/>
          <c:order val="1"/>
          <c:tx>
            <c:v>milk-POMS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milk_POMS!$C$2:$C$20</c:f>
              <c:numCache>
                <c:formatCode>General</c:formatCode>
                <c:ptCount val="19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</c:numCache>
            </c:numRef>
          </c:xVal>
          <c:yVal>
            <c:numRef>
              <c:f>milk_POMS!$E$2:$E$20</c:f>
              <c:numCache>
                <c:formatCode>0.0</c:formatCode>
                <c:ptCount val="19"/>
                <c:pt idx="0">
                  <c:v>5.2226631799765819</c:v>
                </c:pt>
                <c:pt idx="1">
                  <c:v>4.8555002705769299</c:v>
                </c:pt>
                <c:pt idx="2">
                  <c:v>4.8687630658518408</c:v>
                </c:pt>
                <c:pt idx="3">
                  <c:v>4.8815570859308233</c:v>
                </c:pt>
                <c:pt idx="4">
                  <c:v>4.4689240094160496</c:v>
                </c:pt>
                <c:pt idx="5">
                  <c:v>4.344380246655855</c:v>
                </c:pt>
                <c:pt idx="6">
                  <c:v>4.077936743098312</c:v>
                </c:pt>
                <c:pt idx="7">
                  <c:v>4.2623759075076615</c:v>
                </c:pt>
                <c:pt idx="8">
                  <c:v>4.0796952918891645</c:v>
                </c:pt>
                <c:pt idx="9">
                  <c:v>3.2597078659015932</c:v>
                </c:pt>
                <c:pt idx="10">
                  <c:v>3.1063310912000168</c:v>
                </c:pt>
                <c:pt idx="11">
                  <c:v>2.9253910538007899</c:v>
                </c:pt>
                <c:pt idx="12">
                  <c:v>2.4194516889453266</c:v>
                </c:pt>
                <c:pt idx="13">
                  <c:v>2.7100204281337876</c:v>
                </c:pt>
                <c:pt idx="14">
                  <c:v>2.4928260461733207</c:v>
                </c:pt>
                <c:pt idx="15">
                  <c:v>1.711793171488917</c:v>
                </c:pt>
                <c:pt idx="16">
                  <c:v>2.1063506049675493</c:v>
                </c:pt>
                <c:pt idx="17">
                  <c:v>0.63650656355124713</c:v>
                </c:pt>
                <c:pt idx="18">
                  <c:v>0.44943005648738266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FA-4499-A092-861FA57F9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145952"/>
        <c:axId val="1109272448"/>
      </c:scatterChart>
      <c:valAx>
        <c:axId val="111814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time</a:t>
                </a:r>
                <a:r>
                  <a:rPr lang="es-CL" baseline="0"/>
                  <a:t> [h]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09272448"/>
        <c:crosses val="autoZero"/>
        <c:crossBetween val="midCat"/>
      </c:valAx>
      <c:valAx>
        <c:axId val="110927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Concentration [ug/mL]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1814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water_POMS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water_POMS!$C$27:$C$47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</c:numCache>
            </c:numRef>
          </c:xVal>
          <c:yVal>
            <c:numRef>
              <c:f>water_POMS!$E$27:$E$47</c:f>
              <c:numCache>
                <c:formatCode>0.0</c:formatCode>
                <c:ptCount val="21"/>
                <c:pt idx="0">
                  <c:v>1.1168008958645737</c:v>
                </c:pt>
                <c:pt idx="1">
                  <c:v>1.2591791673109975</c:v>
                </c:pt>
                <c:pt idx="2">
                  <c:v>1.4864298811306411</c:v>
                </c:pt>
                <c:pt idx="3">
                  <c:v>3.1045946205399684</c:v>
                </c:pt>
                <c:pt idx="4">
                  <c:v>3.1912107218018706</c:v>
                </c:pt>
                <c:pt idx="5">
                  <c:v>3.2505690600830754</c:v>
                </c:pt>
                <c:pt idx="6">
                  <c:v>3.9686125141362227</c:v>
                </c:pt>
                <c:pt idx="7">
                  <c:v>4.2252594889552251</c:v>
                </c:pt>
                <c:pt idx="8">
                  <c:v>3.9691742228594848</c:v>
                </c:pt>
                <c:pt idx="9">
                  <c:v>4.713435200520995</c:v>
                </c:pt>
                <c:pt idx="10">
                  <c:v>4.641065141522172</c:v>
                </c:pt>
                <c:pt idx="11">
                  <c:v>4.8770629026997732</c:v>
                </c:pt>
                <c:pt idx="12">
                  <c:v>4.9121486466630646</c:v>
                </c:pt>
                <c:pt idx="13">
                  <c:v>4.9188070001578961</c:v>
                </c:pt>
                <c:pt idx="14">
                  <c:v>4.9984053364932581</c:v>
                </c:pt>
                <c:pt idx="15">
                  <c:v>5.9527104624038598</c:v>
                </c:pt>
                <c:pt idx="16">
                  <c:v>5.8824809552033051</c:v>
                </c:pt>
                <c:pt idx="17">
                  <c:v>6.0710554048569012</c:v>
                </c:pt>
                <c:pt idx="18">
                  <c:v>6.7068578216618304</c:v>
                </c:pt>
                <c:pt idx="19">
                  <c:v>6.7233111635604983</c:v>
                </c:pt>
                <c:pt idx="20">
                  <c:v>6.7705963584057471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AE-470B-BD06-3270DC9F84FA}"/>
            </c:ext>
          </c:extLst>
        </c:ser>
        <c:ser>
          <c:idx val="1"/>
          <c:order val="1"/>
          <c:tx>
            <c:v>water_PEBA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water_PEBA!$C$30:$C$47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</c:numCache>
            </c:numRef>
          </c:xVal>
          <c:yVal>
            <c:numRef>
              <c:f>water_PEBA!$E$30:$E$47</c:f>
              <c:numCache>
                <c:formatCode>0.0</c:formatCode>
                <c:ptCount val="18"/>
                <c:pt idx="0">
                  <c:v>0.22581174154318023</c:v>
                </c:pt>
                <c:pt idx="1">
                  <c:v>0.42549559855085667</c:v>
                </c:pt>
                <c:pt idx="2">
                  <c:v>0.79608472578448586</c:v>
                </c:pt>
                <c:pt idx="3">
                  <c:v>0.70742922137009323</c:v>
                </c:pt>
                <c:pt idx="4">
                  <c:v>0.7136141786648772</c:v>
                </c:pt>
                <c:pt idx="5">
                  <c:v>1.2932082416650659</c:v>
                </c:pt>
                <c:pt idx="6">
                  <c:v>1.319537182817252</c:v>
                </c:pt>
                <c:pt idx="7">
                  <c:v>1.6059634485328329</c:v>
                </c:pt>
                <c:pt idx="8">
                  <c:v>1.4385614128762232</c:v>
                </c:pt>
                <c:pt idx="9">
                  <c:v>1.4480447402242778</c:v>
                </c:pt>
                <c:pt idx="10">
                  <c:v>2.1533434649090761</c:v>
                </c:pt>
                <c:pt idx="11">
                  <c:v>1.9997258845482551</c:v>
                </c:pt>
                <c:pt idx="12">
                  <c:v>2.0561801784612634</c:v>
                </c:pt>
                <c:pt idx="13">
                  <c:v>2.167310193145231</c:v>
                </c:pt>
                <c:pt idx="14">
                  <c:v>2.2930990597938394</c:v>
                </c:pt>
                <c:pt idx="15">
                  <c:v>2.458477095645033</c:v>
                </c:pt>
                <c:pt idx="16">
                  <c:v>2.4181721842484483</c:v>
                </c:pt>
                <c:pt idx="17">
                  <c:v>2.6501815054239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AE-470B-BD06-3270DC9F8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145952"/>
        <c:axId val="1109272448"/>
      </c:scatterChart>
      <c:valAx>
        <c:axId val="111814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time</a:t>
                </a:r>
                <a:r>
                  <a:rPr lang="es-CL" baseline="0"/>
                  <a:t> [h]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09272448"/>
        <c:crosses val="autoZero"/>
        <c:crossBetween val="midCat"/>
      </c:valAx>
      <c:valAx>
        <c:axId val="110927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Concentration [ug/mL]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1814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waterPOMS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water_POMS!$C$2:$C$26</c:f>
              <c:numCache>
                <c:formatCode>General</c:formatCode>
                <c:ptCount val="2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water_POMS!$E$2:$E$26</c:f>
              <c:numCache>
                <c:formatCode>0.0</c:formatCode>
                <c:ptCount val="25"/>
                <c:pt idx="0">
                  <c:v>2.931195362168646</c:v>
                </c:pt>
                <c:pt idx="1">
                  <c:v>3.2868860042873607</c:v>
                </c:pt>
                <c:pt idx="2">
                  <c:v>3.3442644001326101</c:v>
                </c:pt>
                <c:pt idx="3">
                  <c:v>3.2535047535050023</c:v>
                </c:pt>
                <c:pt idx="4">
                  <c:v>3.5402722522606496</c:v>
                </c:pt>
                <c:pt idx="5">
                  <c:v>3.9488089367498946</c:v>
                </c:pt>
                <c:pt idx="6">
                  <c:v>4.3132433519658173</c:v>
                </c:pt>
                <c:pt idx="7">
                  <c:v>4.4266153424576817</c:v>
                </c:pt>
                <c:pt idx="8">
                  <c:v>3.7040131035494368</c:v>
                </c:pt>
                <c:pt idx="9">
                  <c:v>4.4753847798715345</c:v>
                </c:pt>
                <c:pt idx="10">
                  <c:v>4.443280961114338</c:v>
                </c:pt>
                <c:pt idx="11">
                  <c:v>4.7274114291835465</c:v>
                </c:pt>
                <c:pt idx="12">
                  <c:v>4.5990358859225626</c:v>
                </c:pt>
                <c:pt idx="13">
                  <c:v>6.9336382639441307</c:v>
                </c:pt>
                <c:pt idx="14">
                  <c:v>6.5951762443291528</c:v>
                </c:pt>
                <c:pt idx="15">
                  <c:v>7.4768203227230972</c:v>
                </c:pt>
                <c:pt idx="16">
                  <c:v>8.2723701360809816</c:v>
                </c:pt>
                <c:pt idx="17">
                  <c:v>6.7287086526471818</c:v>
                </c:pt>
                <c:pt idx="18">
                  <c:v>6.6269110493219099</c:v>
                </c:pt>
                <c:pt idx="19">
                  <c:v>12.274544252954302</c:v>
                </c:pt>
                <c:pt idx="20">
                  <c:v>12.818730787795822</c:v>
                </c:pt>
                <c:pt idx="21">
                  <c:v>11.943586090587791</c:v>
                </c:pt>
                <c:pt idx="22">
                  <c:v>22.090338871422805</c:v>
                </c:pt>
                <c:pt idx="23">
                  <c:v>22.696904303483191</c:v>
                </c:pt>
                <c:pt idx="24">
                  <c:v>25.541736093879248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FD-404A-926A-59E0C9E8AC2A}"/>
            </c:ext>
          </c:extLst>
        </c:ser>
        <c:ser>
          <c:idx val="1"/>
          <c:order val="1"/>
          <c:tx>
            <c:v>water_PEBA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water_PEBA!$C$2:$C$29</c:f>
              <c:numCache>
                <c:formatCode>General</c:formatCode>
                <c:ptCount val="28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xVal>
          <c:yVal>
            <c:numRef>
              <c:f>water_PEBA!$E$2:$E$29</c:f>
              <c:numCache>
                <c:formatCode>0.0</c:formatCode>
                <c:ptCount val="28"/>
                <c:pt idx="0">
                  <c:v>6.4970694890339526</c:v>
                </c:pt>
                <c:pt idx="1">
                  <c:v>5.1070090233821706</c:v>
                </c:pt>
                <c:pt idx="2">
                  <c:v>5.9989809255799749</c:v>
                </c:pt>
                <c:pt idx="3">
                  <c:v>5.7128339399605483</c:v>
                </c:pt>
                <c:pt idx="4">
                  <c:v>5.429449803769848</c:v>
                </c:pt>
                <c:pt idx="5">
                  <c:v>4.3137018724411877</c:v>
                </c:pt>
                <c:pt idx="6">
                  <c:v>4.7880402730252412</c:v>
                </c:pt>
                <c:pt idx="7">
                  <c:v>4.3396165136068756</c:v>
                </c:pt>
                <c:pt idx="8">
                  <c:v>3.8025304043394228</c:v>
                </c:pt>
                <c:pt idx="9">
                  <c:v>3.7126860868202938</c:v>
                </c:pt>
                <c:pt idx="10">
                  <c:v>4.6420820403708296</c:v>
                </c:pt>
                <c:pt idx="11">
                  <c:v>3.8510354025988054</c:v>
                </c:pt>
                <c:pt idx="12">
                  <c:v>3.9325320734482556</c:v>
                </c:pt>
                <c:pt idx="13">
                  <c:v>6.4930581862537462</c:v>
                </c:pt>
                <c:pt idx="14">
                  <c:v>5.6021648295548525</c:v>
                </c:pt>
                <c:pt idx="15">
                  <c:v>6.2965486738111904</c:v>
                </c:pt>
                <c:pt idx="16">
                  <c:v>11.842141524607737</c:v>
                </c:pt>
                <c:pt idx="17">
                  <c:v>11.784904740185912</c:v>
                </c:pt>
                <c:pt idx="18">
                  <c:v>11.838344453467718</c:v>
                </c:pt>
                <c:pt idx="19">
                  <c:v>24.524846693913471</c:v>
                </c:pt>
                <c:pt idx="20">
                  <c:v>25.289838331858981</c:v>
                </c:pt>
                <c:pt idx="21">
                  <c:v>25.20481791989322</c:v>
                </c:pt>
                <c:pt idx="22">
                  <c:v>20.781983546168277</c:v>
                </c:pt>
                <c:pt idx="23">
                  <c:v>20.549047267594588</c:v>
                </c:pt>
                <c:pt idx="24">
                  <c:v>19.086761190005252</c:v>
                </c:pt>
                <c:pt idx="25">
                  <c:v>20.043253752391518</c:v>
                </c:pt>
                <c:pt idx="26">
                  <c:v>20.549047267594588</c:v>
                </c:pt>
                <c:pt idx="27">
                  <c:v>19.086761190005252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FD-404A-926A-59E0C9E8A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145952"/>
        <c:axId val="1109272448"/>
      </c:scatterChart>
      <c:valAx>
        <c:axId val="111814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time</a:t>
                </a:r>
                <a:r>
                  <a:rPr lang="es-CL" baseline="0"/>
                  <a:t> [h]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09272448"/>
        <c:crosses val="autoZero"/>
        <c:crossBetween val="midCat"/>
      </c:valAx>
      <c:valAx>
        <c:axId val="1109272448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Concentration [ug/mL]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1814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water_PEBA!$C$2:$C$29</c:f>
              <c:numCache>
                <c:formatCode>General</c:formatCode>
                <c:ptCount val="28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xVal>
          <c:yVal>
            <c:numRef>
              <c:f>water_PEBA!$E$2:$E$29</c:f>
              <c:numCache>
                <c:formatCode>0.0</c:formatCode>
                <c:ptCount val="28"/>
                <c:pt idx="0">
                  <c:v>6.4970694890339526</c:v>
                </c:pt>
                <c:pt idx="1">
                  <c:v>5.1070090233821706</c:v>
                </c:pt>
                <c:pt idx="2">
                  <c:v>5.9989809255799749</c:v>
                </c:pt>
                <c:pt idx="3">
                  <c:v>5.7128339399605483</c:v>
                </c:pt>
                <c:pt idx="4">
                  <c:v>5.429449803769848</c:v>
                </c:pt>
                <c:pt idx="5">
                  <c:v>4.3137018724411877</c:v>
                </c:pt>
                <c:pt idx="6">
                  <c:v>4.7880402730252412</c:v>
                </c:pt>
                <c:pt idx="7">
                  <c:v>4.3396165136068756</c:v>
                </c:pt>
                <c:pt idx="8">
                  <c:v>3.8025304043394228</c:v>
                </c:pt>
                <c:pt idx="9">
                  <c:v>3.7126860868202938</c:v>
                </c:pt>
                <c:pt idx="10">
                  <c:v>4.6420820403708296</c:v>
                </c:pt>
                <c:pt idx="11">
                  <c:v>3.8510354025988054</c:v>
                </c:pt>
                <c:pt idx="12">
                  <c:v>3.9325320734482556</c:v>
                </c:pt>
                <c:pt idx="13">
                  <c:v>6.4930581862537462</c:v>
                </c:pt>
                <c:pt idx="14">
                  <c:v>5.6021648295548525</c:v>
                </c:pt>
                <c:pt idx="15">
                  <c:v>6.2965486738111904</c:v>
                </c:pt>
                <c:pt idx="16">
                  <c:v>11.842141524607737</c:v>
                </c:pt>
                <c:pt idx="17">
                  <c:v>11.784904740185912</c:v>
                </c:pt>
                <c:pt idx="18">
                  <c:v>11.838344453467718</c:v>
                </c:pt>
                <c:pt idx="19">
                  <c:v>24.524846693913471</c:v>
                </c:pt>
                <c:pt idx="20">
                  <c:v>25.289838331858981</c:v>
                </c:pt>
                <c:pt idx="21">
                  <c:v>25.20481791989322</c:v>
                </c:pt>
                <c:pt idx="22">
                  <c:v>20.781983546168277</c:v>
                </c:pt>
                <c:pt idx="23">
                  <c:v>20.549047267594588</c:v>
                </c:pt>
                <c:pt idx="24">
                  <c:v>19.086761190005252</c:v>
                </c:pt>
                <c:pt idx="25">
                  <c:v>20.043253752391518</c:v>
                </c:pt>
                <c:pt idx="26">
                  <c:v>20.549047267594588</c:v>
                </c:pt>
                <c:pt idx="27">
                  <c:v>19.086761190005252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41-491D-81CE-945850E3001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water_PEBA!$C$30:$C$47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</c:numCache>
            </c:numRef>
          </c:xVal>
          <c:yVal>
            <c:numRef>
              <c:f>water_PEBA!$E$30:$E$47</c:f>
              <c:numCache>
                <c:formatCode>0.0</c:formatCode>
                <c:ptCount val="18"/>
                <c:pt idx="0">
                  <c:v>0.22581174154318023</c:v>
                </c:pt>
                <c:pt idx="1">
                  <c:v>0.42549559855085667</c:v>
                </c:pt>
                <c:pt idx="2">
                  <c:v>0.79608472578448586</c:v>
                </c:pt>
                <c:pt idx="3">
                  <c:v>0.70742922137009323</c:v>
                </c:pt>
                <c:pt idx="4">
                  <c:v>0.7136141786648772</c:v>
                </c:pt>
                <c:pt idx="5">
                  <c:v>1.2932082416650659</c:v>
                </c:pt>
                <c:pt idx="6">
                  <c:v>1.319537182817252</c:v>
                </c:pt>
                <c:pt idx="7">
                  <c:v>1.6059634485328329</c:v>
                </c:pt>
                <c:pt idx="8">
                  <c:v>1.4385614128762232</c:v>
                </c:pt>
                <c:pt idx="9">
                  <c:v>1.4480447402242778</c:v>
                </c:pt>
                <c:pt idx="10">
                  <c:v>2.1533434649090761</c:v>
                </c:pt>
                <c:pt idx="11">
                  <c:v>1.9997258845482551</c:v>
                </c:pt>
                <c:pt idx="12">
                  <c:v>2.0561801784612634</c:v>
                </c:pt>
                <c:pt idx="13">
                  <c:v>2.167310193145231</c:v>
                </c:pt>
                <c:pt idx="14">
                  <c:v>2.2930990597938394</c:v>
                </c:pt>
                <c:pt idx="15">
                  <c:v>2.458477095645033</c:v>
                </c:pt>
                <c:pt idx="16">
                  <c:v>2.4181721842484483</c:v>
                </c:pt>
                <c:pt idx="17">
                  <c:v>2.6501815054239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6F33-40E9-BC7C-FBBAD9D2A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088496"/>
        <c:axId val="149420127"/>
      </c:scatterChart>
      <c:valAx>
        <c:axId val="113708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9420127"/>
        <c:crosses val="autoZero"/>
        <c:crossBetween val="midCat"/>
      </c:valAx>
      <c:valAx>
        <c:axId val="14942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3708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water_POMS!$C$2:$C$26</c:f>
              <c:numCache>
                <c:formatCode>General</c:formatCode>
                <c:ptCount val="2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water_POMS!$E$2:$E$26</c:f>
              <c:numCache>
                <c:formatCode>0.0</c:formatCode>
                <c:ptCount val="25"/>
                <c:pt idx="0">
                  <c:v>2.931195362168646</c:v>
                </c:pt>
                <c:pt idx="1">
                  <c:v>3.2868860042873607</c:v>
                </c:pt>
                <c:pt idx="2">
                  <c:v>3.3442644001326101</c:v>
                </c:pt>
                <c:pt idx="3">
                  <c:v>3.2535047535050023</c:v>
                </c:pt>
                <c:pt idx="4">
                  <c:v>3.5402722522606496</c:v>
                </c:pt>
                <c:pt idx="5">
                  <c:v>3.9488089367498946</c:v>
                </c:pt>
                <c:pt idx="6">
                  <c:v>4.3132433519658173</c:v>
                </c:pt>
                <c:pt idx="7">
                  <c:v>4.4266153424576817</c:v>
                </c:pt>
                <c:pt idx="8">
                  <c:v>3.7040131035494368</c:v>
                </c:pt>
                <c:pt idx="9">
                  <c:v>4.4753847798715345</c:v>
                </c:pt>
                <c:pt idx="10">
                  <c:v>4.443280961114338</c:v>
                </c:pt>
                <c:pt idx="11">
                  <c:v>4.7274114291835465</c:v>
                </c:pt>
                <c:pt idx="12">
                  <c:v>4.5990358859225626</c:v>
                </c:pt>
                <c:pt idx="13">
                  <c:v>6.9336382639441307</c:v>
                </c:pt>
                <c:pt idx="14">
                  <c:v>6.5951762443291528</c:v>
                </c:pt>
                <c:pt idx="15">
                  <c:v>7.4768203227230972</c:v>
                </c:pt>
                <c:pt idx="16">
                  <c:v>8.2723701360809816</c:v>
                </c:pt>
                <c:pt idx="17">
                  <c:v>6.7287086526471818</c:v>
                </c:pt>
                <c:pt idx="18">
                  <c:v>6.6269110493219099</c:v>
                </c:pt>
                <c:pt idx="19">
                  <c:v>12.274544252954302</c:v>
                </c:pt>
                <c:pt idx="20">
                  <c:v>12.818730787795822</c:v>
                </c:pt>
                <c:pt idx="21">
                  <c:v>11.943586090587791</c:v>
                </c:pt>
                <c:pt idx="22">
                  <c:v>22.090338871422805</c:v>
                </c:pt>
                <c:pt idx="23">
                  <c:v>22.696904303483191</c:v>
                </c:pt>
                <c:pt idx="24">
                  <c:v>25.541736093879248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80-424A-BFD6-40F52C9CA774}"/>
            </c:ext>
          </c:extLst>
        </c:ser>
        <c:ser>
          <c:idx val="1"/>
          <c:order val="1"/>
          <c:tx>
            <c:v>ext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water_POMS!$C$27:$C$47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</c:numCache>
            </c:numRef>
          </c:xVal>
          <c:yVal>
            <c:numRef>
              <c:f>water_POMS!$E$27:$E$47</c:f>
              <c:numCache>
                <c:formatCode>0.0</c:formatCode>
                <c:ptCount val="21"/>
                <c:pt idx="0">
                  <c:v>1.1168008958645737</c:v>
                </c:pt>
                <c:pt idx="1">
                  <c:v>1.2591791673109975</c:v>
                </c:pt>
                <c:pt idx="2">
                  <c:v>1.4864298811306411</c:v>
                </c:pt>
                <c:pt idx="3">
                  <c:v>3.1045946205399684</c:v>
                </c:pt>
                <c:pt idx="4">
                  <c:v>3.1912107218018706</c:v>
                </c:pt>
                <c:pt idx="5">
                  <c:v>3.2505690600830754</c:v>
                </c:pt>
                <c:pt idx="6">
                  <c:v>3.9686125141362227</c:v>
                </c:pt>
                <c:pt idx="7">
                  <c:v>4.2252594889552251</c:v>
                </c:pt>
                <c:pt idx="8">
                  <c:v>3.9691742228594848</c:v>
                </c:pt>
                <c:pt idx="9">
                  <c:v>4.713435200520995</c:v>
                </c:pt>
                <c:pt idx="10">
                  <c:v>4.641065141522172</c:v>
                </c:pt>
                <c:pt idx="11">
                  <c:v>4.8770629026997732</c:v>
                </c:pt>
                <c:pt idx="12">
                  <c:v>4.9121486466630646</c:v>
                </c:pt>
                <c:pt idx="13">
                  <c:v>4.9188070001578961</c:v>
                </c:pt>
                <c:pt idx="14">
                  <c:v>4.9984053364932581</c:v>
                </c:pt>
                <c:pt idx="15">
                  <c:v>5.9527104624038598</c:v>
                </c:pt>
                <c:pt idx="16">
                  <c:v>5.8824809552033051</c:v>
                </c:pt>
                <c:pt idx="17">
                  <c:v>6.0710554048569012</c:v>
                </c:pt>
                <c:pt idx="18">
                  <c:v>6.7068578216618304</c:v>
                </c:pt>
                <c:pt idx="19">
                  <c:v>6.7233111635604983</c:v>
                </c:pt>
                <c:pt idx="20">
                  <c:v>6.7705963584057471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D80-424A-BFD6-40F52C9CA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843071"/>
        <c:axId val="1164137040"/>
      </c:scatterChart>
      <c:valAx>
        <c:axId val="69184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64137040"/>
        <c:crosses val="autoZero"/>
        <c:crossBetween val="midCat"/>
      </c:valAx>
      <c:valAx>
        <c:axId val="116413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9184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582707</xdr:colOff>
      <xdr:row>3</xdr:row>
      <xdr:rowOff>158676</xdr:rowOff>
    </xdr:from>
    <xdr:to>
      <xdr:col>18</xdr:col>
      <xdr:colOff>143436</xdr:colOff>
      <xdr:row>25</xdr:row>
      <xdr:rowOff>40342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A97F82-664F-47B4-8CD5-8145675F49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411478</xdr:colOff>
      <xdr:row>4</xdr:row>
      <xdr:rowOff>6275</xdr:rowOff>
    </xdr:from>
    <xdr:to>
      <xdr:col>11</xdr:col>
      <xdr:colOff>363070</xdr:colOff>
      <xdr:row>25</xdr:row>
      <xdr:rowOff>67235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DE5C5EA-5E2F-4E89-B7AF-9177FE72B3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</xdr:row>
      <xdr:rowOff>53789</xdr:rowOff>
    </xdr:from>
    <xdr:to>
      <xdr:col>5</xdr:col>
      <xdr:colOff>340658</xdr:colOff>
      <xdr:row>25</xdr:row>
      <xdr:rowOff>114749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40733E8-7435-45F5-A5FA-23F510A6D8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129540</xdr:rowOff>
    </xdr:from>
    <xdr:to>
      <xdr:col>14</xdr:col>
      <xdr:colOff>121920</xdr:colOff>
      <xdr:row>29</xdr:row>
      <xdr:rowOff>137160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677CED-2871-25EE-16AA-1A6B08A0C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1</xdr:row>
      <xdr:rowOff>0</xdr:rowOff>
    </xdr:from>
    <xdr:to>
      <xdr:col>12</xdr:col>
      <xdr:colOff>68580</xdr:colOff>
      <xdr:row>23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C98406-652D-6D39-1617-E30D19578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CB331F-1817-41B8-8F36-6AE8D20573F3}" name="milkPOMS" displayName="milkPOMS" ref="A1:E20" totalsRowShown="0" headerRowDxfId="59">
  <autoFilter ref="A1:E20" xr:uid="{67CB331F-1817-41B8-8F36-6AE8D20573F3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20">
    <sortCondition descending="1" ref="A2:A20"/>
  </sortState>
  <tableColumns count="5">
    <tableColumn id="1" xr3:uid="{439D0F54-4C32-40B1-BCE4-3833147CBADD}" name="PHASE"/>
    <tableColumn id="2" xr3:uid="{AA063E73-EB2D-4C63-B667-753E6B0FB53D}" name="SAMPLE" dataDxfId="58"/>
    <tableColumn id="3" xr3:uid="{11F0D656-4E15-45BE-9AEC-6D6EB50A6A56}" name="TIME" dataDxfId="57"/>
    <tableColumn id="4" xr3:uid="{14EBDF6C-F661-4A2E-ADFE-C8DA15E44938}" name="AREA" dataDxfId="56"/>
    <tableColumn id="5" xr3:uid="{D3A10D0C-438A-48B5-8D3C-C6414F6BD418}" name="CONCENTRATION" dataDxfId="55">
      <calculatedColumnFormula>IF(milkPOMS[[#This Row],[PHASE]]="water",(milkPOMS[[#This Row],[AREA]]-'Calibration curves'!$L$3)/'Calibration curves'!$K$3,IF(milkPOMS[[#This Row],[PHASE]]="extractant",(milkPOMS[[#This Row],[AREA]]-'Calibration curves'!$I$3)/'Calibration curves'!$H$3))</calculatedColumnFormula>
    </tableColumn>
  </tableColumns>
  <tableStyleInfo name="Estilo de tabla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FB7E9D-68E5-4E6E-8E0F-123D0A5F7641}" name="waterPEBA" displayName="waterPEBA" ref="A1:E47" totalsRowShown="0" headerRowDxfId="54">
  <autoFilter ref="A1:E47" xr:uid="{67CB331F-1817-41B8-8F36-6AE8D20573F3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29">
    <sortCondition descending="1" ref="B8:B29"/>
  </sortState>
  <tableColumns count="5">
    <tableColumn id="1" xr3:uid="{151E3F11-56CB-4C8C-B0D5-458CB0997ECD}" name="PHASE"/>
    <tableColumn id="2" xr3:uid="{75258436-E1C5-4C1C-B195-474FCDC16AE6}" name="SAMPLE" dataDxfId="53"/>
    <tableColumn id="3" xr3:uid="{B981BF90-499D-4FEA-B8A7-252FF15EC175}" name="TIME" dataDxfId="52"/>
    <tableColumn id="4" xr3:uid="{60A28799-70F1-4EEB-B14C-FCF3E23C0402}" name="AREA" dataDxfId="51"/>
    <tableColumn id="5" xr3:uid="{7E6F1CE0-1FBD-47C0-A5C0-31F1ADB061DB}" name="CONCENTRATION" dataDxfId="50">
      <calculatedColumnFormula>IF(waterPEBA[[#This Row],[PHASE]]="water",(waterPEBA[[#This Row],[AREA]]-'Calibration curves'!$L$3)/'Calibration curves'!$K$3,IF(waterPEBA[[#This Row],[PHASE]]="extractant",(waterPEBA[[#This Row],[AREA]]-'Calibration curves'!$I$3)/'Calibration curves'!$H$3))</calculatedColumnFormula>
    </tableColumn>
  </tableColumns>
  <tableStyleInfo name="Estilo de tabla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7664DA-7313-4D55-ACA4-CE52C90A3E34}" name="milkPEBA" displayName="milkPEBA" ref="A1:E22" totalsRowShown="0" headerRowDxfId="49">
  <autoFilter ref="A1:E22" xr:uid="{67CB331F-1817-41B8-8F36-6AE8D20573F3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22">
    <sortCondition descending="1" ref="C6:C22"/>
  </sortState>
  <tableColumns count="5">
    <tableColumn id="1" xr3:uid="{692A5C13-79E5-43B1-8AF4-17DF795D8CB2}" name="PHASE"/>
    <tableColumn id="2" xr3:uid="{B0BFD6CD-CDDD-4030-9032-42346B759D7F}" name="SAMPLE" dataDxfId="48"/>
    <tableColumn id="3" xr3:uid="{A52FDAC0-A6EA-4D6B-A5A4-7F117B033AD1}" name="TIME" dataDxfId="47"/>
    <tableColumn id="4" xr3:uid="{759B42EF-451B-4151-9F0C-6EA52CD70DDC}" name="AREA" dataDxfId="46"/>
    <tableColumn id="5" xr3:uid="{B1050BDE-9490-4C3E-9B4B-0291502D8A03}" name="CONCENTRATION" dataDxfId="45">
      <calculatedColumnFormula>IF(milkPEBA[[#This Row],[PHASE]]="water",(milkPEBA[[#This Row],[AREA]]-'Calibration curves'!$L$3)/'Calibration curves'!$K$3,IF(milkPEBA[[#This Row],[PHASE]]="extractant",(milkPEBA[[#This Row],[AREA]]-'Calibration curves'!$I$3)/'Calibration curves'!$H$3))</calculatedColumnFormula>
    </tableColumn>
  </tableColumns>
  <tableStyleInfo name="Estilo de tabla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CC194-E50A-4410-9D6C-47EA051DCC2E}" name="waterPOMS" displayName="waterPOMS" ref="A1:E47" totalsRowShown="0" headerRowDxfId="44">
  <autoFilter ref="A1:E47" xr:uid="{67CB331F-1817-41B8-8F36-6AE8D20573F3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26">
    <sortCondition descending="1" ref="C6:C26"/>
  </sortState>
  <tableColumns count="5">
    <tableColumn id="1" xr3:uid="{35D218EA-5EF3-4026-8350-FF50E30C0C13}" name="PHASE"/>
    <tableColumn id="2" xr3:uid="{928DEC63-671C-4CAA-AD04-9115C88460B2}" name="SAMPLE" dataDxfId="43"/>
    <tableColumn id="3" xr3:uid="{51642227-66C5-4629-BA94-F0384EAE44ED}" name="TIME" dataDxfId="42"/>
    <tableColumn id="4" xr3:uid="{51552EAE-B8C4-42E8-BC03-D80C693846B5}" name="AREA" dataDxfId="41"/>
    <tableColumn id="5" xr3:uid="{DFB041B8-89D7-4E97-A045-06CE409A6FF8}" name="CONCENTRATION" dataDxfId="40">
      <calculatedColumnFormula>IF(waterPOMS[[#This Row],[PHASE]]="water",(waterPOMS[[#This Row],[AREA]]-'Calibration curves'!$L$3)/'Calibration curves'!$K$3,IF(waterPOMS[[#This Row],[PHASE]]="extractant",(waterPOMS[[#This Row],[AREA]]-'Calibration curves'!$I$3)/'Calibration curves'!$H$3))</calculatedColumnFormula>
    </tableColumn>
  </tableColumns>
  <tableStyleInfo name="Estilo de tabla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51C72C5-6761-45F9-9354-AC0C7D5EC692}" name="partition11" displayName="partition11" ref="A1:H23" totalsRowShown="0" headerRowDxfId="39" dataDxfId="37" headerRowBorderDxfId="38" tableBorderDxfId="36">
  <autoFilter ref="A1:H23" xr:uid="{9D0A7CF5-B5CB-42B6-8438-4F6904A896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2" xr3:uid="{0B15D456-F9C4-4B51-A14B-3A430667827A}" name="MEMBRANE" dataDxfId="35"/>
    <tableColumn id="1" xr3:uid="{C8D26A7E-0AF4-4BBB-8007-4345B56B2ABA}" name="PHASE" dataDxfId="34"/>
    <tableColumn id="2" xr3:uid="{BEDB01E6-8DC8-4579-880F-A262E68E2B9B}" name="TIME" dataDxfId="33"/>
    <tableColumn id="9" xr3:uid="{DE74D5A1-B902-42E5-9FF4-2256E0656E9A}" name="aux" dataDxfId="32">
      <calculatedColumnFormula>partition11[[#This Row],[MEMBRANE]]&amp;"_"&amp;partition11[[#This Row],[PHASE]]&amp;"_"&amp;partition11[[#This Row],[TIME]]</calculatedColumnFormula>
    </tableColumn>
    <tableColumn id="5" xr3:uid="{3F6B12A3-0C15-4CE7-BC26-843D3AC684BB}" name="AREA" dataDxfId="31"/>
    <tableColumn id="6" xr3:uid="{8C1C2007-2E96-43D1-9A17-6796A34619F1}" name="CONCENTRATION (ug/mL)" dataDxfId="30">
      <calculatedColumnFormula>IF(partition11[[#This Row],[PHASE]]="water",(partition11[[#This Row],[AREA]]-'Calibration curves'!$L$3)/'Calibration curves'!$K$3,IF(partition11[[#This Row],[PHASE]]="extractant",(partition11[[#This Row],[AREA]]-'Calibration curves'!$I$3)/'Calibration curves'!$H$3))</calculatedColumnFormula>
    </tableColumn>
    <tableColumn id="11" xr3:uid="{7EDB5953-871B-48FF-B6E1-739C1A0B7FB3}" name="PCB mass (ug)" dataDxfId="29">
      <calculatedColumnFormula>partition11[[#This Row],[CONCENTRATION (ug/mL)]]*3</calculatedColumnFormula>
    </tableColumn>
    <tableColumn id="13" xr3:uid="{66C95123-8F23-4EAA-876F-167EDD4753CC}" name="PCB mass (mol)" dataDxfId="28">
      <calculatedColumnFormula>(partition11[[#This Row],[PCB mass (ug)]]/1000000)/291.99</calculatedColumnFormula>
    </tableColumn>
  </tableColumns>
  <tableStyleInfo name="Estilo de tab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2C6C8-A98E-48A3-AC97-F0FCDB83E0F3}" name="partition113" displayName="partition113" ref="A1:H23" totalsRowShown="0" headerRowDxfId="27" dataDxfId="25" headerRowBorderDxfId="26" tableBorderDxfId="24">
  <autoFilter ref="A1:H23" xr:uid="{9D0A7CF5-B5CB-42B6-8438-4F6904A896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2" xr3:uid="{AD40C140-D357-44FD-8534-2D3D123619D5}" name="Membrane" dataDxfId="23"/>
    <tableColumn id="1" xr3:uid="{B2BEEFFC-B7CE-473F-90A3-830111D025D0}" name="PHASE" dataDxfId="22"/>
    <tableColumn id="2" xr3:uid="{33030325-2442-42A0-AFE8-3C5A8019320B}" name="TIME" dataDxfId="21"/>
    <tableColumn id="9" xr3:uid="{DA82D2EB-8A69-4220-A1E7-77AACBD11842}" name="aux" dataDxfId="20">
      <calculatedColumnFormula>partition113[[#This Row],[Membrane]]&amp;"_"&amp;partition113[[#This Row],[PHASE]]&amp;"_"&amp;partition113[[#This Row],[TIME]]</calculatedColumnFormula>
    </tableColumn>
    <tableColumn id="5" xr3:uid="{40480167-93D4-469E-B99D-FBF919A842C5}" name="AREA" dataDxfId="19"/>
    <tableColumn id="6" xr3:uid="{809E1638-9AD7-449F-996C-C54970C292EC}" name="CONCENTRATION (ug/mL)" dataDxfId="18">
      <calculatedColumnFormula>IF(partition113[[#This Row],[PHASE]]="water",(partition113[[#This Row],[AREA]]-'Calibration curves'!$L$3)/'Calibration curves'!$K$3,IF(partition113[[#This Row],[PHASE]]="extractant",(partition113[[#This Row],[AREA]]-'Calibration curves'!$I$3)/'Calibration curves'!$H$3))</calculatedColumnFormula>
    </tableColumn>
    <tableColumn id="11" xr3:uid="{8D63A56A-D543-4A7E-B984-07364368DA2E}" name="PCB mass (ug)" dataDxfId="17">
      <calculatedColumnFormula>partition113[[#This Row],[CONCENTRATION (ug/mL)]]*3</calculatedColumnFormula>
    </tableColumn>
    <tableColumn id="13" xr3:uid="{C0F3151C-2E5F-4D2C-8EE7-17826D43DECE}" name="PCB mass (mol)" dataDxfId="16">
      <calculatedColumnFormula>(partition113[[#This Row],[PCB mass (ug)]]/1000000)/291.99</calculatedColumnFormula>
    </tableColumn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75CA-95B1-4346-BFF3-EFAE7275DD8B}">
  <dimension ref="A3"/>
  <sheetViews>
    <sheetView zoomScale="85" zoomScaleNormal="85" workbookViewId="0">
      <selection activeCell="C2" sqref="C2"/>
    </sheetView>
  </sheetViews>
  <sheetFormatPr baseColWidth="10" defaultRowHeight="14.4" x14ac:dyDescent="0.3"/>
  <cols>
    <col min="1" max="1" width="14.33203125" customWidth="1"/>
    <col min="6" max="6" width="14.33203125" customWidth="1"/>
  </cols>
  <sheetData>
    <row r="3" hidden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C06C-E1C2-4D03-985A-77284FCDD7D8}">
  <sheetPr codeName="Hoja1"/>
  <dimension ref="A1:M36"/>
  <sheetViews>
    <sheetView workbookViewId="0">
      <selection activeCell="H3" sqref="H3"/>
    </sheetView>
  </sheetViews>
  <sheetFormatPr baseColWidth="10" defaultRowHeight="14.4" x14ac:dyDescent="0.3"/>
  <cols>
    <col min="1" max="6" width="11.44140625" customWidth="1"/>
    <col min="14" max="14" width="18.44140625" customWidth="1"/>
    <col min="15" max="15" width="16.109375" customWidth="1"/>
    <col min="16" max="16" width="14.44140625" customWidth="1"/>
    <col min="17" max="17" width="14.33203125" customWidth="1"/>
  </cols>
  <sheetData>
    <row r="1" spans="1:13" ht="15" thickBot="1" x14ac:dyDescent="0.35">
      <c r="A1" s="60" t="s">
        <v>6</v>
      </c>
      <c r="B1" s="61"/>
      <c r="C1" s="62"/>
      <c r="D1" s="60" t="s">
        <v>1</v>
      </c>
      <c r="E1" s="61"/>
      <c r="F1" s="62"/>
      <c r="G1" s="63" t="s">
        <v>6</v>
      </c>
      <c r="H1" s="63"/>
      <c r="I1" s="64"/>
      <c r="J1" s="65" t="s">
        <v>7</v>
      </c>
      <c r="K1" s="63"/>
      <c r="L1" s="64"/>
      <c r="M1" s="25"/>
    </row>
    <row r="2" spans="1:13" ht="15" thickTop="1" x14ac:dyDescent="0.3">
      <c r="A2" s="3"/>
      <c r="B2" s="14" t="s">
        <v>21</v>
      </c>
      <c r="C2" s="15">
        <v>1</v>
      </c>
      <c r="D2" s="22"/>
      <c r="E2" s="14" t="s">
        <v>21</v>
      </c>
      <c r="F2" s="15">
        <v>1</v>
      </c>
      <c r="H2" s="4" t="s">
        <v>2</v>
      </c>
      <c r="I2" s="8" t="s">
        <v>3</v>
      </c>
      <c r="J2" s="3"/>
      <c r="K2" s="4" t="s">
        <v>2</v>
      </c>
      <c r="L2" s="8" t="s">
        <v>3</v>
      </c>
    </row>
    <row r="3" spans="1:13" ht="28.8" x14ac:dyDescent="0.3">
      <c r="A3" s="16" t="s">
        <v>4</v>
      </c>
      <c r="B3" s="17" t="s">
        <v>19</v>
      </c>
      <c r="C3" s="18" t="s">
        <v>20</v>
      </c>
      <c r="D3" s="16" t="s">
        <v>4</v>
      </c>
      <c r="E3" s="17" t="s">
        <v>19</v>
      </c>
      <c r="F3" s="18" t="s">
        <v>20</v>
      </c>
      <c r="H3" s="4">
        <f t="array" ref="H3:I5">LINEST(C4:C36,A4:A36,TRUE,TRUE)</f>
        <v>194762.86457399966</v>
      </c>
      <c r="I3" s="8">
        <v>134122.65836260654</v>
      </c>
      <c r="J3" s="3"/>
      <c r="K3" s="4">
        <f t="array" ref="K3:L5">LINEST(F4:F16,D4:D16,TRUE,TRUE)</f>
        <v>13536.749274555452</v>
      </c>
      <c r="L3" s="8">
        <v>-36652.300692416728</v>
      </c>
    </row>
    <row r="4" spans="1:13" x14ac:dyDescent="0.3">
      <c r="A4" s="3">
        <v>50</v>
      </c>
      <c r="B4" s="1">
        <v>9835499.9000000022</v>
      </c>
      <c r="C4" s="19">
        <f>B4*$C$2</f>
        <v>9835499.9000000022</v>
      </c>
      <c r="D4" s="3">
        <v>28.1</v>
      </c>
      <c r="E4" s="1">
        <v>362341</v>
      </c>
      <c r="F4" s="5">
        <f>E4*$F$2</f>
        <v>362341</v>
      </c>
      <c r="H4">
        <v>1886.8669515983722</v>
      </c>
      <c r="I4" s="5">
        <v>53975.45938237579</v>
      </c>
      <c r="J4" s="3"/>
      <c r="K4">
        <v>411.59305154069091</v>
      </c>
      <c r="L4" s="5">
        <v>6409.2422216874411</v>
      </c>
    </row>
    <row r="5" spans="1:13" x14ac:dyDescent="0.3">
      <c r="A5" s="3">
        <v>50</v>
      </c>
      <c r="B5" s="1">
        <v>9630348.4000000004</v>
      </c>
      <c r="C5" s="19">
        <f t="shared" ref="C5:C36" si="0">B5*$C$2</f>
        <v>9630348.4000000004</v>
      </c>
      <c r="D5" s="3">
        <v>28.1</v>
      </c>
      <c r="E5" s="1">
        <v>357416.20000000007</v>
      </c>
      <c r="F5" s="5">
        <f t="shared" ref="F5:F16" si="1">E5*$F$2</f>
        <v>357416.20000000007</v>
      </c>
      <c r="G5" s="4" t="s">
        <v>0</v>
      </c>
      <c r="H5" s="4">
        <v>0.99709885017354272</v>
      </c>
      <c r="I5" s="5">
        <v>186343.14717397542</v>
      </c>
      <c r="J5" s="9" t="s">
        <v>0</v>
      </c>
      <c r="K5" s="4">
        <v>0.98993286880579889</v>
      </c>
      <c r="L5" s="5">
        <v>14171.47810688714</v>
      </c>
    </row>
    <row r="6" spans="1:13" x14ac:dyDescent="0.3">
      <c r="A6" s="3">
        <v>50</v>
      </c>
      <c r="B6">
        <v>9732124</v>
      </c>
      <c r="C6" s="19">
        <f t="shared" si="0"/>
        <v>9732124</v>
      </c>
      <c r="D6" s="3">
        <v>28.1</v>
      </c>
      <c r="E6" s="1">
        <v>333003.39999999997</v>
      </c>
      <c r="F6" s="5">
        <f t="shared" si="1"/>
        <v>333003.39999999997</v>
      </c>
      <c r="I6" s="5"/>
      <c r="J6" s="3"/>
      <c r="L6" s="5"/>
    </row>
    <row r="7" spans="1:13" ht="15" thickBot="1" x14ac:dyDescent="0.35">
      <c r="A7" s="3">
        <v>45</v>
      </c>
      <c r="B7" s="1">
        <v>9183152.6000000015</v>
      </c>
      <c r="C7" s="19">
        <f t="shared" si="0"/>
        <v>9183152.6000000015</v>
      </c>
      <c r="D7" s="3">
        <v>14.1</v>
      </c>
      <c r="E7" s="1">
        <v>139989.9</v>
      </c>
      <c r="F7" s="5">
        <f t="shared" si="1"/>
        <v>139989.9</v>
      </c>
      <c r="G7" s="11" t="s">
        <v>5</v>
      </c>
      <c r="H7" s="11">
        <f>3.3*(I5/H3)</f>
        <v>3.1573389876922704</v>
      </c>
      <c r="I7" s="7"/>
      <c r="J7" s="10" t="s">
        <v>5</v>
      </c>
      <c r="K7" s="11">
        <f>3.3*(L5/K3)</f>
        <v>3.4547347228061409</v>
      </c>
      <c r="L7" s="7"/>
    </row>
    <row r="8" spans="1:13" x14ac:dyDescent="0.3">
      <c r="A8" s="3">
        <v>45</v>
      </c>
      <c r="B8" s="1">
        <v>8568275.4000000004</v>
      </c>
      <c r="C8" s="19">
        <f t="shared" si="0"/>
        <v>8568275.4000000004</v>
      </c>
      <c r="D8" s="3">
        <v>14.1</v>
      </c>
      <c r="E8" s="1">
        <v>140583.59999999995</v>
      </c>
      <c r="F8" s="5">
        <f t="shared" si="1"/>
        <v>140583.59999999995</v>
      </c>
    </row>
    <row r="9" spans="1:13" x14ac:dyDescent="0.3">
      <c r="A9" s="3">
        <v>45</v>
      </c>
      <c r="B9" s="1">
        <v>8818699.4000000004</v>
      </c>
      <c r="C9" s="19">
        <f t="shared" si="0"/>
        <v>8818699.4000000004</v>
      </c>
      <c r="D9" s="3">
        <v>14.1</v>
      </c>
      <c r="E9" s="1">
        <v>143000</v>
      </c>
      <c r="F9" s="5">
        <f t="shared" si="1"/>
        <v>143000</v>
      </c>
    </row>
    <row r="10" spans="1:13" x14ac:dyDescent="0.3">
      <c r="A10" s="3">
        <v>40</v>
      </c>
      <c r="B10" s="1">
        <v>7900591.1999999993</v>
      </c>
      <c r="C10" s="19">
        <f t="shared" si="0"/>
        <v>7900591.1999999993</v>
      </c>
      <c r="D10" s="3">
        <v>7</v>
      </c>
      <c r="E10" s="1">
        <v>61210.400000000001</v>
      </c>
      <c r="F10" s="5">
        <f t="shared" si="1"/>
        <v>61210.400000000001</v>
      </c>
    </row>
    <row r="11" spans="1:13" x14ac:dyDescent="0.3">
      <c r="A11" s="3">
        <v>40</v>
      </c>
      <c r="B11" s="1">
        <v>7786698</v>
      </c>
      <c r="C11" s="19">
        <f t="shared" si="0"/>
        <v>7786698</v>
      </c>
      <c r="D11" s="3">
        <v>7</v>
      </c>
      <c r="E11" s="1">
        <v>39948.899999999987</v>
      </c>
      <c r="F11" s="5">
        <f t="shared" si="1"/>
        <v>39948.899999999987</v>
      </c>
    </row>
    <row r="12" spans="1:13" x14ac:dyDescent="0.3">
      <c r="A12" s="3">
        <v>40</v>
      </c>
      <c r="B12" s="1">
        <v>7943582.700000003</v>
      </c>
      <c r="C12" s="19">
        <f t="shared" si="0"/>
        <v>7943582.700000003</v>
      </c>
      <c r="D12" s="3">
        <v>7</v>
      </c>
      <c r="E12" s="1">
        <v>50487.199999999997</v>
      </c>
      <c r="F12" s="5">
        <f t="shared" si="1"/>
        <v>50487.199999999997</v>
      </c>
    </row>
    <row r="13" spans="1:13" x14ac:dyDescent="0.3">
      <c r="A13" s="3">
        <v>35</v>
      </c>
      <c r="B13" s="1">
        <v>6902414.7999999998</v>
      </c>
      <c r="C13" s="19">
        <f t="shared" si="0"/>
        <v>6902414.7999999998</v>
      </c>
      <c r="D13" s="3">
        <v>3.5</v>
      </c>
      <c r="E13" s="1">
        <v>15474.2</v>
      </c>
      <c r="F13" s="5">
        <f t="shared" si="1"/>
        <v>15474.2</v>
      </c>
    </row>
    <row r="14" spans="1:13" x14ac:dyDescent="0.3">
      <c r="A14" s="3">
        <v>35</v>
      </c>
      <c r="B14" s="1">
        <v>6816248.8000000007</v>
      </c>
      <c r="C14" s="19">
        <f t="shared" si="0"/>
        <v>6816248.8000000007</v>
      </c>
      <c r="D14" s="3">
        <v>3.5</v>
      </c>
      <c r="E14" s="1">
        <v>22917.300000000003</v>
      </c>
      <c r="F14" s="5">
        <f t="shared" si="1"/>
        <v>22917.300000000003</v>
      </c>
    </row>
    <row r="15" spans="1:13" x14ac:dyDescent="0.3">
      <c r="A15" s="3">
        <v>35</v>
      </c>
      <c r="B15">
        <v>6932567</v>
      </c>
      <c r="C15" s="19">
        <f t="shared" si="0"/>
        <v>6932567</v>
      </c>
      <c r="D15" s="3">
        <v>3.5</v>
      </c>
      <c r="E15" s="1">
        <v>12145</v>
      </c>
      <c r="F15" s="5">
        <f t="shared" si="1"/>
        <v>12145</v>
      </c>
      <c r="H15" s="59"/>
      <c r="I15" s="59"/>
      <c r="J15" s="59"/>
    </row>
    <row r="16" spans="1:13" ht="15" thickBot="1" x14ac:dyDescent="0.35">
      <c r="A16" s="3">
        <v>30</v>
      </c>
      <c r="B16" s="1">
        <v>6161674.2000000132</v>
      </c>
      <c r="C16" s="19">
        <f t="shared" si="0"/>
        <v>6161674.2000000132</v>
      </c>
      <c r="D16" s="6">
        <v>1.8</v>
      </c>
      <c r="E16" s="20">
        <v>9529.1999999999971</v>
      </c>
      <c r="F16" s="7">
        <f t="shared" si="1"/>
        <v>9529.1999999999971</v>
      </c>
    </row>
    <row r="17" spans="1:5" x14ac:dyDescent="0.3">
      <c r="A17" s="3">
        <v>30</v>
      </c>
      <c r="B17" s="1">
        <v>6122152.200000016</v>
      </c>
      <c r="C17" s="19">
        <f t="shared" si="0"/>
        <v>6122152.200000016</v>
      </c>
      <c r="E17" s="1"/>
    </row>
    <row r="18" spans="1:5" x14ac:dyDescent="0.3">
      <c r="A18" s="3">
        <v>30</v>
      </c>
      <c r="B18" s="1">
        <v>6271871.7999999998</v>
      </c>
      <c r="C18" s="19">
        <f t="shared" si="0"/>
        <v>6271871.7999999998</v>
      </c>
      <c r="E18" s="1"/>
    </row>
    <row r="19" spans="1:5" x14ac:dyDescent="0.3">
      <c r="A19" s="3">
        <v>20</v>
      </c>
      <c r="B19" s="1">
        <v>4478171.2249999996</v>
      </c>
      <c r="C19" s="19">
        <f t="shared" si="0"/>
        <v>4478171.2249999996</v>
      </c>
      <c r="E19" s="1"/>
    </row>
    <row r="20" spans="1:5" x14ac:dyDescent="0.3">
      <c r="A20" s="3">
        <v>20</v>
      </c>
      <c r="B20" s="1">
        <v>4228403.692307693</v>
      </c>
      <c r="C20" s="19">
        <f t="shared" si="0"/>
        <v>4228403.692307693</v>
      </c>
    </row>
    <row r="21" spans="1:5" x14ac:dyDescent="0.3">
      <c r="A21" s="3">
        <v>20</v>
      </c>
      <c r="B21" s="1">
        <v>4227023.2000000011</v>
      </c>
      <c r="C21" s="19">
        <f t="shared" si="0"/>
        <v>4227023.2000000011</v>
      </c>
    </row>
    <row r="22" spans="1:5" x14ac:dyDescent="0.3">
      <c r="A22" s="3">
        <v>15</v>
      </c>
      <c r="B22" s="1">
        <v>3381616.4800000009</v>
      </c>
      <c r="C22" s="19">
        <f t="shared" si="0"/>
        <v>3381616.4800000009</v>
      </c>
    </row>
    <row r="23" spans="1:5" x14ac:dyDescent="0.3">
      <c r="A23" s="3">
        <v>15</v>
      </c>
      <c r="B23" s="1">
        <v>3131759.1694117659</v>
      </c>
      <c r="C23" s="19">
        <f t="shared" si="0"/>
        <v>3131759.1694117659</v>
      </c>
    </row>
    <row r="24" spans="1:5" x14ac:dyDescent="0.3">
      <c r="A24" s="3">
        <v>15</v>
      </c>
      <c r="B24" s="1">
        <v>2830376.1469879518</v>
      </c>
      <c r="C24" s="19">
        <f t="shared" si="0"/>
        <v>2830376.1469879518</v>
      </c>
    </row>
    <row r="25" spans="1:5" x14ac:dyDescent="0.3">
      <c r="A25" s="3">
        <v>10</v>
      </c>
      <c r="B25" s="1">
        <v>2234014.4999999995</v>
      </c>
      <c r="C25" s="19">
        <f t="shared" si="0"/>
        <v>2234014.4999999995</v>
      </c>
    </row>
    <row r="26" spans="1:5" x14ac:dyDescent="0.3">
      <c r="A26" s="3">
        <v>10</v>
      </c>
      <c r="B26" s="1">
        <v>2058875.95</v>
      </c>
      <c r="C26" s="19">
        <f t="shared" si="0"/>
        <v>2058875.95</v>
      </c>
    </row>
    <row r="27" spans="1:5" x14ac:dyDescent="0.3">
      <c r="A27" s="3">
        <v>10</v>
      </c>
      <c r="B27" s="1">
        <v>2136789</v>
      </c>
      <c r="C27" s="19">
        <f t="shared" si="0"/>
        <v>2136789</v>
      </c>
    </row>
    <row r="28" spans="1:5" x14ac:dyDescent="0.3">
      <c r="A28" s="3">
        <v>5</v>
      </c>
      <c r="B28" s="1">
        <v>1105731.1999999997</v>
      </c>
      <c r="C28" s="19">
        <f t="shared" si="0"/>
        <v>1105731.1999999997</v>
      </c>
    </row>
    <row r="29" spans="1:5" x14ac:dyDescent="0.3">
      <c r="A29" s="3">
        <v>5</v>
      </c>
      <c r="B29" s="1">
        <v>1086175.5000000002</v>
      </c>
      <c r="C29" s="19">
        <f t="shared" si="0"/>
        <v>1086175.5000000002</v>
      </c>
    </row>
    <row r="30" spans="1:5" x14ac:dyDescent="0.3">
      <c r="A30" s="3">
        <v>5</v>
      </c>
      <c r="B30" s="1">
        <v>1093645</v>
      </c>
      <c r="C30" s="19">
        <f t="shared" si="0"/>
        <v>1093645</v>
      </c>
      <c r="D30" s="1"/>
      <c r="E30" s="1"/>
    </row>
    <row r="31" spans="1:5" x14ac:dyDescent="0.3">
      <c r="A31" s="3">
        <v>1</v>
      </c>
      <c r="B31" s="1">
        <v>218121.40000000002</v>
      </c>
      <c r="C31" s="19">
        <f t="shared" si="0"/>
        <v>218121.40000000002</v>
      </c>
      <c r="D31" s="1"/>
      <c r="E31" s="1"/>
    </row>
    <row r="32" spans="1:5" x14ac:dyDescent="0.3">
      <c r="A32" s="3">
        <v>1</v>
      </c>
      <c r="B32" s="1">
        <v>219810.38181818184</v>
      </c>
      <c r="C32" s="19">
        <f t="shared" si="0"/>
        <v>219810.38181818184</v>
      </c>
      <c r="D32" s="1"/>
      <c r="E32" s="1"/>
    </row>
    <row r="33" spans="1:5" x14ac:dyDescent="0.3">
      <c r="A33" s="3">
        <v>1</v>
      </c>
      <c r="B33" s="1">
        <v>220354</v>
      </c>
      <c r="C33" s="19">
        <f t="shared" si="0"/>
        <v>220354</v>
      </c>
      <c r="D33" s="1"/>
      <c r="E33" s="1"/>
    </row>
    <row r="34" spans="1:5" x14ac:dyDescent="0.3">
      <c r="A34" s="3">
        <v>0.5</v>
      </c>
      <c r="B34" s="1">
        <v>21876.524050632932</v>
      </c>
      <c r="C34" s="19">
        <f t="shared" si="0"/>
        <v>21876.524050632932</v>
      </c>
      <c r="D34" s="1"/>
      <c r="E34" s="1"/>
    </row>
    <row r="35" spans="1:5" x14ac:dyDescent="0.3">
      <c r="A35" s="3">
        <v>0.5</v>
      </c>
      <c r="B35" s="1">
        <v>42820.384615384675</v>
      </c>
      <c r="C35" s="19">
        <f t="shared" si="0"/>
        <v>42820.384615384675</v>
      </c>
      <c r="D35" s="1"/>
      <c r="E35" s="1"/>
    </row>
    <row r="36" spans="1:5" ht="15" thickBot="1" x14ac:dyDescent="0.35">
      <c r="A36" s="6">
        <v>0.5</v>
      </c>
      <c r="B36" s="20">
        <v>53164.892857142833</v>
      </c>
      <c r="C36" s="21">
        <f t="shared" si="0"/>
        <v>53164.892857142833</v>
      </c>
      <c r="D36" s="1"/>
      <c r="E36" s="1"/>
    </row>
  </sheetData>
  <mergeCells count="5">
    <mergeCell ref="H15:J15"/>
    <mergeCell ref="A1:C1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138D-514F-4ECB-ADF3-C056A627FBA4}">
  <sheetPr codeName="Hoja2"/>
  <dimension ref="A1:E20"/>
  <sheetViews>
    <sheetView workbookViewId="0">
      <selection activeCell="A2" sqref="A2:XFD7"/>
    </sheetView>
  </sheetViews>
  <sheetFormatPr baseColWidth="10" defaultRowHeight="14.4" x14ac:dyDescent="0.3"/>
  <cols>
    <col min="5" max="5" width="17.5546875" customWidth="1"/>
    <col min="6" max="6" width="3.33203125" customWidth="1"/>
    <col min="7" max="7" width="8" customWidth="1"/>
  </cols>
  <sheetData>
    <row r="1" spans="1:5" s="23" customFormat="1" x14ac:dyDescent="0.3">
      <c r="A1" s="23" t="s">
        <v>9</v>
      </c>
      <c r="B1" s="24" t="s">
        <v>24</v>
      </c>
      <c r="C1" s="24" t="s">
        <v>22</v>
      </c>
      <c r="D1" s="24" t="s">
        <v>18</v>
      </c>
      <c r="E1" s="24" t="s">
        <v>23</v>
      </c>
    </row>
    <row r="2" spans="1:5" x14ac:dyDescent="0.3">
      <c r="A2" t="s">
        <v>8</v>
      </c>
      <c r="B2" s="2" t="s">
        <v>33</v>
      </c>
      <c r="C2" s="13">
        <v>7</v>
      </c>
      <c r="D2" s="1">
        <v>1151303.5</v>
      </c>
      <c r="E2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5.2226631799765819</v>
      </c>
    </row>
    <row r="3" spans="1:5" x14ac:dyDescent="0.3">
      <c r="A3" t="s">
        <v>8</v>
      </c>
      <c r="B3" s="2" t="s">
        <v>33</v>
      </c>
      <c r="C3" s="13">
        <v>7</v>
      </c>
      <c r="D3" s="1">
        <v>1079793.7999999998</v>
      </c>
      <c r="E3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4.8555002705769299</v>
      </c>
    </row>
    <row r="4" spans="1:5" x14ac:dyDescent="0.3">
      <c r="A4" t="s">
        <v>8</v>
      </c>
      <c r="B4" s="2" t="s">
        <v>33</v>
      </c>
      <c r="C4" s="13">
        <v>7</v>
      </c>
      <c r="D4" s="1">
        <v>1082376.8999999999</v>
      </c>
      <c r="E4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4.8687630658518408</v>
      </c>
    </row>
    <row r="5" spans="1:5" x14ac:dyDescent="0.3">
      <c r="A5" t="s">
        <v>8</v>
      </c>
      <c r="B5" s="2" t="s">
        <v>32</v>
      </c>
      <c r="C5" s="13">
        <v>6</v>
      </c>
      <c r="D5" s="1">
        <v>1084868.7</v>
      </c>
      <c r="E5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4.8815570859308233</v>
      </c>
    </row>
    <row r="6" spans="1:5" x14ac:dyDescent="0.3">
      <c r="A6" t="s">
        <v>8</v>
      </c>
      <c r="B6" s="2" t="s">
        <v>32</v>
      </c>
      <c r="C6" s="13">
        <v>6</v>
      </c>
      <c r="D6" s="1">
        <v>1004503.1000000002</v>
      </c>
      <c r="E6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4.4689240094160496</v>
      </c>
    </row>
    <row r="7" spans="1:5" x14ac:dyDescent="0.3">
      <c r="A7" t="s">
        <v>8</v>
      </c>
      <c r="B7" s="2" t="s">
        <v>32</v>
      </c>
      <c r="C7" s="13">
        <v>6</v>
      </c>
      <c r="D7" s="1">
        <v>980246.60000000009</v>
      </c>
      <c r="E7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4.344380246655855</v>
      </c>
    </row>
    <row r="8" spans="1:5" x14ac:dyDescent="0.3">
      <c r="A8" t="s">
        <v>8</v>
      </c>
      <c r="B8" s="2" t="s">
        <v>31</v>
      </c>
      <c r="C8" s="13">
        <v>5</v>
      </c>
      <c r="D8" s="1">
        <v>928353.30000000028</v>
      </c>
      <c r="E8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4.077936743098312</v>
      </c>
    </row>
    <row r="9" spans="1:5" x14ac:dyDescent="0.3">
      <c r="A9" t="s">
        <v>8</v>
      </c>
      <c r="B9" s="2" t="s">
        <v>31</v>
      </c>
      <c r="C9" s="13">
        <v>5</v>
      </c>
      <c r="D9" s="1">
        <v>964275.20000000019</v>
      </c>
      <c r="E9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4.2623759075076615</v>
      </c>
    </row>
    <row r="10" spans="1:5" x14ac:dyDescent="0.3">
      <c r="A10" t="s">
        <v>8</v>
      </c>
      <c r="B10" s="2" t="s">
        <v>31</v>
      </c>
      <c r="C10" s="13">
        <v>5</v>
      </c>
      <c r="D10" s="1">
        <v>928695.79999999981</v>
      </c>
      <c r="E10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4.0796952918891645</v>
      </c>
    </row>
    <row r="11" spans="1:5" x14ac:dyDescent="0.3">
      <c r="A11" t="s">
        <v>8</v>
      </c>
      <c r="B11" s="2" t="s">
        <v>30</v>
      </c>
      <c r="C11" s="13">
        <v>4</v>
      </c>
      <c r="D11" s="1">
        <v>768992.7</v>
      </c>
      <c r="E11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3.2597078659015932</v>
      </c>
    </row>
    <row r="12" spans="1:5" x14ac:dyDescent="0.3">
      <c r="A12" t="s">
        <v>8</v>
      </c>
      <c r="B12" s="2" t="s">
        <v>30</v>
      </c>
      <c r="C12" s="13">
        <v>4</v>
      </c>
      <c r="D12" s="1">
        <v>739120.6</v>
      </c>
      <c r="E12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3.1063310912000168</v>
      </c>
    </row>
    <row r="13" spans="1:5" x14ac:dyDescent="0.3">
      <c r="A13" t="s">
        <v>8</v>
      </c>
      <c r="B13" s="2" t="s">
        <v>30</v>
      </c>
      <c r="C13" s="13">
        <v>4</v>
      </c>
      <c r="D13" s="1">
        <v>703880.2</v>
      </c>
      <c r="E13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2.9253910538007899</v>
      </c>
    </row>
    <row r="14" spans="1:5" x14ac:dyDescent="0.3">
      <c r="A14" t="s">
        <v>8</v>
      </c>
      <c r="B14" s="2" t="s">
        <v>29</v>
      </c>
      <c r="C14" s="13">
        <v>3</v>
      </c>
      <c r="D14" s="1">
        <v>605341.99999999988</v>
      </c>
      <c r="E14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2.4194516889453266</v>
      </c>
    </row>
    <row r="15" spans="1:5" x14ac:dyDescent="0.3">
      <c r="A15" t="s">
        <v>8</v>
      </c>
      <c r="B15" s="2" t="s">
        <v>29</v>
      </c>
      <c r="C15" s="13">
        <v>3</v>
      </c>
      <c r="D15" s="1">
        <v>661934</v>
      </c>
      <c r="E15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2.7100204281337876</v>
      </c>
    </row>
    <row r="16" spans="1:5" x14ac:dyDescent="0.3">
      <c r="A16" t="s">
        <v>8</v>
      </c>
      <c r="B16" s="2" t="s">
        <v>29</v>
      </c>
      <c r="C16" s="13">
        <v>3</v>
      </c>
      <c r="D16" s="1">
        <v>619632.6</v>
      </c>
      <c r="E16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2.4928260461733207</v>
      </c>
    </row>
    <row r="17" spans="1:5" x14ac:dyDescent="0.3">
      <c r="A17" t="s">
        <v>8</v>
      </c>
      <c r="B17" s="2" t="s">
        <v>28</v>
      </c>
      <c r="C17" s="13">
        <v>2</v>
      </c>
      <c r="D17" s="1">
        <v>467516.39999999985</v>
      </c>
      <c r="E17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1.711793171488917</v>
      </c>
    </row>
    <row r="18" spans="1:5" x14ac:dyDescent="0.3">
      <c r="A18" t="s">
        <v>8</v>
      </c>
      <c r="B18" s="2" t="s">
        <v>28</v>
      </c>
      <c r="C18" s="13">
        <v>2</v>
      </c>
      <c r="D18" s="1">
        <v>544361.53598326363</v>
      </c>
      <c r="E18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2.1063506049675493</v>
      </c>
    </row>
    <row r="19" spans="1:5" x14ac:dyDescent="0.3">
      <c r="A19" t="s">
        <v>8</v>
      </c>
      <c r="B19" s="2" t="s">
        <v>27</v>
      </c>
      <c r="C19" s="13">
        <v>1</v>
      </c>
      <c r="D19" s="1">
        <v>258090.5</v>
      </c>
      <c r="E19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0.63650656355124713</v>
      </c>
    </row>
    <row r="20" spans="1:5" x14ac:dyDescent="0.3">
      <c r="A20" t="s">
        <v>8</v>
      </c>
      <c r="B20" s="2" t="s">
        <v>27</v>
      </c>
      <c r="C20" s="13">
        <v>1</v>
      </c>
      <c r="D20" s="1">
        <v>221654.94358974366</v>
      </c>
      <c r="E20" s="12">
        <f>IF(milkPOMS[[#This Row],[PHASE]]="water",(milkPOMS[[#This Row],[AREA]]-'Calibration curves'!$L$3)/'Calibration curves'!$K$3,IF(milkPOMS[[#This Row],[PHASE]]="extractant",(milkPOMS[[#This Row],[AREA]]-'Calibration curves'!$I$3)/'Calibration curves'!$H$3))</f>
        <v>0.44943005648738266</v>
      </c>
    </row>
  </sheetData>
  <phoneticPr fontId="2" type="noConversion"/>
  <conditionalFormatting sqref="A2:A20">
    <cfRule type="cellIs" dxfId="15" priority="1" operator="equal">
      <formula>"extractant"</formula>
    </cfRule>
    <cfRule type="cellIs" dxfId="14" priority="2" operator="equal">
      <formula>"water"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7D37-8179-422B-AD80-97BA05FE2D2C}">
  <sheetPr codeName="Hoja3"/>
  <dimension ref="A1:F47"/>
  <sheetViews>
    <sheetView zoomScale="98" workbookViewId="0">
      <selection activeCell="A2" sqref="A2:XFD3"/>
    </sheetView>
  </sheetViews>
  <sheetFormatPr baseColWidth="10" defaultRowHeight="14.4" x14ac:dyDescent="0.3"/>
  <cols>
    <col min="5" max="5" width="13.109375" customWidth="1"/>
    <col min="6" max="6" width="4.44140625" customWidth="1"/>
  </cols>
  <sheetData>
    <row r="1" spans="1:5" ht="28.8" x14ac:dyDescent="0.3">
      <c r="A1" s="23" t="s">
        <v>9</v>
      </c>
      <c r="B1" s="24" t="s">
        <v>24</v>
      </c>
      <c r="C1" s="24" t="s">
        <v>22</v>
      </c>
      <c r="D1" s="24" t="s">
        <v>18</v>
      </c>
      <c r="E1" s="24" t="s">
        <v>23</v>
      </c>
    </row>
    <row r="2" spans="1:5" x14ac:dyDescent="0.3">
      <c r="A2" t="s">
        <v>7</v>
      </c>
      <c r="B2" s="2" t="s">
        <v>16</v>
      </c>
      <c r="C2" s="13">
        <v>7</v>
      </c>
      <c r="D2" s="1">
        <v>51296.9</v>
      </c>
      <c r="E2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6.4970694890339526</v>
      </c>
    </row>
    <row r="3" spans="1:5" x14ac:dyDescent="0.3">
      <c r="A3" t="s">
        <v>7</v>
      </c>
      <c r="B3" s="2" t="s">
        <v>16</v>
      </c>
      <c r="C3" s="13">
        <v>7</v>
      </c>
      <c r="D3" s="1">
        <v>32480.000000000018</v>
      </c>
      <c r="E3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5.1070090233821706</v>
      </c>
    </row>
    <row r="4" spans="1:5" x14ac:dyDescent="0.3">
      <c r="A4" t="s">
        <v>7</v>
      </c>
      <c r="B4" s="2" t="s">
        <v>17</v>
      </c>
      <c r="C4" s="13">
        <v>6</v>
      </c>
      <c r="D4" s="1">
        <v>44554.400000000001</v>
      </c>
      <c r="E4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5.9989809255799749</v>
      </c>
    </row>
    <row r="5" spans="1:5" x14ac:dyDescent="0.3">
      <c r="A5" t="s">
        <v>7</v>
      </c>
      <c r="B5" s="2" t="s">
        <v>17</v>
      </c>
      <c r="C5" s="13">
        <v>6</v>
      </c>
      <c r="D5" s="1">
        <v>40680.9</v>
      </c>
      <c r="E5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5.7128339399605483</v>
      </c>
    </row>
    <row r="6" spans="1:5" x14ac:dyDescent="0.3">
      <c r="A6" t="s">
        <v>7</v>
      </c>
      <c r="B6" s="2" t="s">
        <v>17</v>
      </c>
      <c r="C6" s="13">
        <v>6</v>
      </c>
      <c r="D6" s="1">
        <v>36844.800000000003</v>
      </c>
      <c r="E6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5.429449803769848</v>
      </c>
    </row>
    <row r="7" spans="1:5" x14ac:dyDescent="0.3">
      <c r="A7" t="s">
        <v>7</v>
      </c>
      <c r="B7" s="2" t="s">
        <v>15</v>
      </c>
      <c r="C7" s="13">
        <v>5</v>
      </c>
      <c r="D7" s="1">
        <v>21741.200000000008</v>
      </c>
      <c r="E7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4.3137018724411877</v>
      </c>
    </row>
    <row r="8" spans="1:5" x14ac:dyDescent="0.3">
      <c r="A8" t="s">
        <v>7</v>
      </c>
      <c r="B8" s="2" t="s">
        <v>15</v>
      </c>
      <c r="C8" s="13">
        <v>5</v>
      </c>
      <c r="D8" s="1">
        <v>28162.2</v>
      </c>
      <c r="E8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4.7880402730252412</v>
      </c>
    </row>
    <row r="9" spans="1:5" x14ac:dyDescent="0.3">
      <c r="A9" t="s">
        <v>7</v>
      </c>
      <c r="B9" s="2" t="s">
        <v>15</v>
      </c>
      <c r="C9" s="13">
        <v>5</v>
      </c>
      <c r="D9" s="1">
        <v>22092</v>
      </c>
      <c r="E9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4.3396165136068756</v>
      </c>
    </row>
    <row r="10" spans="1:5" x14ac:dyDescent="0.3">
      <c r="A10" t="s">
        <v>7</v>
      </c>
      <c r="B10" s="2" t="s">
        <v>15</v>
      </c>
      <c r="C10" s="13">
        <v>5</v>
      </c>
      <c r="D10" s="1">
        <v>14821.600000000006</v>
      </c>
      <c r="E10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3.8025304043394228</v>
      </c>
    </row>
    <row r="11" spans="1:5" x14ac:dyDescent="0.3">
      <c r="A11" t="s">
        <v>7</v>
      </c>
      <c r="B11" s="2" t="s">
        <v>14</v>
      </c>
      <c r="C11" s="13">
        <v>4</v>
      </c>
      <c r="D11" s="1">
        <v>13605.400000000001</v>
      </c>
      <c r="E11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3.7126860868202938</v>
      </c>
    </row>
    <row r="12" spans="1:5" x14ac:dyDescent="0.3">
      <c r="A12" t="s">
        <v>7</v>
      </c>
      <c r="B12" s="2" t="s">
        <v>14</v>
      </c>
      <c r="C12" s="13">
        <v>4</v>
      </c>
      <c r="D12" s="1">
        <v>26186.399999999991</v>
      </c>
      <c r="E12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4.6420820403708296</v>
      </c>
    </row>
    <row r="13" spans="1:5" x14ac:dyDescent="0.3">
      <c r="A13" t="s">
        <v>7</v>
      </c>
      <c r="B13" s="2" t="s">
        <v>14</v>
      </c>
      <c r="C13" s="13">
        <v>4</v>
      </c>
      <c r="D13" s="1">
        <v>15478.20000000001</v>
      </c>
      <c r="E13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3.8510354025988054</v>
      </c>
    </row>
    <row r="14" spans="1:5" x14ac:dyDescent="0.3">
      <c r="A14" t="s">
        <v>7</v>
      </c>
      <c r="B14" s="2" t="s">
        <v>14</v>
      </c>
      <c r="C14" s="13">
        <v>4</v>
      </c>
      <c r="D14" s="1">
        <v>16581.399999999994</v>
      </c>
      <c r="E14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3.9325320734482556</v>
      </c>
    </row>
    <row r="15" spans="1:5" x14ac:dyDescent="0.3">
      <c r="A15" t="s">
        <v>7</v>
      </c>
      <c r="B15" s="2" t="s">
        <v>13</v>
      </c>
      <c r="C15" s="13">
        <v>3</v>
      </c>
      <c r="D15" s="1">
        <v>51242.6</v>
      </c>
      <c r="E15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6.4930581862537462</v>
      </c>
    </row>
    <row r="16" spans="1:5" x14ac:dyDescent="0.3">
      <c r="A16" t="s">
        <v>7</v>
      </c>
      <c r="B16" s="2" t="s">
        <v>13</v>
      </c>
      <c r="C16" s="13">
        <v>3</v>
      </c>
      <c r="D16" s="1">
        <v>39182.799999999988</v>
      </c>
      <c r="E16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5.6021648295548525</v>
      </c>
    </row>
    <row r="17" spans="1:6" x14ac:dyDescent="0.3">
      <c r="A17" t="s">
        <v>7</v>
      </c>
      <c r="B17" s="2" t="s">
        <v>13</v>
      </c>
      <c r="C17" s="13">
        <v>3</v>
      </c>
      <c r="D17" s="1">
        <v>48582.5</v>
      </c>
      <c r="E17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6.2965486738111904</v>
      </c>
    </row>
    <row r="18" spans="1:6" x14ac:dyDescent="0.3">
      <c r="A18" t="s">
        <v>7</v>
      </c>
      <c r="B18" s="2" t="s">
        <v>12</v>
      </c>
      <c r="C18" s="13">
        <v>2</v>
      </c>
      <c r="D18" s="1">
        <v>123651.80000000005</v>
      </c>
      <c r="E18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11.842141524607737</v>
      </c>
    </row>
    <row r="19" spans="1:6" x14ac:dyDescent="0.3">
      <c r="A19" t="s">
        <v>7</v>
      </c>
      <c r="B19" s="2" t="s">
        <v>12</v>
      </c>
      <c r="C19" s="13">
        <v>2</v>
      </c>
      <c r="D19" s="1">
        <v>122877.00000000003</v>
      </c>
      <c r="E19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11.784904740185912</v>
      </c>
    </row>
    <row r="20" spans="1:6" x14ac:dyDescent="0.3">
      <c r="A20" t="s">
        <v>7</v>
      </c>
      <c r="B20" s="2" t="s">
        <v>12</v>
      </c>
      <c r="C20" s="13">
        <v>2</v>
      </c>
      <c r="D20" s="1">
        <v>123600.39999999998</v>
      </c>
      <c r="E20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11.838344453467718</v>
      </c>
    </row>
    <row r="21" spans="1:6" x14ac:dyDescent="0.3">
      <c r="A21" t="s">
        <v>7</v>
      </c>
      <c r="B21" s="2" t="s">
        <v>10</v>
      </c>
      <c r="C21" s="13">
        <v>0</v>
      </c>
      <c r="D21" s="1">
        <v>295334.40000000014</v>
      </c>
      <c r="E21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24.524846693913471</v>
      </c>
    </row>
    <row r="22" spans="1:6" x14ac:dyDescent="0.3">
      <c r="A22" t="s">
        <v>7</v>
      </c>
      <c r="B22" s="2" t="s">
        <v>10</v>
      </c>
      <c r="C22" s="13">
        <v>0</v>
      </c>
      <c r="D22" s="1">
        <v>305689.89999999997</v>
      </c>
      <c r="E22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25.289838331858981</v>
      </c>
      <c r="F22" s="12"/>
    </row>
    <row r="23" spans="1:6" x14ac:dyDescent="0.3">
      <c r="A23" t="s">
        <v>7</v>
      </c>
      <c r="B23" s="2" t="s">
        <v>10</v>
      </c>
      <c r="C23" s="13">
        <v>0</v>
      </c>
      <c r="D23" s="1">
        <v>304539.00000000006</v>
      </c>
      <c r="E23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25.20481791989322</v>
      </c>
    </row>
    <row r="24" spans="1:6" x14ac:dyDescent="0.3">
      <c r="A24" t="s">
        <v>7</v>
      </c>
      <c r="B24" s="2" t="s">
        <v>11</v>
      </c>
      <c r="C24" s="13">
        <v>1</v>
      </c>
      <c r="D24" s="1">
        <v>244668.2</v>
      </c>
      <c r="E24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20.781983546168277</v>
      </c>
    </row>
    <row r="25" spans="1:6" x14ac:dyDescent="0.3">
      <c r="A25" t="s">
        <v>7</v>
      </c>
      <c r="B25" s="2" t="s">
        <v>11</v>
      </c>
      <c r="C25" s="13">
        <v>1</v>
      </c>
      <c r="D25" s="1">
        <v>241515</v>
      </c>
      <c r="E25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20.549047267594588</v>
      </c>
    </row>
    <row r="26" spans="1:6" x14ac:dyDescent="0.3">
      <c r="A26" t="s">
        <v>7</v>
      </c>
      <c r="B26" s="2" t="s">
        <v>11</v>
      </c>
      <c r="C26" s="13">
        <v>1</v>
      </c>
      <c r="D26" s="1">
        <v>221720.40000000002</v>
      </c>
      <c r="E26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19.086761190005252</v>
      </c>
    </row>
    <row r="27" spans="1:6" x14ac:dyDescent="0.3">
      <c r="A27" t="s">
        <v>7</v>
      </c>
      <c r="B27" s="2" t="s">
        <v>11</v>
      </c>
      <c r="C27" s="13">
        <v>1</v>
      </c>
      <c r="D27" s="1">
        <v>234668.2</v>
      </c>
      <c r="E27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20.043253752391518</v>
      </c>
    </row>
    <row r="28" spans="1:6" x14ac:dyDescent="0.3">
      <c r="A28" t="s">
        <v>7</v>
      </c>
      <c r="B28" s="2" t="s">
        <v>11</v>
      </c>
      <c r="C28" s="13">
        <v>1</v>
      </c>
      <c r="D28" s="1">
        <v>241515</v>
      </c>
      <c r="E28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20.549047267594588</v>
      </c>
    </row>
    <row r="29" spans="1:6" x14ac:dyDescent="0.3">
      <c r="A29" t="s">
        <v>7</v>
      </c>
      <c r="B29" s="2" t="s">
        <v>11</v>
      </c>
      <c r="C29" s="13">
        <v>1</v>
      </c>
      <c r="D29" s="1">
        <v>221720.40000000002</v>
      </c>
      <c r="E29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19.086761190005252</v>
      </c>
    </row>
    <row r="30" spans="1:6" x14ac:dyDescent="0.3">
      <c r="A30" t="s">
        <v>8</v>
      </c>
      <c r="B30" t="str">
        <f ca="1">LEFT(waterPEBA[[#This Row],[SAMPLE]],2)</f>
        <v>L1</v>
      </c>
      <c r="C30" s="13">
        <v>1</v>
      </c>
      <c r="D30" s="1">
        <v>178102.39999999997</v>
      </c>
      <c r="E30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0.22581174154318023</v>
      </c>
    </row>
    <row r="31" spans="1:6" x14ac:dyDescent="0.3">
      <c r="A31" t="s">
        <v>8</v>
      </c>
      <c r="B31" t="str">
        <f ca="1">LEFT(waterPEBA[[#This Row],[SAMPLE]],2)</f>
        <v>L1</v>
      </c>
      <c r="C31" s="13">
        <v>1</v>
      </c>
      <c r="D31" s="1">
        <v>216993.39999999997</v>
      </c>
      <c r="E31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0.42549559855085667</v>
      </c>
    </row>
    <row r="32" spans="1:6" x14ac:dyDescent="0.3">
      <c r="A32" t="s">
        <v>8</v>
      </c>
      <c r="B32" t="str">
        <f ca="1">LEFT(waterPEBA[[#This Row],[SAMPLE]],2)</f>
        <v>L2</v>
      </c>
      <c r="C32" s="13">
        <v>2</v>
      </c>
      <c r="D32" s="1">
        <v>289170.40000000002</v>
      </c>
      <c r="E32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0.79608472578448586</v>
      </c>
    </row>
    <row r="33" spans="1:5" x14ac:dyDescent="0.3">
      <c r="A33" t="s">
        <v>8</v>
      </c>
      <c r="B33" t="str">
        <f ca="1">LEFT(waterPEBA[[#This Row],[SAMPLE]],2)</f>
        <v>L2</v>
      </c>
      <c r="C33" s="13">
        <v>2</v>
      </c>
      <c r="D33" s="1">
        <v>271903.60000000003</v>
      </c>
      <c r="E33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0.70742922137009323</v>
      </c>
    </row>
    <row r="34" spans="1:5" x14ac:dyDescent="0.3">
      <c r="A34" t="s">
        <v>8</v>
      </c>
      <c r="B34" t="str">
        <f ca="1">LEFT(waterPEBA[[#This Row],[SAMPLE]],2)</f>
        <v>L2</v>
      </c>
      <c r="C34" s="13">
        <v>2</v>
      </c>
      <c r="D34" s="1">
        <v>273108.2</v>
      </c>
      <c r="E34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0.7136141786648772</v>
      </c>
    </row>
    <row r="35" spans="1:5" x14ac:dyDescent="0.3">
      <c r="A35" t="s">
        <v>8</v>
      </c>
      <c r="B35" t="str">
        <f ca="1">LEFT(waterPEBA[[#This Row],[SAMPLE]],2)</f>
        <v>L3</v>
      </c>
      <c r="C35" s="13">
        <v>3</v>
      </c>
      <c r="D35" s="1">
        <v>385991.6</v>
      </c>
      <c r="E35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1.2932082416650659</v>
      </c>
    </row>
    <row r="36" spans="1:5" x14ac:dyDescent="0.3">
      <c r="A36" t="s">
        <v>8</v>
      </c>
      <c r="B36" t="str">
        <f ca="1">LEFT(waterPEBA[[#This Row],[SAMPLE]],2)</f>
        <v>L3</v>
      </c>
      <c r="C36" s="13">
        <v>3</v>
      </c>
      <c r="D36" s="1">
        <v>391119.5</v>
      </c>
      <c r="E36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1.319537182817252</v>
      </c>
    </row>
    <row r="37" spans="1:5" x14ac:dyDescent="0.3">
      <c r="A37" t="s">
        <v>8</v>
      </c>
      <c r="B37" t="str">
        <f ca="1">LEFT(waterPEBA[[#This Row],[SAMPLE]],2)</f>
        <v>L4</v>
      </c>
      <c r="C37" s="13">
        <v>4</v>
      </c>
      <c r="D37" s="1">
        <v>446904.70000000013</v>
      </c>
      <c r="E37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1.6059634485328329</v>
      </c>
    </row>
    <row r="38" spans="1:5" x14ac:dyDescent="0.3">
      <c r="A38" t="s">
        <v>8</v>
      </c>
      <c r="B38" t="str">
        <f ca="1">LEFT(waterPEBA[[#This Row],[SAMPLE]],2)</f>
        <v>L4</v>
      </c>
      <c r="C38" s="13">
        <v>4</v>
      </c>
      <c r="D38" s="1">
        <v>414301</v>
      </c>
      <c r="E38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1.4385614128762232</v>
      </c>
    </row>
    <row r="39" spans="1:5" x14ac:dyDescent="0.3">
      <c r="A39" t="s">
        <v>8</v>
      </c>
      <c r="B39" t="str">
        <f ca="1">LEFT(waterPEBA[[#This Row],[SAMPLE]],2)</f>
        <v>L4</v>
      </c>
      <c r="C39" s="13">
        <v>4</v>
      </c>
      <c r="D39" s="1">
        <v>416148.00000000006</v>
      </c>
      <c r="E39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1.4480447402242778</v>
      </c>
    </row>
    <row r="40" spans="1:5" x14ac:dyDescent="0.3">
      <c r="A40" t="s">
        <v>8</v>
      </c>
      <c r="B40" t="str">
        <f ca="1">LEFT(waterPEBA[[#This Row],[SAMPLE]],2)</f>
        <v>L5</v>
      </c>
      <c r="C40" s="13">
        <v>5</v>
      </c>
      <c r="D40" s="1">
        <v>553514.00000000012</v>
      </c>
      <c r="E40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2.1533434649090761</v>
      </c>
    </row>
    <row r="41" spans="1:5" x14ac:dyDescent="0.3">
      <c r="A41" t="s">
        <v>8</v>
      </c>
      <c r="B41" t="str">
        <f ca="1">LEFT(waterPEBA[[#This Row],[SAMPLE]],2)</f>
        <v>L5</v>
      </c>
      <c r="C41" s="13">
        <v>5</v>
      </c>
      <c r="D41" s="1">
        <v>523595</v>
      </c>
      <c r="E41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1.9997258845482551</v>
      </c>
    </row>
    <row r="42" spans="1:5" x14ac:dyDescent="0.3">
      <c r="A42" t="s">
        <v>8</v>
      </c>
      <c r="B42" t="str">
        <f ca="1">LEFT(waterPEBA[[#This Row],[SAMPLE]],2)</f>
        <v>L5</v>
      </c>
      <c r="C42" s="13">
        <v>5</v>
      </c>
      <c r="D42" s="1">
        <v>534590.20000000007</v>
      </c>
      <c r="E42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2.0561801784612634</v>
      </c>
    </row>
    <row r="43" spans="1:5" x14ac:dyDescent="0.3">
      <c r="A43" t="s">
        <v>8</v>
      </c>
      <c r="B43" t="str">
        <f ca="1">LEFT(waterPEBA[[#This Row],[SAMPLE]],2)</f>
        <v>L6</v>
      </c>
      <c r="C43" s="13">
        <v>6</v>
      </c>
      <c r="D43" s="1">
        <v>556234.20000000019</v>
      </c>
      <c r="E43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2.167310193145231</v>
      </c>
    </row>
    <row r="44" spans="1:5" x14ac:dyDescent="0.3">
      <c r="A44" t="s">
        <v>8</v>
      </c>
      <c r="B44" t="str">
        <f ca="1">LEFT(waterPEBA[[#This Row],[SAMPLE]],2)</f>
        <v>L6</v>
      </c>
      <c r="C44" s="13">
        <v>6</v>
      </c>
      <c r="D44" s="1">
        <v>580733.20000000007</v>
      </c>
      <c r="E44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2.2930990597938394</v>
      </c>
    </row>
    <row r="45" spans="1:5" x14ac:dyDescent="0.3">
      <c r="A45" t="s">
        <v>8</v>
      </c>
      <c r="B45" t="str">
        <f ca="1">LEFT(waterPEBA[[#This Row],[SAMPLE]],2)</f>
        <v>L7</v>
      </c>
      <c r="C45" s="13">
        <v>7</v>
      </c>
      <c r="D45" s="1">
        <v>612942.70000000007</v>
      </c>
      <c r="E45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2.458477095645033</v>
      </c>
    </row>
    <row r="46" spans="1:5" x14ac:dyDescent="0.3">
      <c r="A46" t="s">
        <v>8</v>
      </c>
      <c r="B46" t="str">
        <f ca="1">LEFT(waterPEBA[[#This Row],[SAMPLE]],2)</f>
        <v>L7</v>
      </c>
      <c r="C46" s="13">
        <v>7</v>
      </c>
      <c r="D46" s="1">
        <v>605092.80000000005</v>
      </c>
      <c r="E46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2.4181721842484483</v>
      </c>
    </row>
    <row r="47" spans="1:5" x14ac:dyDescent="0.3">
      <c r="A47" t="s">
        <v>8</v>
      </c>
      <c r="B47" t="str">
        <f ca="1">LEFT(waterPEBA[[#This Row],[SAMPLE]],2)</f>
        <v>L7</v>
      </c>
      <c r="C47" s="13">
        <v>7</v>
      </c>
      <c r="D47" s="1">
        <v>650279.60000000009</v>
      </c>
      <c r="E47" s="12">
        <f>IF(waterPEBA[[#This Row],[PHASE]]="water",(waterPEBA[[#This Row],[AREA]]-'Calibration curves'!$L$3)/'Calibration curves'!$K$3,IF(waterPEBA[[#This Row],[PHASE]]="extractant",(waterPEBA[[#This Row],[AREA]]-'Calibration curves'!$I$3)/'Calibration curves'!$H$3))</f>
        <v>2.6501815054239</v>
      </c>
    </row>
  </sheetData>
  <phoneticPr fontId="2" type="noConversion"/>
  <conditionalFormatting sqref="A2:A47">
    <cfRule type="cellIs" dxfId="13" priority="1" operator="equal">
      <formula>"extractant"</formula>
    </cfRule>
    <cfRule type="cellIs" dxfId="12" priority="2" operator="equal">
      <formula>"water"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E0D4-7327-4214-A7F1-3B61EA41C47E}">
  <sheetPr codeName="Hoja6"/>
  <dimension ref="A1:E22"/>
  <sheetViews>
    <sheetView workbookViewId="0">
      <selection activeCell="A2" sqref="A2:XFD3"/>
    </sheetView>
  </sheetViews>
  <sheetFormatPr baseColWidth="10" defaultRowHeight="14.4" x14ac:dyDescent="0.3"/>
  <cols>
    <col min="5" max="5" width="13.109375" customWidth="1"/>
  </cols>
  <sheetData>
    <row r="1" spans="1:5" s="23" customFormat="1" ht="26.4" customHeight="1" x14ac:dyDescent="0.3">
      <c r="A1" s="23" t="s">
        <v>9</v>
      </c>
      <c r="B1" s="24" t="s">
        <v>24</v>
      </c>
      <c r="C1" s="24" t="s">
        <v>22</v>
      </c>
      <c r="D1" s="24" t="s">
        <v>18</v>
      </c>
      <c r="E1" s="24" t="s">
        <v>23</v>
      </c>
    </row>
    <row r="2" spans="1:5" x14ac:dyDescent="0.3">
      <c r="A2" t="s">
        <v>8</v>
      </c>
      <c r="B2" s="2" t="s">
        <v>33</v>
      </c>
      <c r="C2" s="13">
        <v>7</v>
      </c>
      <c r="D2" s="1">
        <v>577616</v>
      </c>
      <c r="E2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2.2770939552950007</v>
      </c>
    </row>
    <row r="3" spans="1:5" x14ac:dyDescent="0.3">
      <c r="A3" t="s">
        <v>8</v>
      </c>
      <c r="B3" s="2" t="s">
        <v>33</v>
      </c>
      <c r="C3" s="13">
        <v>7</v>
      </c>
      <c r="D3" s="1">
        <v>521663.2</v>
      </c>
      <c r="E3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1.9898071559229322</v>
      </c>
    </row>
    <row r="4" spans="1:5" x14ac:dyDescent="0.3">
      <c r="A4" t="s">
        <v>8</v>
      </c>
      <c r="B4" s="2" t="s">
        <v>33</v>
      </c>
      <c r="C4" s="13">
        <v>7</v>
      </c>
      <c r="D4" s="1">
        <v>546225.99999999988</v>
      </c>
      <c r="E4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2.1159236004192974</v>
      </c>
    </row>
    <row r="5" spans="1:5" x14ac:dyDescent="0.3">
      <c r="A5" t="s">
        <v>8</v>
      </c>
      <c r="B5" s="2" t="s">
        <v>32</v>
      </c>
      <c r="C5" s="13">
        <v>6</v>
      </c>
      <c r="D5" s="1">
        <v>534274.40000000014</v>
      </c>
      <c r="E5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2.0545587194593606</v>
      </c>
    </row>
    <row r="6" spans="1:5" x14ac:dyDescent="0.3">
      <c r="A6" t="s">
        <v>8</v>
      </c>
      <c r="B6" s="2" t="s">
        <v>32</v>
      </c>
      <c r="C6" s="13">
        <v>6</v>
      </c>
      <c r="D6" s="1">
        <v>483990.80000000005</v>
      </c>
      <c r="E6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1.7963801384963816</v>
      </c>
    </row>
    <row r="7" spans="1:5" x14ac:dyDescent="0.3">
      <c r="A7" t="s">
        <v>8</v>
      </c>
      <c r="B7" s="2" t="s">
        <v>32</v>
      </c>
      <c r="C7" s="13">
        <v>6</v>
      </c>
      <c r="D7" s="1">
        <v>486260.39999999991</v>
      </c>
      <c r="E7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1.8080332840021436</v>
      </c>
    </row>
    <row r="8" spans="1:5" x14ac:dyDescent="0.3">
      <c r="A8" t="s">
        <v>8</v>
      </c>
      <c r="B8" s="2" t="s">
        <v>31</v>
      </c>
      <c r="C8" s="13">
        <v>5</v>
      </c>
      <c r="D8" s="1">
        <v>447020.4</v>
      </c>
      <c r="E8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1.6065575042849545</v>
      </c>
    </row>
    <row r="9" spans="1:5" x14ac:dyDescent="0.3">
      <c r="A9" t="s">
        <v>8</v>
      </c>
      <c r="B9" s="2" t="s">
        <v>31</v>
      </c>
      <c r="C9" s="13">
        <v>5</v>
      </c>
      <c r="D9" s="1">
        <v>459567.39999999991</v>
      </c>
      <c r="E9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1.6709794361940156</v>
      </c>
    </row>
    <row r="10" spans="1:5" x14ac:dyDescent="0.3">
      <c r="A10" t="s">
        <v>8</v>
      </c>
      <c r="B10" s="2" t="s">
        <v>31</v>
      </c>
      <c r="C10" s="13">
        <v>5</v>
      </c>
      <c r="D10" s="1">
        <v>463708.60000000009</v>
      </c>
      <c r="E10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1.6922422164938338</v>
      </c>
    </row>
    <row r="11" spans="1:5" x14ac:dyDescent="0.3">
      <c r="A11" t="s">
        <v>8</v>
      </c>
      <c r="B11" s="2" t="s">
        <v>30</v>
      </c>
      <c r="C11" s="13">
        <v>4</v>
      </c>
      <c r="D11" s="1">
        <v>381864.10000000003</v>
      </c>
      <c r="E11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1.2720158033168831</v>
      </c>
    </row>
    <row r="12" spans="1:5" x14ac:dyDescent="0.3">
      <c r="A12" t="s">
        <v>8</v>
      </c>
      <c r="B12" s="2" t="s">
        <v>30</v>
      </c>
      <c r="C12" s="13">
        <v>4</v>
      </c>
      <c r="D12" s="1">
        <v>399582.4</v>
      </c>
      <c r="E12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1.3629895114657893</v>
      </c>
    </row>
    <row r="13" spans="1:5" x14ac:dyDescent="0.3">
      <c r="A13" t="s">
        <v>8</v>
      </c>
      <c r="B13" s="2" t="s">
        <v>30</v>
      </c>
      <c r="C13" s="13">
        <v>4</v>
      </c>
      <c r="D13" s="1">
        <v>363805.59999999992</v>
      </c>
      <c r="E13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1.1792953556098777</v>
      </c>
    </row>
    <row r="14" spans="1:5" x14ac:dyDescent="0.3">
      <c r="A14" t="s">
        <v>8</v>
      </c>
      <c r="B14" s="2" t="s">
        <v>29</v>
      </c>
      <c r="C14" s="13">
        <v>3</v>
      </c>
      <c r="D14" s="1">
        <v>282907.10000000009</v>
      </c>
      <c r="E14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0.7639261312100043</v>
      </c>
    </row>
    <row r="15" spans="1:5" x14ac:dyDescent="0.3">
      <c r="A15" t="s">
        <v>8</v>
      </c>
      <c r="B15" s="2" t="s">
        <v>28</v>
      </c>
      <c r="C15" s="13">
        <v>2</v>
      </c>
      <c r="D15" s="1">
        <v>270882.2</v>
      </c>
      <c r="E15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0.70218489513657789</v>
      </c>
    </row>
    <row r="16" spans="1:5" x14ac:dyDescent="0.3">
      <c r="A16" t="s">
        <v>8</v>
      </c>
      <c r="B16" s="2" t="s">
        <v>28</v>
      </c>
      <c r="C16" s="13">
        <v>2</v>
      </c>
      <c r="D16" s="1">
        <v>258741.30000000002</v>
      </c>
      <c r="E16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0.63984806297632235</v>
      </c>
    </row>
    <row r="17" spans="1:5" x14ac:dyDescent="0.3">
      <c r="A17" t="s">
        <v>8</v>
      </c>
      <c r="B17" s="2" t="s">
        <v>28</v>
      </c>
      <c r="C17" s="13">
        <v>2</v>
      </c>
      <c r="D17" s="1">
        <v>256079.40000000002</v>
      </c>
      <c r="E17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0.62618067311829007</v>
      </c>
    </row>
    <row r="18" spans="1:5" x14ac:dyDescent="0.3">
      <c r="A18" t="s">
        <v>8</v>
      </c>
      <c r="B18" s="2" t="s">
        <v>27</v>
      </c>
      <c r="C18" s="13">
        <v>1</v>
      </c>
      <c r="D18" s="1">
        <v>219395.90000000002</v>
      </c>
      <c r="E18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0.43783111233196165</v>
      </c>
    </row>
    <row r="19" spans="1:5" x14ac:dyDescent="0.3">
      <c r="A19" t="s">
        <v>8</v>
      </c>
      <c r="B19" s="2" t="s">
        <v>27</v>
      </c>
      <c r="C19" s="13">
        <v>1</v>
      </c>
      <c r="D19" s="1">
        <v>224903.70000000007</v>
      </c>
      <c r="E19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0.46611063066851482</v>
      </c>
    </row>
    <row r="20" spans="1:5" x14ac:dyDescent="0.3">
      <c r="A20" t="s">
        <v>7</v>
      </c>
      <c r="B20" s="2" t="s">
        <v>10</v>
      </c>
      <c r="C20" s="13">
        <v>0</v>
      </c>
      <c r="D20" s="1">
        <v>239304.2</v>
      </c>
      <c r="E20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20.385728884786424</v>
      </c>
    </row>
    <row r="21" spans="1:5" x14ac:dyDescent="0.3">
      <c r="A21" t="s">
        <v>7</v>
      </c>
      <c r="B21" s="2" t="s">
        <v>10</v>
      </c>
      <c r="C21" s="13">
        <v>0</v>
      </c>
      <c r="D21" s="1">
        <v>250335.9</v>
      </c>
      <c r="E21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21.200673431387127</v>
      </c>
    </row>
    <row r="22" spans="1:5" x14ac:dyDescent="0.3">
      <c r="A22" t="s">
        <v>7</v>
      </c>
      <c r="B22" s="2" t="s">
        <v>10</v>
      </c>
      <c r="C22" s="13">
        <v>0</v>
      </c>
      <c r="D22" s="1">
        <v>275771</v>
      </c>
      <c r="E22" s="12">
        <f>IF(milkPEBA[[#This Row],[PHASE]]="water",(milkPEBA[[#This Row],[AREA]]-'Calibration curves'!$L$3)/'Calibration curves'!$K$3,IF(milkPEBA[[#This Row],[PHASE]]="extractant",(milkPEBA[[#This Row],[AREA]]-'Calibration curves'!$I$3)/'Calibration curves'!$H$3))</f>
        <v>23.079640049156243</v>
      </c>
    </row>
  </sheetData>
  <conditionalFormatting sqref="A2:A22">
    <cfRule type="cellIs" dxfId="11" priority="1" operator="equal">
      <formula>"extractant"</formula>
    </cfRule>
    <cfRule type="cellIs" dxfId="10" priority="2" operator="equal">
      <formula>"water"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038B-1AD6-40A6-9925-DF0329227BB7}">
  <dimension ref="A1:E47"/>
  <sheetViews>
    <sheetView workbookViewId="0">
      <selection activeCell="A2" sqref="A2:XFD4"/>
    </sheetView>
  </sheetViews>
  <sheetFormatPr baseColWidth="10" defaultRowHeight="14.4" x14ac:dyDescent="0.3"/>
  <cols>
    <col min="5" max="5" width="13.109375" customWidth="1"/>
  </cols>
  <sheetData>
    <row r="1" spans="1:5" ht="28.8" x14ac:dyDescent="0.3">
      <c r="A1" s="23" t="s">
        <v>9</v>
      </c>
      <c r="B1" s="24" t="s">
        <v>24</v>
      </c>
      <c r="C1" s="24" t="s">
        <v>22</v>
      </c>
      <c r="D1" s="24" t="s">
        <v>18</v>
      </c>
      <c r="E1" s="24" t="s">
        <v>23</v>
      </c>
    </row>
    <row r="2" spans="1:5" x14ac:dyDescent="0.3">
      <c r="A2" t="s">
        <v>7</v>
      </c>
      <c r="B2" t="s">
        <v>16</v>
      </c>
      <c r="C2" s="26">
        <v>7</v>
      </c>
      <c r="D2">
        <v>3026.556</v>
      </c>
      <c r="E2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2.931195362168646</v>
      </c>
    </row>
    <row r="3" spans="1:5" x14ac:dyDescent="0.3">
      <c r="A3" t="s">
        <v>7</v>
      </c>
      <c r="B3" t="s">
        <v>16</v>
      </c>
      <c r="C3" s="26">
        <v>7</v>
      </c>
      <c r="D3">
        <v>7841.4510416666662</v>
      </c>
      <c r="E3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3.2868860042873607</v>
      </c>
    </row>
    <row r="4" spans="1:5" x14ac:dyDescent="0.3">
      <c r="A4" t="s">
        <v>7</v>
      </c>
      <c r="B4" t="s">
        <v>16</v>
      </c>
      <c r="C4" s="26">
        <v>7</v>
      </c>
      <c r="D4">
        <v>8618.1680000000015</v>
      </c>
      <c r="E4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3.3442644001326101</v>
      </c>
    </row>
    <row r="5" spans="1:5" x14ac:dyDescent="0.3">
      <c r="A5" t="s">
        <v>7</v>
      </c>
      <c r="B5" t="s">
        <v>17</v>
      </c>
      <c r="C5" s="26">
        <v>6</v>
      </c>
      <c r="D5">
        <v>7389.5774193548314</v>
      </c>
      <c r="E5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3.2535047535050023</v>
      </c>
    </row>
    <row r="6" spans="1:5" x14ac:dyDescent="0.3">
      <c r="A6" t="s">
        <v>7</v>
      </c>
      <c r="B6" t="s">
        <v>17</v>
      </c>
      <c r="C6" s="26">
        <v>6</v>
      </c>
      <c r="D6">
        <v>11271.477150101422</v>
      </c>
      <c r="E6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3.5402722522606496</v>
      </c>
    </row>
    <row r="7" spans="1:5" x14ac:dyDescent="0.3">
      <c r="A7" t="s">
        <v>7</v>
      </c>
      <c r="B7" t="s">
        <v>17</v>
      </c>
      <c r="C7" s="26">
        <v>6</v>
      </c>
      <c r="D7">
        <v>16801.735817490498</v>
      </c>
      <c r="E7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3.9488089367498946</v>
      </c>
    </row>
    <row r="8" spans="1:5" x14ac:dyDescent="0.3">
      <c r="A8" t="s">
        <v>7</v>
      </c>
      <c r="B8" t="s">
        <v>15</v>
      </c>
      <c r="C8" s="26">
        <v>5</v>
      </c>
      <c r="D8">
        <v>21734.993123287677</v>
      </c>
      <c r="E8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4.3132433519658173</v>
      </c>
    </row>
    <row r="9" spans="1:5" x14ac:dyDescent="0.3">
      <c r="A9" t="s">
        <v>7</v>
      </c>
      <c r="B9" t="s">
        <v>15</v>
      </c>
      <c r="C9" s="26">
        <v>5</v>
      </c>
      <c r="D9">
        <v>23269.68133333333</v>
      </c>
      <c r="E9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4.4266153424576817</v>
      </c>
    </row>
    <row r="10" spans="1:5" x14ac:dyDescent="0.3">
      <c r="A10" t="s">
        <v>7</v>
      </c>
      <c r="B10" t="s">
        <v>15</v>
      </c>
      <c r="C10" s="26">
        <v>5</v>
      </c>
      <c r="D10">
        <v>13487.996000000003</v>
      </c>
      <c r="E10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3.7040131035494368</v>
      </c>
    </row>
    <row r="11" spans="1:5" x14ac:dyDescent="0.3">
      <c r="A11" t="s">
        <v>7</v>
      </c>
      <c r="B11" t="s">
        <v>15</v>
      </c>
      <c r="C11" s="26">
        <v>5</v>
      </c>
      <c r="D11">
        <v>23929.860979865778</v>
      </c>
      <c r="E11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4.4753847798715345</v>
      </c>
    </row>
    <row r="12" spans="1:5" x14ac:dyDescent="0.3">
      <c r="A12" t="s">
        <v>7</v>
      </c>
      <c r="B12" t="s">
        <v>14</v>
      </c>
      <c r="C12" s="26">
        <v>4</v>
      </c>
      <c r="D12">
        <v>23495.279634593837</v>
      </c>
      <c r="E12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4.443280961114338</v>
      </c>
    </row>
    <row r="13" spans="1:5" x14ac:dyDescent="0.3">
      <c r="A13" t="s">
        <v>7</v>
      </c>
      <c r="B13" t="s">
        <v>14</v>
      </c>
      <c r="C13" s="26">
        <v>4</v>
      </c>
      <c r="D13">
        <v>27341.482542108803</v>
      </c>
      <c r="E13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4.7274114291835465</v>
      </c>
    </row>
    <row r="14" spans="1:5" x14ac:dyDescent="0.3">
      <c r="A14" t="s">
        <v>7</v>
      </c>
      <c r="B14" t="s">
        <v>14</v>
      </c>
      <c r="C14" s="26">
        <v>4</v>
      </c>
      <c r="D14">
        <v>25603.695000000003</v>
      </c>
      <c r="E14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4.5990358859225626</v>
      </c>
    </row>
    <row r="15" spans="1:5" x14ac:dyDescent="0.3">
      <c r="A15" t="s">
        <v>7</v>
      </c>
      <c r="B15" t="s">
        <v>13</v>
      </c>
      <c r="C15" s="26">
        <v>3</v>
      </c>
      <c r="D15">
        <v>57206.622047058903</v>
      </c>
      <c r="E15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6.9336382639441307</v>
      </c>
    </row>
    <row r="16" spans="1:5" x14ac:dyDescent="0.3">
      <c r="A16" t="s">
        <v>7</v>
      </c>
      <c r="B16" t="s">
        <v>13</v>
      </c>
      <c r="C16" s="26">
        <v>3</v>
      </c>
      <c r="D16">
        <v>52624.946548571279</v>
      </c>
      <c r="E16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6.5951762443291528</v>
      </c>
    </row>
    <row r="17" spans="1:5" x14ac:dyDescent="0.3">
      <c r="A17" t="s">
        <v>7</v>
      </c>
      <c r="B17" t="s">
        <v>13</v>
      </c>
      <c r="C17" s="26">
        <v>3</v>
      </c>
      <c r="D17">
        <v>64559.541387186626</v>
      </c>
      <c r="E17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7.4768203227230972</v>
      </c>
    </row>
    <row r="18" spans="1:5" x14ac:dyDescent="0.3">
      <c r="A18" t="s">
        <v>7</v>
      </c>
      <c r="B18" t="s">
        <v>12</v>
      </c>
      <c r="C18" s="26">
        <v>2</v>
      </c>
      <c r="D18">
        <v>75328.699746031678</v>
      </c>
      <c r="E18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8.2723701360809816</v>
      </c>
    </row>
    <row r="19" spans="1:5" x14ac:dyDescent="0.3">
      <c r="A19" t="s">
        <v>7</v>
      </c>
      <c r="B19" t="s">
        <v>12</v>
      </c>
      <c r="C19" s="26">
        <v>2</v>
      </c>
      <c r="D19">
        <v>54432.541280000005</v>
      </c>
      <c r="E19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6.7287086526471818</v>
      </c>
    </row>
    <row r="20" spans="1:5" x14ac:dyDescent="0.3">
      <c r="A20" t="s">
        <v>7</v>
      </c>
      <c r="B20" t="s">
        <v>12</v>
      </c>
      <c r="C20" s="26">
        <v>2</v>
      </c>
      <c r="D20">
        <v>53054.532647035143</v>
      </c>
      <c r="E20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6.6269110493219099</v>
      </c>
    </row>
    <row r="21" spans="1:5" x14ac:dyDescent="0.3">
      <c r="A21" t="s">
        <v>7</v>
      </c>
      <c r="B21" t="s">
        <v>11</v>
      </c>
      <c r="C21" s="26">
        <v>1</v>
      </c>
      <c r="D21">
        <v>129505.12731926121</v>
      </c>
      <c r="E21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12.274544252954302</v>
      </c>
    </row>
    <row r="22" spans="1:5" x14ac:dyDescent="0.3">
      <c r="A22" t="s">
        <v>7</v>
      </c>
      <c r="B22" t="s">
        <v>11</v>
      </c>
      <c r="C22" s="26">
        <v>1</v>
      </c>
      <c r="D22">
        <v>136871.644</v>
      </c>
      <c r="E22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12.818730787795822</v>
      </c>
    </row>
    <row r="23" spans="1:5" x14ac:dyDescent="0.3">
      <c r="A23" t="s">
        <v>7</v>
      </c>
      <c r="B23" t="s">
        <v>11</v>
      </c>
      <c r="C23" s="26">
        <v>1</v>
      </c>
      <c r="D23">
        <v>125025.02965493815</v>
      </c>
      <c r="E23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11.943586090587791</v>
      </c>
    </row>
    <row r="24" spans="1:5" x14ac:dyDescent="0.3">
      <c r="A24" t="s">
        <v>7</v>
      </c>
      <c r="B24" t="s">
        <v>10</v>
      </c>
      <c r="C24" s="26">
        <v>0</v>
      </c>
      <c r="D24">
        <v>262379.07800000004</v>
      </c>
      <c r="E24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22.090338871422805</v>
      </c>
    </row>
    <row r="25" spans="1:5" x14ac:dyDescent="0.3">
      <c r="A25" t="s">
        <v>7</v>
      </c>
      <c r="B25" t="s">
        <v>10</v>
      </c>
      <c r="C25" s="26">
        <v>0</v>
      </c>
      <c r="D25">
        <v>270590.00217241386</v>
      </c>
      <c r="E25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22.696904303483191</v>
      </c>
    </row>
    <row r="26" spans="1:5" x14ac:dyDescent="0.3">
      <c r="A26" t="s">
        <v>7</v>
      </c>
      <c r="B26" t="s">
        <v>10</v>
      </c>
      <c r="C26" s="26">
        <v>0</v>
      </c>
      <c r="D26">
        <v>309099.77684728999</v>
      </c>
      <c r="E26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25.541736093879248</v>
      </c>
    </row>
    <row r="27" spans="1:5" x14ac:dyDescent="0.3">
      <c r="A27" t="s">
        <v>8</v>
      </c>
      <c r="B27" t="s">
        <v>27</v>
      </c>
      <c r="C27" s="26">
        <v>1</v>
      </c>
      <c r="D27">
        <v>351634</v>
      </c>
      <c r="E27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1.1168008958645737</v>
      </c>
    </row>
    <row r="28" spans="1:5" x14ac:dyDescent="0.3">
      <c r="A28" t="s">
        <v>8</v>
      </c>
      <c r="B28" t="s">
        <v>27</v>
      </c>
      <c r="C28" s="26">
        <v>1</v>
      </c>
      <c r="D28">
        <v>379364</v>
      </c>
      <c r="E28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1.2591791673109975</v>
      </c>
    </row>
    <row r="29" spans="1:5" x14ac:dyDescent="0.3">
      <c r="A29" t="s">
        <v>8</v>
      </c>
      <c r="B29" t="s">
        <v>27</v>
      </c>
      <c r="C29" s="26">
        <v>1</v>
      </c>
      <c r="D29">
        <v>423624</v>
      </c>
      <c r="E29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1.4864298811306411</v>
      </c>
    </row>
    <row r="30" spans="1:5" x14ac:dyDescent="0.3">
      <c r="A30" t="s">
        <v>8</v>
      </c>
      <c r="B30" t="s">
        <v>28</v>
      </c>
      <c r="C30" s="26">
        <v>2</v>
      </c>
      <c r="D30">
        <v>738782.40000000026</v>
      </c>
      <c r="E30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3.1045946205399684</v>
      </c>
    </row>
    <row r="31" spans="1:5" x14ac:dyDescent="0.3">
      <c r="A31" t="s">
        <v>8</v>
      </c>
      <c r="B31" t="s">
        <v>28</v>
      </c>
      <c r="C31" s="26">
        <v>2</v>
      </c>
      <c r="D31">
        <v>755652</v>
      </c>
      <c r="E31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3.1912107218018706</v>
      </c>
    </row>
    <row r="32" spans="1:5" x14ac:dyDescent="0.3">
      <c r="A32" t="s">
        <v>8</v>
      </c>
      <c r="B32" t="s">
        <v>28</v>
      </c>
      <c r="C32" s="26">
        <v>2</v>
      </c>
      <c r="D32">
        <v>767212.79999999993</v>
      </c>
      <c r="E32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3.2505690600830754</v>
      </c>
    </row>
    <row r="33" spans="1:5" x14ac:dyDescent="0.3">
      <c r="A33" t="s">
        <v>8</v>
      </c>
      <c r="B33" t="s">
        <v>29</v>
      </c>
      <c r="C33" s="26">
        <v>3</v>
      </c>
      <c r="D33">
        <v>907061</v>
      </c>
      <c r="E33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3.9686125141362227</v>
      </c>
    </row>
    <row r="34" spans="1:5" x14ac:dyDescent="0.3">
      <c r="A34" t="s">
        <v>8</v>
      </c>
      <c r="B34" t="s">
        <v>29</v>
      </c>
      <c r="C34" s="26">
        <v>3</v>
      </c>
      <c r="D34">
        <v>957046.3</v>
      </c>
      <c r="E34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4.2252594889552251</v>
      </c>
    </row>
    <row r="35" spans="1:5" x14ac:dyDescent="0.3">
      <c r="A35" t="s">
        <v>8</v>
      </c>
      <c r="B35" t="s">
        <v>29</v>
      </c>
      <c r="C35" s="26">
        <v>3</v>
      </c>
      <c r="D35">
        <v>907170.39999999874</v>
      </c>
      <c r="E35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3.9691742228594848</v>
      </c>
    </row>
    <row r="36" spans="1:5" x14ac:dyDescent="0.3">
      <c r="A36" t="s">
        <v>8</v>
      </c>
      <c r="B36" t="s">
        <v>30</v>
      </c>
      <c r="C36" s="26">
        <v>4</v>
      </c>
      <c r="D36">
        <v>1052124.8</v>
      </c>
      <c r="E36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4.713435200520995</v>
      </c>
    </row>
    <row r="37" spans="1:5" x14ac:dyDescent="0.3">
      <c r="A37" t="s">
        <v>8</v>
      </c>
      <c r="B37" t="s">
        <v>30</v>
      </c>
      <c r="C37" s="26">
        <v>4</v>
      </c>
      <c r="D37">
        <v>1038029.7999999998</v>
      </c>
      <c r="E37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4.641065141522172</v>
      </c>
    </row>
    <row r="38" spans="1:5" x14ac:dyDescent="0.3">
      <c r="A38" t="s">
        <v>8</v>
      </c>
      <c r="B38" t="s">
        <v>30</v>
      </c>
      <c r="C38" s="26">
        <v>4</v>
      </c>
      <c r="D38">
        <v>1083993.4000000001</v>
      </c>
      <c r="E38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4.8770629026997732</v>
      </c>
    </row>
    <row r="39" spans="1:5" x14ac:dyDescent="0.3">
      <c r="A39" t="s">
        <v>8</v>
      </c>
      <c r="B39" t="s">
        <v>31</v>
      </c>
      <c r="C39" s="26">
        <v>5</v>
      </c>
      <c r="D39">
        <v>1090826.8000000007</v>
      </c>
      <c r="E39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4.9121486466630646</v>
      </c>
    </row>
    <row r="40" spans="1:5" x14ac:dyDescent="0.3">
      <c r="A40" t="s">
        <v>8</v>
      </c>
      <c r="B40" t="s">
        <v>31</v>
      </c>
      <c r="C40" s="26">
        <v>5</v>
      </c>
      <c r="D40">
        <v>1092123.6000000003</v>
      </c>
      <c r="E40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4.9188070001578961</v>
      </c>
    </row>
    <row r="41" spans="1:5" x14ac:dyDescent="0.3">
      <c r="A41" t="s">
        <v>8</v>
      </c>
      <c r="B41" t="s">
        <v>31</v>
      </c>
      <c r="C41" s="26">
        <v>5</v>
      </c>
      <c r="D41">
        <v>1107626.4000000001</v>
      </c>
      <c r="E41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4.9984053364932581</v>
      </c>
    </row>
    <row r="42" spans="1:5" x14ac:dyDescent="0.3">
      <c r="A42" t="s">
        <v>8</v>
      </c>
      <c r="B42" t="s">
        <v>32</v>
      </c>
      <c r="C42" s="26">
        <v>6</v>
      </c>
      <c r="D42">
        <v>1293489.6000000003</v>
      </c>
      <c r="E42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5.9527104624038598</v>
      </c>
    </row>
    <row r="43" spans="1:5" x14ac:dyDescent="0.3">
      <c r="A43" t="s">
        <v>8</v>
      </c>
      <c r="B43" t="s">
        <v>32</v>
      </c>
      <c r="C43" s="26">
        <v>6</v>
      </c>
      <c r="D43">
        <v>1279811.5</v>
      </c>
      <c r="E43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5.8824809552033051</v>
      </c>
    </row>
    <row r="44" spans="1:5" x14ac:dyDescent="0.3">
      <c r="A44" t="s">
        <v>8</v>
      </c>
      <c r="B44" t="s">
        <v>32</v>
      </c>
      <c r="C44" s="26">
        <v>6</v>
      </c>
      <c r="D44">
        <v>1316538.7999999998</v>
      </c>
      <c r="E44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6.0710554048569012</v>
      </c>
    </row>
    <row r="45" spans="1:5" x14ac:dyDescent="0.3">
      <c r="A45" t="s">
        <v>8</v>
      </c>
      <c r="B45" t="s">
        <v>33</v>
      </c>
      <c r="C45" s="26">
        <v>7</v>
      </c>
      <c r="D45">
        <v>1440369.5</v>
      </c>
      <c r="E45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6.7068578216618304</v>
      </c>
    </row>
    <row r="46" spans="1:5" x14ac:dyDescent="0.3">
      <c r="A46" t="s">
        <v>8</v>
      </c>
      <c r="B46" t="s">
        <v>33</v>
      </c>
      <c r="C46" s="26">
        <v>7</v>
      </c>
      <c r="D46">
        <v>1443574</v>
      </c>
      <c r="E46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6.7233111635604983</v>
      </c>
    </row>
    <row r="47" spans="1:5" x14ac:dyDescent="0.3">
      <c r="A47" t="s">
        <v>8</v>
      </c>
      <c r="B47" t="s">
        <v>33</v>
      </c>
      <c r="C47" s="26">
        <v>7</v>
      </c>
      <c r="D47">
        <v>1452783.4000000004</v>
      </c>
      <c r="E47" s="12">
        <f>IF(waterPOMS[[#This Row],[PHASE]]="water",(waterPOMS[[#This Row],[AREA]]-'Calibration curves'!$L$3)/'Calibration curves'!$K$3,IF(waterPOMS[[#This Row],[PHASE]]="extractant",(waterPOMS[[#This Row],[AREA]]-'Calibration curves'!$I$3)/'Calibration curves'!$H$3))</f>
        <v>6.7705963584057471</v>
      </c>
    </row>
  </sheetData>
  <phoneticPr fontId="2" type="noConversion"/>
  <conditionalFormatting sqref="A2:A47">
    <cfRule type="cellIs" dxfId="9" priority="1" operator="equal">
      <formula>"extractant"</formula>
    </cfRule>
    <cfRule type="cellIs" dxfId="8" priority="2" operator="equal">
      <formula>"water"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96D1-48C0-41A8-823A-F32AEB4A54D9}">
  <dimension ref="A1:H23"/>
  <sheetViews>
    <sheetView zoomScale="80" zoomScaleNormal="80" workbookViewId="0">
      <selection activeCell="D7" sqref="D7"/>
    </sheetView>
  </sheetViews>
  <sheetFormatPr baseColWidth="10" defaultRowHeight="14.4" x14ac:dyDescent="0.3"/>
  <cols>
    <col min="1" max="1" width="12.6640625" customWidth="1"/>
    <col min="2" max="2" width="12" customWidth="1"/>
    <col min="3" max="3" width="11.6640625" customWidth="1"/>
    <col min="4" max="4" width="18.77734375" customWidth="1"/>
    <col min="5" max="5" width="15.6640625" customWidth="1"/>
    <col min="6" max="6" width="17.109375" customWidth="1"/>
    <col min="7" max="7" width="13.5546875" bestFit="1" customWidth="1"/>
    <col min="8" max="8" width="15.109375" customWidth="1"/>
  </cols>
  <sheetData>
    <row r="1" spans="1:8" s="27" customFormat="1" ht="46.8" customHeight="1" x14ac:dyDescent="0.3">
      <c r="A1" s="34" t="s">
        <v>44</v>
      </c>
      <c r="B1" s="35" t="s">
        <v>9</v>
      </c>
      <c r="C1" s="34" t="s">
        <v>22</v>
      </c>
      <c r="D1" s="34" t="s">
        <v>36</v>
      </c>
      <c r="E1" s="34" t="s">
        <v>18</v>
      </c>
      <c r="F1" s="34" t="s">
        <v>34</v>
      </c>
      <c r="G1" s="34" t="s">
        <v>39</v>
      </c>
      <c r="H1" s="34" t="s">
        <v>40</v>
      </c>
    </row>
    <row r="2" spans="1:8" x14ac:dyDescent="0.3">
      <c r="A2" s="36" t="s">
        <v>25</v>
      </c>
      <c r="B2" s="37" t="s">
        <v>7</v>
      </c>
      <c r="C2" s="44">
        <v>0</v>
      </c>
      <c r="D2" s="44" t="str">
        <f>partition11[[#This Row],[MEMBRANE]]&amp;"_"&amp;partition11[[#This Row],[PHASE]]&amp;"_"&amp;partition11[[#This Row],[TIME]]</f>
        <v>POMS_water_0</v>
      </c>
      <c r="E2" s="40">
        <v>288414</v>
      </c>
      <c r="F2" s="47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24.013616127428197</v>
      </c>
      <c r="G2" s="45">
        <f>partition11[[#This Row],[CONCENTRATION (ug/mL)]]*3</f>
        <v>72.040848382284594</v>
      </c>
      <c r="H2" s="50">
        <f>(partition11[[#This Row],[PCB mass (ug)]]/1000000)/291.99</f>
        <v>2.4672368362712625E-7</v>
      </c>
    </row>
    <row r="3" spans="1:8" x14ac:dyDescent="0.3">
      <c r="A3" s="28" t="s">
        <v>25</v>
      </c>
      <c r="B3" t="s">
        <v>7</v>
      </c>
      <c r="C3" s="41">
        <v>0</v>
      </c>
      <c r="D3" s="41" t="str">
        <f>partition11[[#This Row],[MEMBRANE]]&amp;"_"&amp;partition11[[#This Row],[PHASE]]&amp;"_"&amp;partition11[[#This Row],[TIME]]</f>
        <v>POMS_water_0</v>
      </c>
      <c r="E3" s="40">
        <v>302636</v>
      </c>
      <c r="F3" s="48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25.064237640137499</v>
      </c>
      <c r="G3" s="43">
        <f>partition11[[#This Row],[CONCENTRATION (ug/mL)]]*3</f>
        <v>75.192712920412504</v>
      </c>
      <c r="H3" s="50">
        <f>(partition11[[#This Row],[PCB mass (ug)]]/1000000)/291.99</f>
        <v>2.5751810993668446E-7</v>
      </c>
    </row>
    <row r="4" spans="1:8" x14ac:dyDescent="0.3">
      <c r="A4" s="28" t="s">
        <v>25</v>
      </c>
      <c r="B4" t="s">
        <v>7</v>
      </c>
      <c r="C4">
        <v>24</v>
      </c>
      <c r="D4" t="str">
        <f>partition11[[#This Row],[MEMBRANE]]&amp;"_"&amp;partition11[[#This Row],[PHASE]]&amp;"_"&amp;partition11[[#This Row],[TIME]]</f>
        <v>POMS_water_24</v>
      </c>
      <c r="E4" s="1">
        <v>223763.20582499157</v>
      </c>
      <c r="F4" s="1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19.237669342587449</v>
      </c>
      <c r="G4" s="38">
        <f>partition11[[#This Row],[CONCENTRATION (ug/mL)]]*3</f>
        <v>57.713008027762342</v>
      </c>
      <c r="H4" s="50">
        <f>(partition11[[#This Row],[PCB mass (ug)]]/1000000)/291.99</f>
        <v>1.976540567408553E-7</v>
      </c>
    </row>
    <row r="5" spans="1:8" x14ac:dyDescent="0.3">
      <c r="A5" s="28" t="s">
        <v>25</v>
      </c>
      <c r="B5" t="s">
        <v>7</v>
      </c>
      <c r="C5">
        <v>24</v>
      </c>
      <c r="D5" t="str">
        <f>partition11[[#This Row],[MEMBRANE]]&amp;"_"&amp;partition11[[#This Row],[PHASE]]&amp;"_"&amp;partition11[[#This Row],[TIME]]</f>
        <v>POMS_water_24</v>
      </c>
      <c r="E5" s="1">
        <v>226676.54026589304</v>
      </c>
      <c r="F5" s="1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19.452886037660434</v>
      </c>
      <c r="G5" s="38">
        <f>partition11[[#This Row],[CONCENTRATION (ug/mL)]]*3</f>
        <v>58.358658112981303</v>
      </c>
      <c r="H5" s="50">
        <f>(partition11[[#This Row],[PCB mass (ug)]]/1000000)/291.99</f>
        <v>1.9986526289592556E-7</v>
      </c>
    </row>
    <row r="6" spans="1:8" x14ac:dyDescent="0.3">
      <c r="A6" s="28" t="s">
        <v>25</v>
      </c>
      <c r="B6" t="s">
        <v>7</v>
      </c>
      <c r="C6">
        <v>24</v>
      </c>
      <c r="D6" t="str">
        <f>partition11[[#This Row],[MEMBRANE]]&amp;"_"&amp;partition11[[#This Row],[PHASE]]&amp;"_"&amp;partition11[[#This Row],[TIME]]</f>
        <v>POMS_water_24</v>
      </c>
      <c r="E6" s="1">
        <v>225398.45309569198</v>
      </c>
      <c r="F6" s="1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19.3584699304933</v>
      </c>
      <c r="G6" s="38">
        <f>partition11[[#This Row],[CONCENTRATION (ug/mL)]]*3</f>
        <v>58.075409791479899</v>
      </c>
      <c r="H6" s="50">
        <f>(partition11[[#This Row],[PCB mass (ug)]]/1000000)/291.99</f>
        <v>1.988952011763413E-7</v>
      </c>
    </row>
    <row r="7" spans="1:8" x14ac:dyDescent="0.3">
      <c r="A7" s="28" t="s">
        <v>25</v>
      </c>
      <c r="B7" t="s">
        <v>8</v>
      </c>
      <c r="C7" s="41">
        <v>0</v>
      </c>
      <c r="D7" s="41" t="str">
        <f>partition11[[#This Row],[MEMBRANE]]&amp;"_"&amp;partition11[[#This Row],[PHASE]]&amp;"_"&amp;partition11[[#This Row],[TIME]]</f>
        <v>POMS_extractant_0</v>
      </c>
      <c r="E7" s="46">
        <v>4944909.5111729223</v>
      </c>
      <c r="F7" s="4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24.70073986297562</v>
      </c>
      <c r="G7" s="43">
        <f>partition11[[#This Row],[CONCENTRATION (ug/mL)]]*3</f>
        <v>74.102219588926857</v>
      </c>
      <c r="H7" s="50">
        <f>(partition11[[#This Row],[PCB mass (ug)]]/1000000)/291.99</f>
        <v>2.5378341583248345E-7</v>
      </c>
    </row>
    <row r="8" spans="1:8" x14ac:dyDescent="0.3">
      <c r="A8" s="28" t="s">
        <v>25</v>
      </c>
      <c r="B8" t="s">
        <v>8</v>
      </c>
      <c r="C8" s="41">
        <v>0</v>
      </c>
      <c r="D8" s="41" t="str">
        <f>partition11[[#This Row],[MEMBRANE]]&amp;"_"&amp;partition11[[#This Row],[PHASE]]&amp;"_"&amp;partition11[[#This Row],[TIME]]</f>
        <v>POMS_extractant_0</v>
      </c>
      <c r="E8" s="46">
        <v>5116781.8364677504</v>
      </c>
      <c r="F8" s="4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25.583209555905842</v>
      </c>
      <c r="G8" s="43">
        <f>partition11[[#This Row],[CONCENTRATION (ug/mL)]]*3</f>
        <v>76.749628667717531</v>
      </c>
      <c r="H8" s="50">
        <f>(partition11[[#This Row],[PCB mass (ug)]]/1000000)/291.99</f>
        <v>2.6285019578655958E-7</v>
      </c>
    </row>
    <row r="9" spans="1:8" x14ac:dyDescent="0.3">
      <c r="A9" s="28" t="s">
        <v>25</v>
      </c>
      <c r="B9" t="s">
        <v>8</v>
      </c>
      <c r="C9" s="41">
        <v>0</v>
      </c>
      <c r="D9" s="41" t="str">
        <f>partition11[[#This Row],[MEMBRANE]]&amp;"_"&amp;partition11[[#This Row],[PHASE]]&amp;"_"&amp;partition11[[#This Row],[TIME]]</f>
        <v>POMS_extractant_0</v>
      </c>
      <c r="E9" s="46">
        <v>4878313.316045803</v>
      </c>
      <c r="F9" s="4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24.358805093876885</v>
      </c>
      <c r="G9" s="43">
        <f>partition11[[#This Row],[CONCENTRATION (ug/mL)]]*3</f>
        <v>73.076415281630659</v>
      </c>
      <c r="H9" s="50">
        <f>(partition11[[#This Row],[PCB mass (ug)]]/1000000)/291.99</f>
        <v>2.502702670695252E-7</v>
      </c>
    </row>
    <row r="10" spans="1:8" x14ac:dyDescent="0.3">
      <c r="A10" s="28" t="s">
        <v>25</v>
      </c>
      <c r="B10" t="s">
        <v>8</v>
      </c>
      <c r="C10">
        <v>24</v>
      </c>
      <c r="D10" t="str">
        <f>partition11[[#This Row],[MEMBRANE]]&amp;"_"&amp;partition11[[#This Row],[PHASE]]&amp;"_"&amp;partition11[[#This Row],[TIME]]</f>
        <v>POMS_extractant_24</v>
      </c>
      <c r="E10" s="32">
        <v>4528543.6923984</v>
      </c>
      <c r="F10" s="1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22.562930790978093</v>
      </c>
      <c r="G10" s="38">
        <f>partition11[[#This Row],[CONCENTRATION (ug/mL)]]*3</f>
        <v>67.688792372934273</v>
      </c>
      <c r="H10" s="50">
        <f>(partition11[[#This Row],[PCB mass (ug)]]/1000000)/291.99</f>
        <v>2.3181887178647989E-7</v>
      </c>
    </row>
    <row r="11" spans="1:8" x14ac:dyDescent="0.3">
      <c r="A11" s="28" t="s">
        <v>25</v>
      </c>
      <c r="B11" t="s">
        <v>8</v>
      </c>
      <c r="C11">
        <v>24</v>
      </c>
      <c r="D11" t="str">
        <f>partition11[[#This Row],[MEMBRANE]]&amp;"_"&amp;partition11[[#This Row],[PHASE]]&amp;"_"&amp;partition11[[#This Row],[TIME]]</f>
        <v>POMS_extractant_24</v>
      </c>
      <c r="E11" s="32">
        <v>4809399.5147587014</v>
      </c>
      <c r="F11" s="1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24.004970694091096</v>
      </c>
      <c r="G11" s="38">
        <f>partition11[[#This Row],[CONCENTRATION (ug/mL)]]*3</f>
        <v>72.014912082273284</v>
      </c>
      <c r="H11" s="50">
        <f>(partition11[[#This Row],[PCB mass (ug)]]/1000000)/291.99</f>
        <v>2.4663485763989614E-7</v>
      </c>
    </row>
    <row r="12" spans="1:8" x14ac:dyDescent="0.3">
      <c r="A12" s="28" t="s">
        <v>25</v>
      </c>
      <c r="B12" t="s">
        <v>8</v>
      </c>
      <c r="C12">
        <v>24</v>
      </c>
      <c r="D12" t="str">
        <f>partition11[[#This Row],[MEMBRANE]]&amp;"_"&amp;partition11[[#This Row],[PHASE]]&amp;"_"&amp;partition11[[#This Row],[TIME]]</f>
        <v>POMS_extractant_24</v>
      </c>
      <c r="E12" s="32">
        <v>4702856.763666763</v>
      </c>
      <c r="F12" s="1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23.457932369690926</v>
      </c>
      <c r="G12" s="38">
        <f>partition11[[#This Row],[CONCENTRATION (ug/mL)]]*3</f>
        <v>70.373797109072783</v>
      </c>
      <c r="H12" s="50">
        <f>(partition11[[#This Row],[PCB mass (ug)]]/1000000)/291.99</f>
        <v>2.4101440840122189E-7</v>
      </c>
    </row>
    <row r="13" spans="1:8" x14ac:dyDescent="0.3">
      <c r="A13" s="28" t="s">
        <v>26</v>
      </c>
      <c r="B13" t="s">
        <v>7</v>
      </c>
      <c r="C13" s="44">
        <v>0</v>
      </c>
      <c r="D13" s="41" t="str">
        <f>partition11[[#This Row],[MEMBRANE]]&amp;"_"&amp;partition11[[#This Row],[PHASE]]&amp;"_"&amp;partition11[[#This Row],[TIME]]</f>
        <v>PEBA_water_0</v>
      </c>
      <c r="E13" s="40">
        <v>287879.50699999998</v>
      </c>
      <c r="F13" s="4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23.974131537061684</v>
      </c>
      <c r="G13" s="43">
        <f>partition11[[#This Row],[CONCENTRATION (ug/mL)]]*3</f>
        <v>71.922394611185055</v>
      </c>
      <c r="H13" s="50">
        <f>(partition11[[#This Row],[PCB mass (ug)]]/1000000)/291.99</f>
        <v>2.4631800613440546E-7</v>
      </c>
    </row>
    <row r="14" spans="1:8" x14ac:dyDescent="0.3">
      <c r="A14" s="28" t="s">
        <v>26</v>
      </c>
      <c r="B14" t="s">
        <v>7</v>
      </c>
      <c r="C14" s="41">
        <v>0</v>
      </c>
      <c r="D14" s="41" t="str">
        <f>partition11[[#This Row],[MEMBRANE]]&amp;"_"&amp;partition11[[#This Row],[PHASE]]&amp;"_"&amp;partition11[[#This Row],[TIME]]</f>
        <v>PEBA_water_0</v>
      </c>
      <c r="E14" s="40">
        <v>308108.97100000002</v>
      </c>
      <c r="F14" s="4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25.468542313955115</v>
      </c>
      <c r="G14" s="43">
        <f>partition11[[#This Row],[CONCENTRATION (ug/mL)]]*3</f>
        <v>76.40562694186535</v>
      </c>
      <c r="H14" s="50">
        <f>(partition11[[#This Row],[PCB mass (ug)]]/1000000)/291.99</f>
        <v>2.6167206733746139E-7</v>
      </c>
    </row>
    <row r="15" spans="1:8" x14ac:dyDescent="0.3">
      <c r="A15" s="28" t="s">
        <v>26</v>
      </c>
      <c r="B15" t="s">
        <v>7</v>
      </c>
      <c r="C15">
        <v>24</v>
      </c>
      <c r="D15" t="str">
        <f>partition11[[#This Row],[MEMBRANE]]&amp;"_"&amp;partition11[[#This Row],[PHASE]]&amp;"_"&amp;partition11[[#This Row],[TIME]]</f>
        <v>PEBA_water_24</v>
      </c>
      <c r="E15" s="1">
        <v>193775.31837208488</v>
      </c>
      <c r="F15" s="1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17.022374751198814</v>
      </c>
      <c r="G15" s="38">
        <f>partition11[[#This Row],[CONCENTRATION (ug/mL)]]*3</f>
        <v>51.067124253596447</v>
      </c>
      <c r="H15" s="50">
        <f>(partition11[[#This Row],[PCB mass (ug)]]/1000000)/291.99</f>
        <v>1.7489340132743054E-7</v>
      </c>
    </row>
    <row r="16" spans="1:8" x14ac:dyDescent="0.3">
      <c r="A16" s="28" t="s">
        <v>26</v>
      </c>
      <c r="B16" t="s">
        <v>7</v>
      </c>
      <c r="C16">
        <v>24</v>
      </c>
      <c r="D16" t="str">
        <f>partition11[[#This Row],[MEMBRANE]]&amp;"_"&amp;partition11[[#This Row],[PHASE]]&amp;"_"&amp;partition11[[#This Row],[TIME]]</f>
        <v>PEBA_water_24</v>
      </c>
      <c r="E16" s="1">
        <v>193777.8810517439</v>
      </c>
      <c r="F16" s="1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17.022564063980418</v>
      </c>
      <c r="G16" s="38">
        <f>partition11[[#This Row],[CONCENTRATION (ug/mL)]]*3</f>
        <v>51.067692191941255</v>
      </c>
      <c r="H16" s="50">
        <f>(partition11[[#This Row],[PCB mass (ug)]]/1000000)/291.99</f>
        <v>1.7489534638837375E-7</v>
      </c>
    </row>
    <row r="17" spans="1:8" x14ac:dyDescent="0.3">
      <c r="A17" s="28" t="s">
        <v>26</v>
      </c>
      <c r="B17" t="s">
        <v>7</v>
      </c>
      <c r="C17">
        <v>24</v>
      </c>
      <c r="D17" t="str">
        <f>partition11[[#This Row],[MEMBRANE]]&amp;"_"&amp;partition11[[#This Row],[PHASE]]&amp;"_"&amp;partition11[[#This Row],[TIME]]</f>
        <v>PEBA_water_24</v>
      </c>
      <c r="E17" s="1">
        <v>191900.24057123699</v>
      </c>
      <c r="F17" s="1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16.883857167485242</v>
      </c>
      <c r="G17" s="38">
        <f>partition11[[#This Row],[CONCENTRATION (ug/mL)]]*3</f>
        <v>50.651571502455724</v>
      </c>
      <c r="H17" s="50">
        <f>(partition11[[#This Row],[PCB mass (ug)]]/1000000)/291.99</f>
        <v>1.7347022672850345E-7</v>
      </c>
    </row>
    <row r="18" spans="1:8" x14ac:dyDescent="0.3">
      <c r="A18" s="28" t="s">
        <v>26</v>
      </c>
      <c r="B18" t="s">
        <v>8</v>
      </c>
      <c r="C18" s="41">
        <v>0</v>
      </c>
      <c r="D18" s="41" t="str">
        <f>partition11[[#This Row],[MEMBRANE]]&amp;"_"&amp;partition11[[#This Row],[PHASE]]&amp;"_"&amp;partition11[[#This Row],[TIME]]</f>
        <v>PEBA_extractant_0</v>
      </c>
      <c r="E18" s="40">
        <v>5010403.1907939846</v>
      </c>
      <c r="F18" s="4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25.037013822409907</v>
      </c>
      <c r="G18" s="43">
        <f>partition11[[#This Row],[CONCENTRATION (ug/mL)]]*3</f>
        <v>75.111041467229725</v>
      </c>
      <c r="H18" s="50">
        <f>(partition11[[#This Row],[PCB mass (ug)]]/1000000)/291.99</f>
        <v>2.5723840360022509E-7</v>
      </c>
    </row>
    <row r="19" spans="1:8" x14ac:dyDescent="0.3">
      <c r="A19" s="28" t="s">
        <v>26</v>
      </c>
      <c r="B19" t="s">
        <v>8</v>
      </c>
      <c r="C19" s="41">
        <v>0</v>
      </c>
      <c r="D19" s="41" t="str">
        <f>partition11[[#This Row],[MEMBRANE]]&amp;"_"&amp;partition11[[#This Row],[PHASE]]&amp;"_"&amp;partition11[[#This Row],[TIME]]</f>
        <v>PEBA_extractant_0</v>
      </c>
      <c r="E19" s="40">
        <v>4874165.1839176463</v>
      </c>
      <c r="F19" s="4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24.337506720918416</v>
      </c>
      <c r="G19" s="43">
        <f>partition11[[#This Row],[CONCENTRATION (ug/mL)]]*3</f>
        <v>73.012520162755251</v>
      </c>
      <c r="H19" s="50">
        <f>(partition11[[#This Row],[PCB mass (ug)]]/1000000)/291.99</f>
        <v>2.5005144067521234E-7</v>
      </c>
    </row>
    <row r="20" spans="1:8" x14ac:dyDescent="0.3">
      <c r="A20" s="28" t="s">
        <v>26</v>
      </c>
      <c r="B20" t="s">
        <v>8</v>
      </c>
      <c r="C20" s="41">
        <v>0</v>
      </c>
      <c r="D20" s="41" t="str">
        <f>partition11[[#This Row],[MEMBRANE]]&amp;"_"&amp;partition11[[#This Row],[PHASE]]&amp;"_"&amp;partition11[[#This Row],[TIME]]</f>
        <v>PEBA_extractant_0</v>
      </c>
      <c r="E20" s="40">
        <v>4989785.7374225901</v>
      </c>
      <c r="F20" s="4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24.931154559061678</v>
      </c>
      <c r="G20" s="43">
        <f>partition11[[#This Row],[CONCENTRATION (ug/mL)]]*3</f>
        <v>74.793463677185031</v>
      </c>
      <c r="H20" s="50">
        <f>(partition11[[#This Row],[PCB mass (ug)]]/1000000)/291.99</f>
        <v>2.5615077118115353E-7</v>
      </c>
    </row>
    <row r="21" spans="1:8" x14ac:dyDescent="0.3">
      <c r="A21" s="28" t="s">
        <v>26</v>
      </c>
      <c r="B21" t="s">
        <v>8</v>
      </c>
      <c r="C21">
        <v>24</v>
      </c>
      <c r="D21" t="str">
        <f>partition11[[#This Row],[MEMBRANE]]&amp;"_"&amp;partition11[[#This Row],[PHASE]]&amp;"_"&amp;partition11[[#This Row],[TIME]]</f>
        <v>PEBA_extractant_24</v>
      </c>
      <c r="E21" s="1">
        <v>4872267.8019131497</v>
      </c>
      <c r="F21" s="1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24.327764709736527</v>
      </c>
      <c r="G21" s="38">
        <f>partition11[[#This Row],[CONCENTRATION (ug/mL)]]*3</f>
        <v>72.983294129209582</v>
      </c>
      <c r="H21" s="50">
        <f>(partition11[[#This Row],[PCB mass (ug)]]/1000000)/291.99</f>
        <v>2.4995134809140582E-7</v>
      </c>
    </row>
    <row r="22" spans="1:8" x14ac:dyDescent="0.3">
      <c r="A22" s="28" t="s">
        <v>26</v>
      </c>
      <c r="B22" t="s">
        <v>8</v>
      </c>
      <c r="C22">
        <v>24</v>
      </c>
      <c r="D22" t="str">
        <f>partition11[[#This Row],[MEMBRANE]]&amp;"_"&amp;partition11[[#This Row],[PHASE]]&amp;"_"&amp;partition11[[#This Row],[TIME]]</f>
        <v>PEBA_extractant_24</v>
      </c>
      <c r="E22" s="1">
        <v>4862583.0037403498</v>
      </c>
      <c r="F22" s="12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24.278038607206749</v>
      </c>
      <c r="G22" s="38">
        <f>partition11[[#This Row],[CONCENTRATION (ug/mL)]]*3</f>
        <v>72.834115821620244</v>
      </c>
      <c r="H22" s="50">
        <f>(partition11[[#This Row],[PCB mass (ug)]]/1000000)/291.99</f>
        <v>2.4944044597972613E-7</v>
      </c>
    </row>
    <row r="23" spans="1:8" x14ac:dyDescent="0.3">
      <c r="A23" s="29" t="s">
        <v>26</v>
      </c>
      <c r="B23" s="30" t="s">
        <v>8</v>
      </c>
      <c r="C23">
        <v>24</v>
      </c>
      <c r="D23" t="str">
        <f>partition11[[#This Row],[MEMBRANE]]&amp;"_"&amp;partition11[[#This Row],[PHASE]]&amp;"_"&amp;partition11[[#This Row],[TIME]]</f>
        <v>PEBA_extractant_24</v>
      </c>
      <c r="E23" s="33">
        <v>4938325.0791298803</v>
      </c>
      <c r="F23" s="31">
        <f>IF(partition11[[#This Row],[PHASE]]="water",(partition11[[#This Row],[AREA]]-'Calibration curves'!$L$3)/'Calibration curves'!$K$3,IF(partition11[[#This Row],[PHASE]]="extractant",(partition11[[#This Row],[AREA]]-'Calibration curves'!$I$3)/'Calibration curves'!$H$3))</f>
        <v>24.66693243229604</v>
      </c>
      <c r="G23" s="39">
        <f>partition11[[#This Row],[CONCENTRATION (ug/mL)]]*3</f>
        <v>74.000797296888123</v>
      </c>
      <c r="H23" s="50">
        <f>(partition11[[#This Row],[PCB mass (ug)]]/1000000)/291.99</f>
        <v>2.5343606732041546E-7</v>
      </c>
    </row>
  </sheetData>
  <conditionalFormatting sqref="A2:B12">
    <cfRule type="cellIs" dxfId="7" priority="3" operator="equal">
      <formula>"extractant"</formula>
    </cfRule>
    <cfRule type="cellIs" dxfId="6" priority="4" operator="equal">
      <formula>"water"</formula>
    </cfRule>
  </conditionalFormatting>
  <conditionalFormatting sqref="B13:B23">
    <cfRule type="cellIs" dxfId="5" priority="1" operator="equal">
      <formula>"extractant"</formula>
    </cfRule>
    <cfRule type="cellIs" dxfId="4" priority="2" operator="equal">
      <formula>"water"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6E52-C5DD-432E-A20E-895531F33086}">
  <dimension ref="A1:R23"/>
  <sheetViews>
    <sheetView tabSelected="1" zoomScale="80" zoomScaleNormal="80" workbookViewId="0">
      <selection activeCell="P9" sqref="P9"/>
    </sheetView>
  </sheetViews>
  <sheetFormatPr baseColWidth="10" defaultRowHeight="14.4" x14ac:dyDescent="0.3"/>
  <cols>
    <col min="1" max="1" width="9.88671875" customWidth="1"/>
    <col min="2" max="3" width="12" customWidth="1"/>
    <col min="4" max="4" width="18.77734375" customWidth="1"/>
    <col min="5" max="5" width="15.6640625" customWidth="1"/>
    <col min="6" max="6" width="17.109375" customWidth="1"/>
    <col min="7" max="7" width="13.5546875" bestFit="1" customWidth="1"/>
    <col min="8" max="8" width="15.109375" customWidth="1"/>
    <col min="10" max="10" width="9.21875" customWidth="1"/>
    <col min="11" max="11" width="11.33203125" customWidth="1"/>
    <col min="12" max="14" width="12.44140625" customWidth="1"/>
    <col min="15" max="16" width="20.21875" customWidth="1"/>
    <col min="17" max="17" width="17.88671875" customWidth="1"/>
  </cols>
  <sheetData>
    <row r="1" spans="1:18" s="27" customFormat="1" ht="46.8" customHeight="1" x14ac:dyDescent="0.3">
      <c r="A1" s="34" t="s">
        <v>35</v>
      </c>
      <c r="B1" s="35" t="s">
        <v>9</v>
      </c>
      <c r="C1" s="34" t="s">
        <v>22</v>
      </c>
      <c r="D1" s="34" t="s">
        <v>36</v>
      </c>
      <c r="E1" s="34" t="s">
        <v>18</v>
      </c>
      <c r="F1" s="34" t="s">
        <v>34</v>
      </c>
      <c r="G1" s="34" t="s">
        <v>39</v>
      </c>
      <c r="H1" s="34" t="s">
        <v>40</v>
      </c>
      <c r="J1"/>
      <c r="K1"/>
      <c r="L1" s="52">
        <v>0</v>
      </c>
      <c r="M1" s="52">
        <v>24</v>
      </c>
      <c r="N1" s="17" t="s">
        <v>37</v>
      </c>
      <c r="O1" s="53" t="s">
        <v>38</v>
      </c>
      <c r="P1" s="53" t="s">
        <v>41</v>
      </c>
      <c r="Q1" s="55" t="s">
        <v>42</v>
      </c>
      <c r="R1" s="57" t="s">
        <v>43</v>
      </c>
    </row>
    <row r="2" spans="1:18" x14ac:dyDescent="0.3">
      <c r="A2" s="36" t="s">
        <v>25</v>
      </c>
      <c r="B2" s="37" t="s">
        <v>7</v>
      </c>
      <c r="C2" s="44">
        <v>0</v>
      </c>
      <c r="D2" s="44" t="str">
        <f>partition113[[#This Row],[Membrane]]&amp;"_"&amp;partition113[[#This Row],[PHASE]]&amp;"_"&amp;partition113[[#This Row],[TIME]]</f>
        <v>POMS_water_0</v>
      </c>
      <c r="E2" s="40">
        <v>288414</v>
      </c>
      <c r="F2" s="47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24.013616127428197</v>
      </c>
      <c r="G2" s="45">
        <f>partition113[[#This Row],[CONCENTRATION (ug/mL)]]*3</f>
        <v>72.040848382284594</v>
      </c>
      <c r="H2" s="50">
        <f>(partition113[[#This Row],[PCB mass (ug)]]/1000000)/291.99</f>
        <v>2.4672368362712625E-7</v>
      </c>
      <c r="J2" s="51" t="s">
        <v>25</v>
      </c>
      <c r="K2" s="51" t="s">
        <v>7</v>
      </c>
      <c r="L2" s="67">
        <f>AVERAGEIF($D$2:$D$23,$J2&amp;"_"&amp;$K2&amp;"_"&amp;L$1,$F$2:$F$23)</f>
        <v>24.53892688378285</v>
      </c>
      <c r="M2" s="67">
        <f>AVERAGEIF($D$2:$D$23,$J2&amp;"_"&amp;$K2&amp;"_"&amp;M$1,$F$2:$F$23)</f>
        <v>19.349675103580395</v>
      </c>
      <c r="N2" s="66">
        <f>(L2-M2)*3</f>
        <v>15.567755340607363</v>
      </c>
      <c r="O2" s="54">
        <f>(N2*0.000001/291.9)/0.009</f>
        <v>5.9258327968510386E-6</v>
      </c>
      <c r="P2" s="54">
        <f>(M2*0.000001)/291.99</f>
        <v>6.6268280090346908E-8</v>
      </c>
      <c r="Q2" s="56">
        <f>(L2-M2)/L2</f>
        <v>0.21147020017537516</v>
      </c>
      <c r="R2" s="58">
        <f>O2/P2</f>
        <v>89.421858976452242</v>
      </c>
    </row>
    <row r="3" spans="1:18" x14ac:dyDescent="0.3">
      <c r="A3" s="28" t="s">
        <v>25</v>
      </c>
      <c r="B3" t="s">
        <v>7</v>
      </c>
      <c r="C3" s="41">
        <v>0</v>
      </c>
      <c r="D3" s="41" t="str">
        <f>partition113[[#This Row],[Membrane]]&amp;"_"&amp;partition113[[#This Row],[PHASE]]&amp;"_"&amp;partition113[[#This Row],[TIME]]</f>
        <v>POMS_water_0</v>
      </c>
      <c r="E3" s="40">
        <v>302636</v>
      </c>
      <c r="F3" s="48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25.064237640137499</v>
      </c>
      <c r="G3" s="43">
        <f>partition113[[#This Row],[CONCENTRATION (ug/mL)]]*3</f>
        <v>75.192712920412504</v>
      </c>
      <c r="H3" s="50">
        <f>(partition113[[#This Row],[PCB mass (ug)]]/1000000)/291.99</f>
        <v>2.5751810993668446E-7</v>
      </c>
      <c r="J3" s="51" t="s">
        <v>25</v>
      </c>
      <c r="K3" s="51" t="s">
        <v>8</v>
      </c>
      <c r="L3" s="67">
        <f t="shared" ref="L3:M5" si="0">AVERAGEIF($D$2:$D$23,$J3&amp;"_"&amp;$K3&amp;"_"&amp;L$1,$F$2:$F$23)</f>
        <v>24.880918170919447</v>
      </c>
      <c r="M3" s="67">
        <f t="shared" si="0"/>
        <v>23.341944618253368</v>
      </c>
      <c r="N3" s="66">
        <f t="shared" ref="N3:N5" si="1">(L3-M3)*3</f>
        <v>4.6169206579982358</v>
      </c>
      <c r="O3" s="54">
        <f t="shared" ref="O3:O5" si="2">(N3*0.000001/291.9)/0.009</f>
        <v>1.7574209805482228E-6</v>
      </c>
      <c r="P3" s="54">
        <f t="shared" ref="P3:P5" si="3">(M3*0.000001)/291.99</f>
        <v>7.9940904203066432E-8</v>
      </c>
      <c r="Q3" s="56">
        <f t="shared" ref="Q3:Q5" si="4">(L3-M3)/L3</f>
        <v>6.1853567544979692E-2</v>
      </c>
      <c r="R3" s="58">
        <f t="shared" ref="R3:R5" si="5">O3/P3</f>
        <v>21.984001783167351</v>
      </c>
    </row>
    <row r="4" spans="1:18" x14ac:dyDescent="0.3">
      <c r="A4" s="28" t="s">
        <v>25</v>
      </c>
      <c r="B4" t="s">
        <v>7</v>
      </c>
      <c r="C4">
        <v>24</v>
      </c>
      <c r="D4" t="str">
        <f>partition113[[#This Row],[Membrane]]&amp;"_"&amp;partition113[[#This Row],[PHASE]]&amp;"_"&amp;partition113[[#This Row],[TIME]]</f>
        <v>POMS_water_24</v>
      </c>
      <c r="E4" s="1">
        <v>223763.20582499157</v>
      </c>
      <c r="F4" s="1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19.237669342587449</v>
      </c>
      <c r="G4" s="38">
        <f>partition113[[#This Row],[CONCENTRATION (ug/mL)]]*3</f>
        <v>57.713008027762342</v>
      </c>
      <c r="H4" s="50">
        <f>(partition113[[#This Row],[PCB mass (ug)]]/1000000)/291.99</f>
        <v>1.976540567408553E-7</v>
      </c>
      <c r="J4" s="51" t="s">
        <v>26</v>
      </c>
      <c r="K4" s="51" t="s">
        <v>7</v>
      </c>
      <c r="L4" s="67">
        <f t="shared" si="0"/>
        <v>24.7213369255084</v>
      </c>
      <c r="M4" s="67">
        <f t="shared" si="0"/>
        <v>16.976265327554827</v>
      </c>
      <c r="N4" s="66">
        <f t="shared" si="1"/>
        <v>23.235214793860717</v>
      </c>
      <c r="O4" s="54">
        <f t="shared" si="2"/>
        <v>8.8444348497814024E-6</v>
      </c>
      <c r="P4" s="54">
        <f t="shared" si="3"/>
        <v>5.8139886049367535E-8</v>
      </c>
      <c r="Q4" s="56">
        <f t="shared" si="4"/>
        <v>0.31329501399100784</v>
      </c>
      <c r="R4" s="58">
        <f t="shared" si="5"/>
        <v>152.12336058366967</v>
      </c>
    </row>
    <row r="5" spans="1:18" x14ac:dyDescent="0.3">
      <c r="A5" s="28" t="s">
        <v>25</v>
      </c>
      <c r="B5" t="s">
        <v>7</v>
      </c>
      <c r="C5">
        <v>24</v>
      </c>
      <c r="D5" t="str">
        <f>partition113[[#This Row],[Membrane]]&amp;"_"&amp;partition113[[#This Row],[PHASE]]&amp;"_"&amp;partition113[[#This Row],[TIME]]</f>
        <v>POMS_water_24</v>
      </c>
      <c r="E5" s="1">
        <v>226676.54026589304</v>
      </c>
      <c r="F5" s="1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19.452886037660434</v>
      </c>
      <c r="G5" s="38">
        <f>partition113[[#This Row],[CONCENTRATION (ug/mL)]]*3</f>
        <v>58.358658112981303</v>
      </c>
      <c r="H5" s="50">
        <f>(partition113[[#This Row],[PCB mass (ug)]]/1000000)/291.99</f>
        <v>1.9986526289592556E-7</v>
      </c>
      <c r="J5" s="51" t="s">
        <v>26</v>
      </c>
      <c r="K5" s="51" t="s">
        <v>8</v>
      </c>
      <c r="L5" s="67">
        <f t="shared" si="0"/>
        <v>24.768558367463331</v>
      </c>
      <c r="M5" s="67">
        <f t="shared" si="0"/>
        <v>24.424245249746438</v>
      </c>
      <c r="N5" s="66">
        <f t="shared" si="1"/>
        <v>1.032939353150681</v>
      </c>
      <c r="O5" s="54">
        <f t="shared" si="2"/>
        <v>3.9318615703653494E-7</v>
      </c>
      <c r="P5" s="54">
        <f t="shared" si="3"/>
        <v>8.3647540154616383E-8</v>
      </c>
      <c r="Q5" s="56">
        <f t="shared" si="4"/>
        <v>1.3901217527831291E-2</v>
      </c>
      <c r="R5" s="58">
        <f t="shared" si="5"/>
        <v>4.7005106941550103</v>
      </c>
    </row>
    <row r="6" spans="1:18" x14ac:dyDescent="0.3">
      <c r="A6" s="28" t="s">
        <v>25</v>
      </c>
      <c r="B6" t="s">
        <v>7</v>
      </c>
      <c r="C6">
        <v>24</v>
      </c>
      <c r="D6" t="str">
        <f>partition113[[#This Row],[Membrane]]&amp;"_"&amp;partition113[[#This Row],[PHASE]]&amp;"_"&amp;partition113[[#This Row],[TIME]]</f>
        <v>POMS_water_24</v>
      </c>
      <c r="E6" s="1">
        <v>225398.45309569198</v>
      </c>
      <c r="F6" s="1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19.3584699304933</v>
      </c>
      <c r="G6" s="38">
        <f>partition113[[#This Row],[CONCENTRATION (ug/mL)]]*3</f>
        <v>58.075409791479899</v>
      </c>
      <c r="H6" s="50">
        <f>(partition113[[#This Row],[PCB mass (ug)]]/1000000)/291.99</f>
        <v>1.988952011763413E-7</v>
      </c>
    </row>
    <row r="7" spans="1:18" x14ac:dyDescent="0.3">
      <c r="A7" s="28" t="s">
        <v>25</v>
      </c>
      <c r="B7" t="s">
        <v>8</v>
      </c>
      <c r="C7" s="41">
        <v>0</v>
      </c>
      <c r="D7" s="41" t="str">
        <f>partition113[[#This Row],[Membrane]]&amp;"_"&amp;partition113[[#This Row],[PHASE]]&amp;"_"&amp;partition113[[#This Row],[TIME]]</f>
        <v>POMS_extractant_0</v>
      </c>
      <c r="E7" s="46">
        <v>4944909.5111729223</v>
      </c>
      <c r="F7" s="4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24.70073986297562</v>
      </c>
      <c r="G7" s="43">
        <f>partition113[[#This Row],[CONCENTRATION (ug/mL)]]*3</f>
        <v>74.102219588926857</v>
      </c>
      <c r="H7" s="50">
        <f>(partition113[[#This Row],[PCB mass (ug)]]/1000000)/291.99</f>
        <v>2.5378341583248345E-7</v>
      </c>
    </row>
    <row r="8" spans="1:18" x14ac:dyDescent="0.3">
      <c r="A8" s="28" t="s">
        <v>25</v>
      </c>
      <c r="B8" t="s">
        <v>8</v>
      </c>
      <c r="C8" s="41">
        <v>0</v>
      </c>
      <c r="D8" s="41" t="str">
        <f>partition113[[#This Row],[Membrane]]&amp;"_"&amp;partition113[[#This Row],[PHASE]]&amp;"_"&amp;partition113[[#This Row],[TIME]]</f>
        <v>POMS_extractant_0</v>
      </c>
      <c r="E8" s="46">
        <v>5116781.8364677504</v>
      </c>
      <c r="F8" s="4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25.583209555905842</v>
      </c>
      <c r="G8" s="43">
        <f>partition113[[#This Row],[CONCENTRATION (ug/mL)]]*3</f>
        <v>76.749628667717531</v>
      </c>
      <c r="H8" s="50">
        <f>(partition113[[#This Row],[PCB mass (ug)]]/1000000)/291.99</f>
        <v>2.6285019578655958E-7</v>
      </c>
    </row>
    <row r="9" spans="1:18" x14ac:dyDescent="0.3">
      <c r="A9" s="28" t="s">
        <v>25</v>
      </c>
      <c r="B9" t="s">
        <v>8</v>
      </c>
      <c r="C9" s="41">
        <v>0</v>
      </c>
      <c r="D9" s="41" t="str">
        <f>partition113[[#This Row],[Membrane]]&amp;"_"&amp;partition113[[#This Row],[PHASE]]&amp;"_"&amp;partition113[[#This Row],[TIME]]</f>
        <v>POMS_extractant_0</v>
      </c>
      <c r="E9" s="46">
        <v>4878313.316045803</v>
      </c>
      <c r="F9" s="4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24.358805093876885</v>
      </c>
      <c r="G9" s="43">
        <f>partition113[[#This Row],[CONCENTRATION (ug/mL)]]*3</f>
        <v>73.076415281630659</v>
      </c>
      <c r="H9" s="50">
        <f>(partition113[[#This Row],[PCB mass (ug)]]/1000000)/291.99</f>
        <v>2.502702670695252E-7</v>
      </c>
      <c r="J9" s="49"/>
    </row>
    <row r="10" spans="1:18" x14ac:dyDescent="0.3">
      <c r="A10" s="28" t="s">
        <v>25</v>
      </c>
      <c r="B10" t="s">
        <v>8</v>
      </c>
      <c r="C10">
        <v>24</v>
      </c>
      <c r="D10" t="str">
        <f>partition113[[#This Row],[Membrane]]&amp;"_"&amp;partition113[[#This Row],[PHASE]]&amp;"_"&amp;partition113[[#This Row],[TIME]]</f>
        <v>POMS_extractant_24</v>
      </c>
      <c r="E10" s="32">
        <v>4528543.6923984</v>
      </c>
      <c r="F10" s="1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22.562930790978093</v>
      </c>
      <c r="G10" s="38">
        <f>partition113[[#This Row],[CONCENTRATION (ug/mL)]]*3</f>
        <v>67.688792372934273</v>
      </c>
      <c r="H10" s="50">
        <f>(partition113[[#This Row],[PCB mass (ug)]]/1000000)/291.99</f>
        <v>2.3181887178647989E-7</v>
      </c>
    </row>
    <row r="11" spans="1:18" x14ac:dyDescent="0.3">
      <c r="A11" s="28" t="s">
        <v>25</v>
      </c>
      <c r="B11" t="s">
        <v>8</v>
      </c>
      <c r="C11">
        <v>24</v>
      </c>
      <c r="D11" t="str">
        <f>partition113[[#This Row],[Membrane]]&amp;"_"&amp;partition113[[#This Row],[PHASE]]&amp;"_"&amp;partition113[[#This Row],[TIME]]</f>
        <v>POMS_extractant_24</v>
      </c>
      <c r="E11" s="32">
        <v>4809399.5147587014</v>
      </c>
      <c r="F11" s="1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24.004970694091096</v>
      </c>
      <c r="G11" s="38">
        <f>partition113[[#This Row],[CONCENTRATION (ug/mL)]]*3</f>
        <v>72.014912082273284</v>
      </c>
      <c r="H11" s="50">
        <f>(partition113[[#This Row],[PCB mass (ug)]]/1000000)/291.99</f>
        <v>2.4663485763989614E-7</v>
      </c>
    </row>
    <row r="12" spans="1:18" x14ac:dyDescent="0.3">
      <c r="A12" s="28" t="s">
        <v>25</v>
      </c>
      <c r="B12" t="s">
        <v>8</v>
      </c>
      <c r="C12">
        <v>24</v>
      </c>
      <c r="D12" t="str">
        <f>partition113[[#This Row],[Membrane]]&amp;"_"&amp;partition113[[#This Row],[PHASE]]&amp;"_"&amp;partition113[[#This Row],[TIME]]</f>
        <v>POMS_extractant_24</v>
      </c>
      <c r="E12" s="32">
        <v>4702856.763666763</v>
      </c>
      <c r="F12" s="1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23.457932369690926</v>
      </c>
      <c r="G12" s="38">
        <f>partition113[[#This Row],[CONCENTRATION (ug/mL)]]*3</f>
        <v>70.373797109072783</v>
      </c>
      <c r="H12" s="50">
        <f>(partition113[[#This Row],[PCB mass (ug)]]/1000000)/291.99</f>
        <v>2.4101440840122189E-7</v>
      </c>
      <c r="K12" s="66"/>
    </row>
    <row r="13" spans="1:18" x14ac:dyDescent="0.3">
      <c r="A13" s="28" t="s">
        <v>26</v>
      </c>
      <c r="B13" t="s">
        <v>7</v>
      </c>
      <c r="C13" s="44">
        <v>0</v>
      </c>
      <c r="D13" s="41" t="str">
        <f>partition113[[#This Row],[Membrane]]&amp;"_"&amp;partition113[[#This Row],[PHASE]]&amp;"_"&amp;partition113[[#This Row],[TIME]]</f>
        <v>PEBA_water_0</v>
      </c>
      <c r="E13" s="40">
        <v>287879.50699999998</v>
      </c>
      <c r="F13" s="4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23.974131537061684</v>
      </c>
      <c r="G13" s="43">
        <f>partition113[[#This Row],[CONCENTRATION (ug/mL)]]*3</f>
        <v>71.922394611185055</v>
      </c>
      <c r="H13" s="50">
        <f>(partition113[[#This Row],[PCB mass (ug)]]/1000000)/291.99</f>
        <v>2.4631800613440546E-7</v>
      </c>
    </row>
    <row r="14" spans="1:18" x14ac:dyDescent="0.3">
      <c r="A14" s="28" t="s">
        <v>26</v>
      </c>
      <c r="B14" t="s">
        <v>7</v>
      </c>
      <c r="C14" s="41">
        <v>0</v>
      </c>
      <c r="D14" s="41" t="str">
        <f>partition113[[#This Row],[Membrane]]&amp;"_"&amp;partition113[[#This Row],[PHASE]]&amp;"_"&amp;partition113[[#This Row],[TIME]]</f>
        <v>PEBA_water_0</v>
      </c>
      <c r="E14" s="40">
        <v>308108.97100000002</v>
      </c>
      <c r="F14" s="4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25.468542313955115</v>
      </c>
      <c r="G14" s="43">
        <f>partition113[[#This Row],[CONCENTRATION (ug/mL)]]*3</f>
        <v>76.40562694186535</v>
      </c>
      <c r="H14" s="50">
        <f>(partition113[[#This Row],[PCB mass (ug)]]/1000000)/291.99</f>
        <v>2.6167206733746139E-7</v>
      </c>
    </row>
    <row r="15" spans="1:18" x14ac:dyDescent="0.3">
      <c r="A15" s="28" t="s">
        <v>26</v>
      </c>
      <c r="B15" t="s">
        <v>7</v>
      </c>
      <c r="C15">
        <v>24</v>
      </c>
      <c r="D15" t="str">
        <f>partition113[[#This Row],[Membrane]]&amp;"_"&amp;partition113[[#This Row],[PHASE]]&amp;"_"&amp;partition113[[#This Row],[TIME]]</f>
        <v>PEBA_water_24</v>
      </c>
      <c r="E15" s="1">
        <v>193775.31837208488</v>
      </c>
      <c r="F15" s="1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17.022374751198814</v>
      </c>
      <c r="G15" s="38">
        <f>partition113[[#This Row],[CONCENTRATION (ug/mL)]]*3</f>
        <v>51.067124253596447</v>
      </c>
      <c r="H15" s="50">
        <f>(partition113[[#This Row],[PCB mass (ug)]]/1000000)/291.99</f>
        <v>1.7489340132743054E-7</v>
      </c>
    </row>
    <row r="16" spans="1:18" x14ac:dyDescent="0.3">
      <c r="A16" s="28" t="s">
        <v>26</v>
      </c>
      <c r="B16" t="s">
        <v>7</v>
      </c>
      <c r="C16">
        <v>24</v>
      </c>
      <c r="D16" t="str">
        <f>partition113[[#This Row],[Membrane]]&amp;"_"&amp;partition113[[#This Row],[PHASE]]&amp;"_"&amp;partition113[[#This Row],[TIME]]</f>
        <v>PEBA_water_24</v>
      </c>
      <c r="E16" s="1">
        <v>193777.8810517439</v>
      </c>
      <c r="F16" s="1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17.022564063980418</v>
      </c>
      <c r="G16" s="38">
        <f>partition113[[#This Row],[CONCENTRATION (ug/mL)]]*3</f>
        <v>51.067692191941255</v>
      </c>
      <c r="H16" s="50">
        <f>(partition113[[#This Row],[PCB mass (ug)]]/1000000)/291.99</f>
        <v>1.7489534638837375E-7</v>
      </c>
    </row>
    <row r="17" spans="1:8" x14ac:dyDescent="0.3">
      <c r="A17" s="28" t="s">
        <v>26</v>
      </c>
      <c r="B17" t="s">
        <v>7</v>
      </c>
      <c r="C17">
        <v>24</v>
      </c>
      <c r="D17" t="str">
        <f>partition113[[#This Row],[Membrane]]&amp;"_"&amp;partition113[[#This Row],[PHASE]]&amp;"_"&amp;partition113[[#This Row],[TIME]]</f>
        <v>PEBA_water_24</v>
      </c>
      <c r="E17" s="1">
        <v>191900.24057123699</v>
      </c>
      <c r="F17" s="1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16.883857167485242</v>
      </c>
      <c r="G17" s="38">
        <f>partition113[[#This Row],[CONCENTRATION (ug/mL)]]*3</f>
        <v>50.651571502455724</v>
      </c>
      <c r="H17" s="50">
        <f>(partition113[[#This Row],[PCB mass (ug)]]/1000000)/291.99</f>
        <v>1.7347022672850345E-7</v>
      </c>
    </row>
    <row r="18" spans="1:8" x14ac:dyDescent="0.3">
      <c r="A18" s="28" t="s">
        <v>26</v>
      </c>
      <c r="B18" t="s">
        <v>8</v>
      </c>
      <c r="C18" s="41">
        <v>0</v>
      </c>
      <c r="D18" s="41" t="str">
        <f>partition113[[#This Row],[Membrane]]&amp;"_"&amp;partition113[[#This Row],[PHASE]]&amp;"_"&amp;partition113[[#This Row],[TIME]]</f>
        <v>PEBA_extractant_0</v>
      </c>
      <c r="E18" s="40">
        <v>5010403.1907939846</v>
      </c>
      <c r="F18" s="4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25.037013822409907</v>
      </c>
      <c r="G18" s="43">
        <f>partition113[[#This Row],[CONCENTRATION (ug/mL)]]*3</f>
        <v>75.111041467229725</v>
      </c>
      <c r="H18" s="50">
        <f>(partition113[[#This Row],[PCB mass (ug)]]/1000000)/291.99</f>
        <v>2.5723840360022509E-7</v>
      </c>
    </row>
    <row r="19" spans="1:8" x14ac:dyDescent="0.3">
      <c r="A19" s="28" t="s">
        <v>26</v>
      </c>
      <c r="B19" t="s">
        <v>8</v>
      </c>
      <c r="C19" s="41">
        <v>0</v>
      </c>
      <c r="D19" s="41" t="str">
        <f>partition113[[#This Row],[Membrane]]&amp;"_"&amp;partition113[[#This Row],[PHASE]]&amp;"_"&amp;partition113[[#This Row],[TIME]]</f>
        <v>PEBA_extractant_0</v>
      </c>
      <c r="E19" s="40">
        <v>4874165.1839176463</v>
      </c>
      <c r="F19" s="4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24.337506720918416</v>
      </c>
      <c r="G19" s="43">
        <f>partition113[[#This Row],[CONCENTRATION (ug/mL)]]*3</f>
        <v>73.012520162755251</v>
      </c>
      <c r="H19" s="50">
        <f>(partition113[[#This Row],[PCB mass (ug)]]/1000000)/291.99</f>
        <v>2.5005144067521234E-7</v>
      </c>
    </row>
    <row r="20" spans="1:8" x14ac:dyDescent="0.3">
      <c r="A20" s="28" t="s">
        <v>26</v>
      </c>
      <c r="B20" t="s">
        <v>8</v>
      </c>
      <c r="C20" s="41">
        <v>0</v>
      </c>
      <c r="D20" s="41" t="str">
        <f>partition113[[#This Row],[Membrane]]&amp;"_"&amp;partition113[[#This Row],[PHASE]]&amp;"_"&amp;partition113[[#This Row],[TIME]]</f>
        <v>PEBA_extractant_0</v>
      </c>
      <c r="E20" s="40">
        <v>4989785.7374225901</v>
      </c>
      <c r="F20" s="4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24.931154559061678</v>
      </c>
      <c r="G20" s="43">
        <f>partition113[[#This Row],[CONCENTRATION (ug/mL)]]*3</f>
        <v>74.793463677185031</v>
      </c>
      <c r="H20" s="50">
        <f>(partition113[[#This Row],[PCB mass (ug)]]/1000000)/291.99</f>
        <v>2.5615077118115353E-7</v>
      </c>
    </row>
    <row r="21" spans="1:8" x14ac:dyDescent="0.3">
      <c r="A21" s="28" t="s">
        <v>26</v>
      </c>
      <c r="B21" t="s">
        <v>8</v>
      </c>
      <c r="C21">
        <v>24</v>
      </c>
      <c r="D21" t="str">
        <f>partition113[[#This Row],[Membrane]]&amp;"_"&amp;partition113[[#This Row],[PHASE]]&amp;"_"&amp;partition113[[#This Row],[TIME]]</f>
        <v>PEBA_extractant_24</v>
      </c>
      <c r="E21" s="1">
        <v>4872267.8019131497</v>
      </c>
      <c r="F21" s="1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24.327764709736527</v>
      </c>
      <c r="G21" s="38">
        <f>partition113[[#This Row],[CONCENTRATION (ug/mL)]]*3</f>
        <v>72.983294129209582</v>
      </c>
      <c r="H21" s="50">
        <f>(partition113[[#This Row],[PCB mass (ug)]]/1000000)/291.99</f>
        <v>2.4995134809140582E-7</v>
      </c>
    </row>
    <row r="22" spans="1:8" x14ac:dyDescent="0.3">
      <c r="A22" s="28" t="s">
        <v>26</v>
      </c>
      <c r="B22" t="s">
        <v>8</v>
      </c>
      <c r="C22">
        <v>24</v>
      </c>
      <c r="D22" t="str">
        <f>partition113[[#This Row],[Membrane]]&amp;"_"&amp;partition113[[#This Row],[PHASE]]&amp;"_"&amp;partition113[[#This Row],[TIME]]</f>
        <v>PEBA_extractant_24</v>
      </c>
      <c r="E22" s="1">
        <v>4862583.0037403498</v>
      </c>
      <c r="F22" s="12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24.278038607206749</v>
      </c>
      <c r="G22" s="38">
        <f>partition113[[#This Row],[CONCENTRATION (ug/mL)]]*3</f>
        <v>72.834115821620244</v>
      </c>
      <c r="H22" s="50">
        <f>(partition113[[#This Row],[PCB mass (ug)]]/1000000)/291.99</f>
        <v>2.4944044597972613E-7</v>
      </c>
    </row>
    <row r="23" spans="1:8" x14ac:dyDescent="0.3">
      <c r="A23" s="29" t="s">
        <v>26</v>
      </c>
      <c r="B23" s="30" t="s">
        <v>8</v>
      </c>
      <c r="C23">
        <v>24</v>
      </c>
      <c r="D23" t="str">
        <f>partition113[[#This Row],[Membrane]]&amp;"_"&amp;partition113[[#This Row],[PHASE]]&amp;"_"&amp;partition113[[#This Row],[TIME]]</f>
        <v>PEBA_extractant_24</v>
      </c>
      <c r="E23" s="33">
        <v>4938325.0791298803</v>
      </c>
      <c r="F23" s="31">
        <f>IF(partition113[[#This Row],[PHASE]]="water",(partition113[[#This Row],[AREA]]-'Calibration curves'!$L$3)/'Calibration curves'!$K$3,IF(partition113[[#This Row],[PHASE]]="extractant",(partition113[[#This Row],[AREA]]-'Calibration curves'!$I$3)/'Calibration curves'!$H$3))</f>
        <v>24.66693243229604</v>
      </c>
      <c r="G23" s="39">
        <f>partition113[[#This Row],[CONCENTRATION (ug/mL)]]*3</f>
        <v>74.000797296888123</v>
      </c>
      <c r="H23" s="50">
        <f>(partition113[[#This Row],[PCB mass (ug)]]/1000000)/291.99</f>
        <v>2.5343606732041546E-7</v>
      </c>
    </row>
  </sheetData>
  <conditionalFormatting sqref="A2:B12">
    <cfRule type="cellIs" dxfId="3" priority="3" operator="equal">
      <formula>"extractant"</formula>
    </cfRule>
    <cfRule type="cellIs" dxfId="2" priority="4" operator="equal">
      <formula>"water"</formula>
    </cfRule>
  </conditionalFormatting>
  <conditionalFormatting sqref="B13:B23">
    <cfRule type="cellIs" dxfId="1" priority="1" operator="equal">
      <formula>"extractant"</formula>
    </cfRule>
    <cfRule type="cellIs" dxfId="0" priority="2" operator="equal">
      <formula>"water"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Figures</vt:lpstr>
      <vt:lpstr>Calibration curves</vt:lpstr>
      <vt:lpstr>milk_POMS</vt:lpstr>
      <vt:lpstr>water_PEBA</vt:lpstr>
      <vt:lpstr>milk_PEBA</vt:lpstr>
      <vt:lpstr>water_POMS</vt:lpstr>
      <vt:lpstr>Partition Constants</vt:lpstr>
      <vt:lpstr>Partition Constants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villegas</dc:creator>
  <cp:lastModifiedBy>marco villegas</cp:lastModifiedBy>
  <dcterms:created xsi:type="dcterms:W3CDTF">2022-10-14T17:02:57Z</dcterms:created>
  <dcterms:modified xsi:type="dcterms:W3CDTF">2025-04-30T01:40:18Z</dcterms:modified>
</cp:coreProperties>
</file>