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co\python-projects\rsm_design\"/>
    </mc:Choice>
  </mc:AlternateContent>
  <xr:revisionPtr revIDLastSave="0" documentId="13_ncr:1_{AA6C0B4C-771F-4EBF-A98A-DED985E1F5CD}" xr6:coauthVersionLast="47" xr6:coauthVersionMax="47" xr10:uidLastSave="{00000000-0000-0000-0000-000000000000}"/>
  <bookViews>
    <workbookView xWindow="-108" yWindow="-108" windowWidth="23256" windowHeight="12456" tabRatio="672" firstSheet="2" activeTab="7" xr2:uid="{00000000-000D-0000-FFFF-FFFF00000000}"/>
  </bookViews>
  <sheets>
    <sheet name="NOTATION" sheetId="20" r:id="rId1"/>
    <sheet name="Calibration_Curve" sheetId="1" r:id="rId2"/>
    <sheet name="CCD_1" sheetId="5" r:id="rId3"/>
    <sheet name="CCD_2" sheetId="8" r:id="rId4"/>
    <sheet name="CCD_3" sheetId="12" r:id="rId5"/>
    <sheet name="Run_1" sheetId="21" r:id="rId6"/>
    <sheet name="Run_2" sheetId="22" r:id="rId7"/>
    <sheet name="Screening_3" sheetId="24" r:id="rId8"/>
    <sheet name="RSM_3" sheetId="19" r:id="rId9"/>
    <sheet name="Optimization" sheetId="23" r:id="rId10"/>
    <sheet name="Real_matrix" sheetId="25" r:id="rId11"/>
    <sheet name="Aqueous solutions" sheetId="14" r:id="rId12"/>
  </sheets>
  <definedNames>
    <definedName name="solver_adj" localSheetId="2" hidden="1">CCD_1!$E$8</definedName>
    <definedName name="solver_adj" localSheetId="3" hidden="1">CCD_2!$E$8</definedName>
    <definedName name="solver_adj" localSheetId="4" hidden="1">CCD_3!$E$8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2" hidden="1">CCD_1!$B$9</definedName>
    <definedName name="solver_opt" localSheetId="3" hidden="1">CCD_2!$B$9</definedName>
    <definedName name="solver_opt" localSheetId="4" hidden="1">CCD_3!$H$26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2" hidden="1">3</definedName>
    <definedName name="solver_typ" localSheetId="3" hidden="1">3</definedName>
    <definedName name="solver_typ" localSheetId="4" hidden="1">3</definedName>
    <definedName name="solver_val" localSheetId="2" hidden="1">100</definedName>
    <definedName name="solver_val" localSheetId="3" hidden="1">100</definedName>
    <definedName name="solver_val" localSheetId="4" hidden="1">30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25" l="1"/>
  <c r="O20" i="25" s="1"/>
  <c r="P20" i="25" s="1"/>
  <c r="I20" i="25"/>
  <c r="H20" i="25"/>
  <c r="N19" i="25"/>
  <c r="O19" i="25" s="1"/>
  <c r="I19" i="25"/>
  <c r="H19" i="25"/>
  <c r="P19" i="25" s="1"/>
  <c r="N18" i="25"/>
  <c r="O18" i="25" s="1"/>
  <c r="P18" i="25" s="1"/>
  <c r="I18" i="25"/>
  <c r="J18" i="25" s="1"/>
  <c r="K18" i="25" s="1"/>
  <c r="H18" i="25"/>
  <c r="N17" i="25"/>
  <c r="O17" i="25" s="1"/>
  <c r="I17" i="25"/>
  <c r="H17" i="25"/>
  <c r="P17" i="25" s="1"/>
  <c r="N16" i="25"/>
  <c r="O16" i="25" s="1"/>
  <c r="I16" i="25"/>
  <c r="J16" i="25" s="1"/>
  <c r="K16" i="25" s="1"/>
  <c r="H16" i="25"/>
  <c r="N15" i="25"/>
  <c r="O15" i="25" s="1"/>
  <c r="I15" i="25"/>
  <c r="H15" i="25"/>
  <c r="P15" i="25" s="1"/>
  <c r="N14" i="25"/>
  <c r="O14" i="25" s="1"/>
  <c r="I14" i="25"/>
  <c r="H14" i="25"/>
  <c r="P14" i="25" s="1"/>
  <c r="N13" i="25"/>
  <c r="O13" i="25" s="1"/>
  <c r="P13" i="25" s="1"/>
  <c r="I13" i="25"/>
  <c r="H13" i="25"/>
  <c r="N12" i="25"/>
  <c r="O12" i="25" s="1"/>
  <c r="I12" i="25"/>
  <c r="H12" i="25"/>
  <c r="N11" i="25"/>
  <c r="O11" i="25" s="1"/>
  <c r="I11" i="25"/>
  <c r="H11" i="25"/>
  <c r="N10" i="25"/>
  <c r="O10" i="25" s="1"/>
  <c r="I10" i="25"/>
  <c r="H10" i="25"/>
  <c r="P10" i="25" s="1"/>
  <c r="N9" i="25"/>
  <c r="O9" i="25" s="1"/>
  <c r="I9" i="25"/>
  <c r="J9" i="25" s="1"/>
  <c r="K9" i="25" s="1"/>
  <c r="H9" i="25"/>
  <c r="N8" i="25"/>
  <c r="O8" i="25" s="1"/>
  <c r="I8" i="25"/>
  <c r="H8" i="25"/>
  <c r="N7" i="25"/>
  <c r="O7" i="25" s="1"/>
  <c r="I7" i="25"/>
  <c r="H7" i="25"/>
  <c r="P7" i="25" s="1"/>
  <c r="N6" i="25"/>
  <c r="O6" i="25" s="1"/>
  <c r="I6" i="25"/>
  <c r="H6" i="25"/>
  <c r="P6" i="25" s="1"/>
  <c r="N5" i="25"/>
  <c r="O5" i="25" s="1"/>
  <c r="I5" i="25"/>
  <c r="H5" i="25"/>
  <c r="P5" i="25" s="1"/>
  <c r="N25" i="24"/>
  <c r="O25" i="24" s="1"/>
  <c r="I25" i="24"/>
  <c r="H25" i="24"/>
  <c r="N24" i="24"/>
  <c r="O24" i="24" s="1"/>
  <c r="I24" i="24"/>
  <c r="H24" i="24"/>
  <c r="N23" i="24"/>
  <c r="O23" i="24" s="1"/>
  <c r="I23" i="24"/>
  <c r="J23" i="24" s="1"/>
  <c r="K23" i="24" s="1"/>
  <c r="H23" i="24"/>
  <c r="N22" i="24"/>
  <c r="O22" i="24" s="1"/>
  <c r="I22" i="24"/>
  <c r="H22" i="24"/>
  <c r="P22" i="24" s="1"/>
  <c r="N21" i="24"/>
  <c r="O21" i="24" s="1"/>
  <c r="I21" i="24"/>
  <c r="H21" i="24"/>
  <c r="N20" i="24"/>
  <c r="O20" i="24" s="1"/>
  <c r="I20" i="24"/>
  <c r="H20" i="24"/>
  <c r="P20" i="24" s="1"/>
  <c r="N19" i="24"/>
  <c r="O19" i="24" s="1"/>
  <c r="I19" i="24"/>
  <c r="H19" i="24"/>
  <c r="O18" i="24"/>
  <c r="N18" i="24"/>
  <c r="I18" i="24"/>
  <c r="H18" i="24"/>
  <c r="N17" i="24"/>
  <c r="O17" i="24" s="1"/>
  <c r="I17" i="24"/>
  <c r="J17" i="24" s="1"/>
  <c r="K17" i="24" s="1"/>
  <c r="H17" i="24"/>
  <c r="P17" i="24" s="1"/>
  <c r="N16" i="24"/>
  <c r="O16" i="24" s="1"/>
  <c r="P16" i="24" s="1"/>
  <c r="I16" i="24"/>
  <c r="J16" i="24" s="1"/>
  <c r="K16" i="24" s="1"/>
  <c r="H16" i="24"/>
  <c r="N15" i="24"/>
  <c r="O15" i="24" s="1"/>
  <c r="I15" i="24"/>
  <c r="H15" i="24"/>
  <c r="P15" i="24" s="1"/>
  <c r="N14" i="24"/>
  <c r="O14" i="24" s="1"/>
  <c r="P14" i="24" s="1"/>
  <c r="I14" i="24"/>
  <c r="J14" i="24" s="1"/>
  <c r="K14" i="24" s="1"/>
  <c r="H14" i="24"/>
  <c r="N13" i="24"/>
  <c r="O13" i="24" s="1"/>
  <c r="I13" i="24"/>
  <c r="H13" i="24"/>
  <c r="P13" i="24" s="1"/>
  <c r="N12" i="24"/>
  <c r="O12" i="24" s="1"/>
  <c r="I12" i="24"/>
  <c r="J12" i="24" s="1"/>
  <c r="H12" i="24"/>
  <c r="N11" i="24"/>
  <c r="O11" i="24" s="1"/>
  <c r="P11" i="24" s="1"/>
  <c r="I11" i="24"/>
  <c r="H11" i="24"/>
  <c r="N10" i="24"/>
  <c r="O10" i="24" s="1"/>
  <c r="I10" i="24"/>
  <c r="J10" i="24" s="1"/>
  <c r="H10" i="24"/>
  <c r="P10" i="24" s="1"/>
  <c r="N9" i="24"/>
  <c r="O9" i="24" s="1"/>
  <c r="P9" i="24" s="1"/>
  <c r="I9" i="24"/>
  <c r="H9" i="24"/>
  <c r="N8" i="24"/>
  <c r="O8" i="24" s="1"/>
  <c r="I8" i="24"/>
  <c r="J8" i="24" s="1"/>
  <c r="H8" i="24"/>
  <c r="N7" i="24"/>
  <c r="O7" i="24" s="1"/>
  <c r="P7" i="24" s="1"/>
  <c r="I7" i="24"/>
  <c r="J7" i="24" s="1"/>
  <c r="K7" i="24" s="1"/>
  <c r="H7" i="24"/>
  <c r="N6" i="24"/>
  <c r="O6" i="24" s="1"/>
  <c r="I6" i="24"/>
  <c r="H6" i="24"/>
  <c r="P6" i="24" s="1"/>
  <c r="N5" i="24"/>
  <c r="O5" i="24" s="1"/>
  <c r="P5" i="24" s="1"/>
  <c r="I5" i="24"/>
  <c r="J5" i="24" s="1"/>
  <c r="K5" i="24" s="1"/>
  <c r="H5" i="24"/>
  <c r="P9" i="25" l="1"/>
  <c r="P16" i="25"/>
  <c r="P11" i="25"/>
  <c r="J7" i="25"/>
  <c r="K7" i="25" s="1"/>
  <c r="K13" i="25"/>
  <c r="J5" i="25"/>
  <c r="K5" i="25" s="1"/>
  <c r="P8" i="25"/>
  <c r="P12" i="25"/>
  <c r="J14" i="25"/>
  <c r="K14" i="25" s="1"/>
  <c r="J12" i="25"/>
  <c r="K12" i="25" s="1"/>
  <c r="J19" i="25"/>
  <c r="K19" i="25" s="1"/>
  <c r="J10" i="25"/>
  <c r="K10" i="25" s="1"/>
  <c r="J17" i="25"/>
  <c r="K17" i="25" s="1"/>
  <c r="J8" i="25"/>
  <c r="K8" i="25" s="1"/>
  <c r="J15" i="25"/>
  <c r="K15" i="25" s="1"/>
  <c r="J6" i="25"/>
  <c r="K6" i="25" s="1"/>
  <c r="J13" i="25"/>
  <c r="J20" i="25"/>
  <c r="K20" i="25" s="1"/>
  <c r="J11" i="25"/>
  <c r="K11" i="25" s="1"/>
  <c r="P12" i="24"/>
  <c r="P21" i="24"/>
  <c r="P18" i="24"/>
  <c r="P23" i="24"/>
  <c r="P19" i="24"/>
  <c r="P24" i="24"/>
  <c r="P25" i="24"/>
  <c r="K12" i="24"/>
  <c r="J19" i="24"/>
  <c r="K19" i="24" s="1"/>
  <c r="K10" i="24"/>
  <c r="K6" i="24"/>
  <c r="K11" i="24"/>
  <c r="P8" i="24"/>
  <c r="J21" i="24"/>
  <c r="K21" i="24" s="1"/>
  <c r="J24" i="24"/>
  <c r="K24" i="24" s="1"/>
  <c r="J15" i="24"/>
  <c r="K15" i="24" s="1"/>
  <c r="K8" i="24"/>
  <c r="J6" i="24"/>
  <c r="J22" i="24"/>
  <c r="K22" i="24" s="1"/>
  <c r="J13" i="24"/>
  <c r="K13" i="24" s="1"/>
  <c r="J20" i="24"/>
  <c r="K20" i="24" s="1"/>
  <c r="J11" i="24"/>
  <c r="J18" i="24"/>
  <c r="K18" i="24" s="1"/>
  <c r="J9" i="24"/>
  <c r="K9" i="24" s="1"/>
  <c r="J25" i="24"/>
  <c r="K25" i="24" s="1"/>
  <c r="F34" i="8" l="1"/>
  <c r="G8" i="8"/>
  <c r="G7" i="8"/>
  <c r="G6" i="8"/>
  <c r="H14" i="23"/>
  <c r="I14" i="23"/>
  <c r="J14" i="23" s="1"/>
  <c r="N14" i="23"/>
  <c r="H15" i="23"/>
  <c r="I15" i="23"/>
  <c r="J15" i="23" s="1"/>
  <c r="N15" i="23"/>
  <c r="H16" i="23"/>
  <c r="I16" i="23"/>
  <c r="J16" i="23" s="1"/>
  <c r="N16" i="23"/>
  <c r="N13" i="23"/>
  <c r="I13" i="23"/>
  <c r="J13" i="23" s="1"/>
  <c r="H13" i="23"/>
  <c r="N12" i="23"/>
  <c r="I12" i="23"/>
  <c r="H12" i="23"/>
  <c r="N11" i="23"/>
  <c r="I11" i="23"/>
  <c r="H11" i="23"/>
  <c r="N10" i="23"/>
  <c r="I10" i="23"/>
  <c r="H10" i="23"/>
  <c r="N9" i="23"/>
  <c r="I9" i="23"/>
  <c r="H9" i="23"/>
  <c r="N8" i="23"/>
  <c r="I8" i="23"/>
  <c r="H8" i="23"/>
  <c r="N7" i="23"/>
  <c r="I7" i="23"/>
  <c r="H7" i="23"/>
  <c r="N6" i="23"/>
  <c r="I6" i="23"/>
  <c r="H6" i="23"/>
  <c r="N5" i="23"/>
  <c r="I5" i="23"/>
  <c r="J5" i="23" s="1"/>
  <c r="H5" i="23"/>
  <c r="O15" i="19"/>
  <c r="O22" i="19"/>
  <c r="H5" i="19"/>
  <c r="I5" i="19"/>
  <c r="J5" i="19"/>
  <c r="K5" i="19" s="1"/>
  <c r="N5" i="19"/>
  <c r="O5" i="19" s="1"/>
  <c r="H6" i="19"/>
  <c r="I6" i="19"/>
  <c r="J6" i="19" s="1"/>
  <c r="K6" i="19" s="1"/>
  <c r="N6" i="19"/>
  <c r="O6" i="19" s="1"/>
  <c r="H7" i="19"/>
  <c r="I7" i="19"/>
  <c r="J7" i="19" s="1"/>
  <c r="K7" i="19" s="1"/>
  <c r="N7" i="19"/>
  <c r="H8" i="19"/>
  <c r="I8" i="19"/>
  <c r="K8" i="19" s="1"/>
  <c r="J8" i="19"/>
  <c r="N8" i="19"/>
  <c r="O8" i="19" s="1"/>
  <c r="H9" i="19"/>
  <c r="I9" i="19"/>
  <c r="J9" i="19"/>
  <c r="K9" i="19"/>
  <c r="N9" i="19"/>
  <c r="O9" i="19" s="1"/>
  <c r="P9" i="19" s="1"/>
  <c r="H10" i="19"/>
  <c r="I10" i="19"/>
  <c r="J10" i="19"/>
  <c r="N10" i="19"/>
  <c r="O10" i="19" s="1"/>
  <c r="H11" i="19"/>
  <c r="I11" i="19"/>
  <c r="J11" i="19" s="1"/>
  <c r="N11" i="19"/>
  <c r="O11" i="19"/>
  <c r="H12" i="19"/>
  <c r="I12" i="19"/>
  <c r="J12" i="19"/>
  <c r="K12" i="19"/>
  <c r="N12" i="19"/>
  <c r="O12" i="19"/>
  <c r="H13" i="19"/>
  <c r="I13" i="19"/>
  <c r="K13" i="19" s="1"/>
  <c r="J13" i="19"/>
  <c r="N13" i="19"/>
  <c r="O13" i="19" s="1"/>
  <c r="H14" i="19"/>
  <c r="I14" i="19"/>
  <c r="J14" i="19" s="1"/>
  <c r="N14" i="19"/>
  <c r="H15" i="19"/>
  <c r="I15" i="19"/>
  <c r="J15" i="19"/>
  <c r="K15" i="19" s="1"/>
  <c r="N15" i="19"/>
  <c r="H16" i="19"/>
  <c r="I16" i="19"/>
  <c r="J16" i="19" s="1"/>
  <c r="N16" i="19"/>
  <c r="O16" i="19" s="1"/>
  <c r="P16" i="19" s="1"/>
  <c r="H17" i="19"/>
  <c r="I17" i="19"/>
  <c r="J17" i="19"/>
  <c r="K17" i="19"/>
  <c r="N17" i="19"/>
  <c r="H18" i="19"/>
  <c r="I18" i="19"/>
  <c r="J18" i="19"/>
  <c r="N18" i="19"/>
  <c r="O18" i="19" s="1"/>
  <c r="H19" i="19"/>
  <c r="I19" i="19"/>
  <c r="J19" i="19" s="1"/>
  <c r="N19" i="19"/>
  <c r="O19" i="19" s="1"/>
  <c r="H20" i="19"/>
  <c r="I20" i="19"/>
  <c r="J20" i="19"/>
  <c r="K20" i="19"/>
  <c r="N20" i="19"/>
  <c r="O20" i="19" s="1"/>
  <c r="P20" i="19" s="1"/>
  <c r="H21" i="19"/>
  <c r="I21" i="19"/>
  <c r="J21" i="19" s="1"/>
  <c r="N21" i="19"/>
  <c r="O21" i="19" s="1"/>
  <c r="H22" i="19"/>
  <c r="I22" i="19"/>
  <c r="J22" i="19" s="1"/>
  <c r="N22" i="19"/>
  <c r="H23" i="19"/>
  <c r="I23" i="19"/>
  <c r="J23" i="19"/>
  <c r="K23" i="19"/>
  <c r="N23" i="19"/>
  <c r="O23" i="19" s="1"/>
  <c r="P15" i="22"/>
  <c r="N24" i="22"/>
  <c r="O24" i="22"/>
  <c r="P24" i="22" s="1"/>
  <c r="N25" i="22"/>
  <c r="O25" i="22" s="1"/>
  <c r="P25" i="22" s="1"/>
  <c r="N26" i="22"/>
  <c r="O26" i="22"/>
  <c r="P26" i="22"/>
  <c r="N27" i="22"/>
  <c r="O27" i="22"/>
  <c r="P27" i="22"/>
  <c r="N28" i="22"/>
  <c r="O28" i="22"/>
  <c r="P28" i="22"/>
  <c r="N29" i="22"/>
  <c r="O29" i="22" s="1"/>
  <c r="P29" i="22" s="1"/>
  <c r="H20" i="22"/>
  <c r="I20" i="22"/>
  <c r="J20" i="22" s="1"/>
  <c r="H21" i="22"/>
  <c r="I21" i="22"/>
  <c r="J21" i="22"/>
  <c r="K21" i="22"/>
  <c r="H22" i="22"/>
  <c r="I22" i="22"/>
  <c r="J22" i="22"/>
  <c r="K22" i="22"/>
  <c r="H23" i="22"/>
  <c r="I23" i="22"/>
  <c r="J23" i="22"/>
  <c r="K23" i="22"/>
  <c r="H24" i="22"/>
  <c r="I24" i="22"/>
  <c r="J24" i="22" s="1"/>
  <c r="H25" i="22"/>
  <c r="I25" i="22"/>
  <c r="J25" i="22"/>
  <c r="K25" i="22"/>
  <c r="H26" i="22"/>
  <c r="I26" i="22"/>
  <c r="J26" i="22"/>
  <c r="K26" i="22"/>
  <c r="H27" i="22"/>
  <c r="I27" i="22"/>
  <c r="J27" i="22"/>
  <c r="K27" i="22"/>
  <c r="H28" i="22"/>
  <c r="I28" i="22"/>
  <c r="J28" i="22" s="1"/>
  <c r="H29" i="22"/>
  <c r="I29" i="22"/>
  <c r="J29" i="22"/>
  <c r="K29" i="22"/>
  <c r="H6" i="22"/>
  <c r="I6" i="22"/>
  <c r="J6" i="22" s="1"/>
  <c r="N6" i="22"/>
  <c r="O6" i="22" s="1"/>
  <c r="P6" i="22" s="1"/>
  <c r="H7" i="22"/>
  <c r="I7" i="22"/>
  <c r="J7" i="22"/>
  <c r="K7" i="22"/>
  <c r="N7" i="22"/>
  <c r="O7" i="22" s="1"/>
  <c r="P7" i="22" s="1"/>
  <c r="H8" i="22"/>
  <c r="I8" i="22"/>
  <c r="K8" i="22" s="1"/>
  <c r="J8" i="22"/>
  <c r="N8" i="22"/>
  <c r="H9" i="22"/>
  <c r="I9" i="22"/>
  <c r="J9" i="22"/>
  <c r="K9" i="22"/>
  <c r="N9" i="22"/>
  <c r="O9" i="22" s="1"/>
  <c r="P9" i="22" s="1"/>
  <c r="H10" i="22"/>
  <c r="I10" i="22"/>
  <c r="J10" i="22"/>
  <c r="K10" i="22"/>
  <c r="N10" i="22"/>
  <c r="O10" i="22" s="1"/>
  <c r="H11" i="22"/>
  <c r="I11" i="22"/>
  <c r="J11" i="22"/>
  <c r="K11" i="22"/>
  <c r="N11" i="22"/>
  <c r="O11" i="22" s="1"/>
  <c r="P11" i="22" s="1"/>
  <c r="H12" i="22"/>
  <c r="I12" i="22"/>
  <c r="J12" i="22"/>
  <c r="K12" i="22"/>
  <c r="N12" i="22"/>
  <c r="O12" i="22" s="1"/>
  <c r="P12" i="22" s="1"/>
  <c r="H13" i="22"/>
  <c r="I13" i="22"/>
  <c r="J13" i="22"/>
  <c r="K13" i="22"/>
  <c r="N13" i="22"/>
  <c r="O13" i="22" s="1"/>
  <c r="H14" i="22"/>
  <c r="I14" i="22"/>
  <c r="J14" i="22" s="1"/>
  <c r="N14" i="22"/>
  <c r="H15" i="22"/>
  <c r="I15" i="22"/>
  <c r="J15" i="22" s="1"/>
  <c r="N15" i="22"/>
  <c r="O15" i="22" s="1"/>
  <c r="H16" i="22"/>
  <c r="I16" i="22"/>
  <c r="J16" i="22"/>
  <c r="K16" i="22"/>
  <c r="N16" i="22"/>
  <c r="O16" i="22" s="1"/>
  <c r="P16" i="22" s="1"/>
  <c r="H17" i="22"/>
  <c r="I17" i="22"/>
  <c r="K17" i="22" s="1"/>
  <c r="J17" i="22"/>
  <c r="N17" i="22"/>
  <c r="H18" i="22"/>
  <c r="I18" i="22"/>
  <c r="J18" i="22"/>
  <c r="K18" i="22"/>
  <c r="N18" i="22"/>
  <c r="O18" i="22" s="1"/>
  <c r="P18" i="22" s="1"/>
  <c r="H19" i="22"/>
  <c r="I19" i="22"/>
  <c r="K19" i="22" s="1"/>
  <c r="J19" i="22"/>
  <c r="N19" i="22"/>
  <c r="N20" i="22"/>
  <c r="O20" i="22" s="1"/>
  <c r="P20" i="22" s="1"/>
  <c r="N21" i="22"/>
  <c r="O21" i="22" s="1"/>
  <c r="P21" i="22" s="1"/>
  <c r="N22" i="22"/>
  <c r="O22" i="22" s="1"/>
  <c r="N23" i="22"/>
  <c r="O23" i="22" s="1"/>
  <c r="U18" i="22"/>
  <c r="T24" i="22"/>
  <c r="S24" i="22"/>
  <c r="S23" i="22"/>
  <c r="T23" i="22" s="1"/>
  <c r="S22" i="22"/>
  <c r="T22" i="22" s="1"/>
  <c r="S21" i="22"/>
  <c r="T21" i="22" s="1"/>
  <c r="S20" i="22"/>
  <c r="T20" i="22" s="1"/>
  <c r="S19" i="22"/>
  <c r="T19" i="22" s="1"/>
  <c r="S18" i="22"/>
  <c r="T18" i="22" s="1"/>
  <c r="S17" i="22"/>
  <c r="T17" i="22" s="1"/>
  <c r="S16" i="22"/>
  <c r="T16" i="22" s="1"/>
  <c r="S15" i="22"/>
  <c r="T15" i="22" s="1"/>
  <c r="S14" i="22"/>
  <c r="T14" i="22" s="1"/>
  <c r="S13" i="22"/>
  <c r="T13" i="22" s="1"/>
  <c r="S12" i="22"/>
  <c r="T12" i="22" s="1"/>
  <c r="S11" i="22"/>
  <c r="T11" i="22" s="1"/>
  <c r="S10" i="22"/>
  <c r="T10" i="22" s="1"/>
  <c r="S9" i="22"/>
  <c r="T9" i="22" s="1"/>
  <c r="T8" i="22"/>
  <c r="S8" i="22"/>
  <c r="S7" i="22"/>
  <c r="T7" i="22" s="1"/>
  <c r="S6" i="22"/>
  <c r="T6" i="22" s="1"/>
  <c r="S5" i="22"/>
  <c r="T5" i="22" s="1"/>
  <c r="N5" i="22"/>
  <c r="I5" i="22"/>
  <c r="H5" i="22"/>
  <c r="N5" i="21"/>
  <c r="L6" i="21"/>
  <c r="L7" i="21"/>
  <c r="L8" i="21"/>
  <c r="L9" i="21"/>
  <c r="L10" i="21"/>
  <c r="L11" i="21"/>
  <c r="O11" i="21" s="1"/>
  <c r="L12" i="21"/>
  <c r="L13" i="21"/>
  <c r="L14" i="21"/>
  <c r="L15" i="21"/>
  <c r="L16" i="21"/>
  <c r="L17" i="21"/>
  <c r="O17" i="21" s="1"/>
  <c r="P17" i="21" s="1"/>
  <c r="L18" i="21"/>
  <c r="O18" i="21" s="1"/>
  <c r="L19" i="21"/>
  <c r="L20" i="21"/>
  <c r="L21" i="21"/>
  <c r="O21" i="21" s="1"/>
  <c r="L22" i="21"/>
  <c r="L23" i="21"/>
  <c r="L24" i="21"/>
  <c r="O13" i="21"/>
  <c r="P13" i="21" s="1"/>
  <c r="L5" i="21"/>
  <c r="I20" i="21"/>
  <c r="H19" i="21"/>
  <c r="H5" i="21"/>
  <c r="H9" i="21"/>
  <c r="I9" i="21"/>
  <c r="J9" i="21"/>
  <c r="K9" i="21" s="1"/>
  <c r="N9" i="21"/>
  <c r="S9" i="21"/>
  <c r="H10" i="21"/>
  <c r="U10" i="21" s="1"/>
  <c r="I10" i="21"/>
  <c r="J10" i="21"/>
  <c r="K10" i="21"/>
  <c r="N10" i="21"/>
  <c r="S10" i="21"/>
  <c r="T10" i="21"/>
  <c r="H11" i="21"/>
  <c r="I11" i="21"/>
  <c r="J11" i="21"/>
  <c r="K11" i="21"/>
  <c r="N11" i="21"/>
  <c r="S11" i="21"/>
  <c r="T11" i="21"/>
  <c r="H12" i="21"/>
  <c r="I12" i="21"/>
  <c r="J12" i="21" s="1"/>
  <c r="N12" i="21"/>
  <c r="S12" i="21"/>
  <c r="T12" i="21"/>
  <c r="H13" i="21"/>
  <c r="I13" i="21"/>
  <c r="J13" i="21"/>
  <c r="K13" i="21"/>
  <c r="N13" i="21"/>
  <c r="S13" i="21"/>
  <c r="H14" i="21"/>
  <c r="I14" i="21"/>
  <c r="J14" i="21"/>
  <c r="K14" i="21"/>
  <c r="N14" i="21"/>
  <c r="S14" i="21"/>
  <c r="T14" i="21"/>
  <c r="U14" i="21"/>
  <c r="H15" i="21"/>
  <c r="I15" i="21"/>
  <c r="J15" i="21" s="1"/>
  <c r="N15" i="21"/>
  <c r="S15" i="21"/>
  <c r="T15" i="21"/>
  <c r="H16" i="21"/>
  <c r="I16" i="21"/>
  <c r="J16" i="21"/>
  <c r="K16" i="21"/>
  <c r="N16" i="21"/>
  <c r="S16" i="21"/>
  <c r="T16" i="21" s="1"/>
  <c r="H17" i="21"/>
  <c r="I17" i="21"/>
  <c r="J17" i="21"/>
  <c r="K17" i="21"/>
  <c r="N17" i="21"/>
  <c r="S17" i="21"/>
  <c r="H18" i="21"/>
  <c r="I18" i="21"/>
  <c r="J18" i="21"/>
  <c r="K18" i="21"/>
  <c r="N18" i="21"/>
  <c r="S18" i="21"/>
  <c r="T18" i="21" s="1"/>
  <c r="I19" i="21"/>
  <c r="J19" i="21"/>
  <c r="K19" i="21"/>
  <c r="N19" i="21"/>
  <c r="S19" i="21"/>
  <c r="T19" i="21" s="1"/>
  <c r="H20" i="21"/>
  <c r="J20" i="21"/>
  <c r="K20" i="21"/>
  <c r="N20" i="21"/>
  <c r="S20" i="21"/>
  <c r="T20" i="21"/>
  <c r="U20" i="21"/>
  <c r="H21" i="21"/>
  <c r="I21" i="21"/>
  <c r="J21" i="21"/>
  <c r="K21" i="21"/>
  <c r="N21" i="21"/>
  <c r="S21" i="21"/>
  <c r="H22" i="21"/>
  <c r="I22" i="21"/>
  <c r="J22" i="21"/>
  <c r="K22" i="21"/>
  <c r="N22" i="21"/>
  <c r="S22" i="21"/>
  <c r="T22" i="21" s="1"/>
  <c r="H23" i="21"/>
  <c r="I23" i="21"/>
  <c r="J23" i="21"/>
  <c r="K23" i="21"/>
  <c r="N23" i="21"/>
  <c r="S23" i="21"/>
  <c r="T23" i="21"/>
  <c r="H24" i="21"/>
  <c r="I24" i="21"/>
  <c r="J24" i="21"/>
  <c r="K24" i="21"/>
  <c r="N24" i="21"/>
  <c r="S24" i="21"/>
  <c r="T24" i="21"/>
  <c r="S8" i="21"/>
  <c r="N8" i="21"/>
  <c r="O8" i="21" s="1"/>
  <c r="I8" i="21"/>
  <c r="H8" i="21"/>
  <c r="S7" i="21"/>
  <c r="N7" i="21"/>
  <c r="I7" i="21"/>
  <c r="J7" i="21" s="1"/>
  <c r="K7" i="21" s="1"/>
  <c r="H7" i="21"/>
  <c r="S6" i="21"/>
  <c r="T6" i="21" s="1"/>
  <c r="N6" i="21"/>
  <c r="I6" i="21"/>
  <c r="H6" i="21"/>
  <c r="S5" i="21"/>
  <c r="T5" i="21" s="1"/>
  <c r="I5" i="21"/>
  <c r="J5" i="21" s="1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3" i="14"/>
  <c r="F4" i="1" a="1"/>
  <c r="F4" i="1" s="1"/>
  <c r="I4" i="1" a="1"/>
  <c r="I4" i="1" s="1"/>
  <c r="P15" i="19" l="1"/>
  <c r="P18" i="19"/>
  <c r="K18" i="19"/>
  <c r="P13" i="19"/>
  <c r="K10" i="19"/>
  <c r="K21" i="19"/>
  <c r="O14" i="23"/>
  <c r="O15" i="23"/>
  <c r="P15" i="23" s="1"/>
  <c r="P14" i="23"/>
  <c r="O11" i="23"/>
  <c r="P11" i="23" s="1"/>
  <c r="K14" i="23"/>
  <c r="K16" i="23"/>
  <c r="K15" i="23"/>
  <c r="O16" i="23"/>
  <c r="P16" i="23" s="1"/>
  <c r="O8" i="23"/>
  <c r="P8" i="23" s="1"/>
  <c r="O5" i="23"/>
  <c r="P5" i="23" s="1"/>
  <c r="O13" i="23"/>
  <c r="P13" i="23" s="1"/>
  <c r="O6" i="23"/>
  <c r="P6" i="23" s="1"/>
  <c r="O10" i="23"/>
  <c r="P10" i="23" s="1"/>
  <c r="O9" i="23"/>
  <c r="P9" i="23" s="1"/>
  <c r="O7" i="23"/>
  <c r="P7" i="23" s="1"/>
  <c r="J9" i="23"/>
  <c r="K9" i="23" s="1"/>
  <c r="J6" i="23"/>
  <c r="K6" i="23" s="1"/>
  <c r="J12" i="23"/>
  <c r="K12" i="23" s="1"/>
  <c r="O12" i="23"/>
  <c r="P12" i="23" s="1"/>
  <c r="K5" i="23"/>
  <c r="J10" i="23"/>
  <c r="K10" i="23" s="1"/>
  <c r="K13" i="23"/>
  <c r="J8" i="23"/>
  <c r="K8" i="23" s="1"/>
  <c r="J7" i="23"/>
  <c r="K7" i="23" s="1"/>
  <c r="J11" i="23"/>
  <c r="K11" i="23" s="1"/>
  <c r="O17" i="19"/>
  <c r="P17" i="19" s="1"/>
  <c r="O14" i="19"/>
  <c r="P14" i="19" s="1"/>
  <c r="P21" i="19"/>
  <c r="O7" i="19"/>
  <c r="P7" i="19" s="1"/>
  <c r="P12" i="19"/>
  <c r="K11" i="19"/>
  <c r="P10" i="19"/>
  <c r="P5" i="19"/>
  <c r="P23" i="19"/>
  <c r="P11" i="19"/>
  <c r="P19" i="19"/>
  <c r="K16" i="19"/>
  <c r="P8" i="19"/>
  <c r="K14" i="19"/>
  <c r="P22" i="19"/>
  <c r="P6" i="19"/>
  <c r="K22" i="19"/>
  <c r="K19" i="19"/>
  <c r="P23" i="22"/>
  <c r="O14" i="22"/>
  <c r="P14" i="22" s="1"/>
  <c r="K28" i="22"/>
  <c r="K24" i="22"/>
  <c r="K20" i="22"/>
  <c r="P13" i="22"/>
  <c r="O19" i="22"/>
  <c r="P19" i="22" s="1"/>
  <c r="O8" i="22"/>
  <c r="P8" i="22" s="1"/>
  <c r="P22" i="22"/>
  <c r="O17" i="22"/>
  <c r="P17" i="22" s="1"/>
  <c r="K15" i="22"/>
  <c r="K14" i="22"/>
  <c r="P10" i="22"/>
  <c r="K6" i="22"/>
  <c r="U16" i="22"/>
  <c r="U19" i="22"/>
  <c r="U11" i="22"/>
  <c r="U10" i="22"/>
  <c r="U21" i="22"/>
  <c r="U7" i="22"/>
  <c r="U20" i="22"/>
  <c r="O5" i="22"/>
  <c r="P5" i="22" s="1"/>
  <c r="U13" i="22"/>
  <c r="U24" i="22"/>
  <c r="U5" i="22"/>
  <c r="U8" i="22"/>
  <c r="U14" i="22"/>
  <c r="U23" i="22"/>
  <c r="U6" i="22"/>
  <c r="U9" i="22"/>
  <c r="U12" i="22"/>
  <c r="U22" i="22"/>
  <c r="U15" i="22"/>
  <c r="J5" i="22"/>
  <c r="K5" i="22" s="1"/>
  <c r="U16" i="21"/>
  <c r="U22" i="21"/>
  <c r="U15" i="21"/>
  <c r="T13" i="21"/>
  <c r="U13" i="21" s="1"/>
  <c r="O14" i="21"/>
  <c r="P14" i="21" s="1"/>
  <c r="O10" i="21"/>
  <c r="P10" i="21" s="1"/>
  <c r="O7" i="21"/>
  <c r="P7" i="21" s="1"/>
  <c r="O15" i="21"/>
  <c r="O19" i="21"/>
  <c r="O22" i="21"/>
  <c r="P22" i="21" s="1"/>
  <c r="O9" i="21"/>
  <c r="P9" i="21" s="1"/>
  <c r="O23" i="21"/>
  <c r="P18" i="21"/>
  <c r="O24" i="21"/>
  <c r="P24" i="21" s="1"/>
  <c r="P21" i="21"/>
  <c r="T17" i="21"/>
  <c r="U17" i="21" s="1"/>
  <c r="U18" i="21"/>
  <c r="T9" i="21"/>
  <c r="U9" i="21" s="1"/>
  <c r="U19" i="21"/>
  <c r="U12" i="21"/>
  <c r="O20" i="21"/>
  <c r="P20" i="21" s="1"/>
  <c r="T21" i="21"/>
  <c r="U21" i="21" s="1"/>
  <c r="U11" i="21"/>
  <c r="U23" i="21"/>
  <c r="O12" i="21"/>
  <c r="P12" i="21" s="1"/>
  <c r="K15" i="21"/>
  <c r="K12" i="21"/>
  <c r="O16" i="21"/>
  <c r="P16" i="21" s="1"/>
  <c r="U24" i="21"/>
  <c r="P23" i="21"/>
  <c r="P19" i="21"/>
  <c r="P15" i="21"/>
  <c r="P11" i="21"/>
  <c r="U5" i="21"/>
  <c r="O5" i="21"/>
  <c r="P5" i="21" s="1"/>
  <c r="P8" i="21"/>
  <c r="U6" i="21"/>
  <c r="T8" i="21"/>
  <c r="O6" i="21"/>
  <c r="P6" i="21" s="1"/>
  <c r="T7" i="21"/>
  <c r="U7" i="21" s="1"/>
  <c r="U8" i="21"/>
  <c r="J6" i="21"/>
  <c r="K6" i="21" s="1"/>
  <c r="K5" i="21"/>
  <c r="J8" i="21"/>
  <c r="K8" i="21" s="1"/>
  <c r="G6" i="1"/>
  <c r="F6" i="1"/>
  <c r="G5" i="1"/>
  <c r="F5" i="1"/>
  <c r="G4" i="1"/>
  <c r="I5" i="1"/>
  <c r="J6" i="1"/>
  <c r="I6" i="1"/>
  <c r="J5" i="1"/>
  <c r="J4" i="1"/>
  <c r="I8" i="1"/>
  <c r="L28" i="14"/>
  <c r="K28" i="14"/>
  <c r="U17" i="22" l="1"/>
  <c r="F8" i="1"/>
  <c r="L22" i="14"/>
  <c r="E14" i="8" a="1"/>
  <c r="E14" i="8" s="1"/>
  <c r="K22" i="14" l="1"/>
  <c r="L25" i="14"/>
  <c r="L7" i="14"/>
  <c r="K25" i="14"/>
  <c r="L5" i="14"/>
  <c r="L16" i="14"/>
  <c r="L10" i="14"/>
  <c r="L13" i="14"/>
  <c r="K13" i="14"/>
  <c r="L19" i="14"/>
  <c r="K5" i="14"/>
  <c r="K16" i="14"/>
  <c r="K7" i="14"/>
  <c r="K19" i="14"/>
  <c r="K10" i="14"/>
  <c r="E9" i="12" l="1"/>
  <c r="D9" i="12"/>
  <c r="C8" i="12"/>
  <c r="C7" i="12"/>
  <c r="J6" i="12"/>
  <c r="C6" i="12"/>
  <c r="J3" i="12"/>
  <c r="J4" i="12" s="1"/>
  <c r="J7" i="12" l="1"/>
  <c r="C9" i="12"/>
  <c r="B7" i="12"/>
  <c r="F14" i="12" s="1" a="1"/>
  <c r="F14" i="12" s="1"/>
  <c r="B6" i="12"/>
  <c r="F8" i="12"/>
  <c r="B8" i="12"/>
  <c r="F7" i="12"/>
  <c r="G7" i="12" s="1"/>
  <c r="F6" i="12"/>
  <c r="G6" i="12" s="1"/>
  <c r="E9" i="8"/>
  <c r="E14" i="12" l="1" a="1"/>
  <c r="E14" i="12" s="1"/>
  <c r="B9" i="12"/>
  <c r="G14" i="12" a="1"/>
  <c r="G14" i="12" s="1"/>
  <c r="F9" i="12"/>
  <c r="G8" i="12"/>
  <c r="J6" i="8"/>
  <c r="D9" i="8"/>
  <c r="C8" i="8"/>
  <c r="C7" i="8"/>
  <c r="C6" i="8"/>
  <c r="J3" i="8"/>
  <c r="J4" i="8" s="1"/>
  <c r="B6" i="8" s="1"/>
  <c r="H14" i="12" l="1"/>
  <c r="H15" i="12"/>
  <c r="H31" i="12"/>
  <c r="H32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16" i="12"/>
  <c r="G14" i="8" a="1"/>
  <c r="J7" i="8"/>
  <c r="C9" i="8"/>
  <c r="B7" i="8"/>
  <c r="F14" i="8" s="1" a="1"/>
  <c r="F14" i="8" s="1"/>
  <c r="F6" i="8"/>
  <c r="B8" i="8"/>
  <c r="F7" i="8"/>
  <c r="F8" i="8"/>
  <c r="G14" i="8" l="1"/>
  <c r="B9" i="8"/>
  <c r="F9" i="8"/>
  <c r="D9" i="5"/>
  <c r="E9" i="5"/>
  <c r="C8" i="5"/>
  <c r="C7" i="5"/>
  <c r="J6" i="5"/>
  <c r="C6" i="5"/>
  <c r="J3" i="5"/>
  <c r="J4" i="5" s="1"/>
  <c r="B8" i="5" s="1"/>
  <c r="G14" i="5" l="1" a="1"/>
  <c r="G14" i="5" s="1"/>
  <c r="C9" i="5"/>
  <c r="J7" i="5"/>
  <c r="B6" i="5"/>
  <c r="E14" i="5" s="1" a="1"/>
  <c r="E14" i="5" s="1"/>
  <c r="B7" i="5"/>
  <c r="F14" i="5" s="1" a="1"/>
  <c r="F14" i="5" s="1"/>
  <c r="F6" i="5"/>
  <c r="G6" i="5" s="1"/>
  <c r="F7" i="5"/>
  <c r="G7" i="5" s="1"/>
  <c r="F8" i="5"/>
  <c r="G8" i="5" s="1"/>
  <c r="B9" i="5" l="1"/>
  <c r="F9" i="5"/>
  <c r="G22" i="14" l="1"/>
  <c r="H22" i="14"/>
  <c r="H28" i="14"/>
  <c r="G28" i="14"/>
  <c r="G25" i="14"/>
  <c r="H25" i="14"/>
  <c r="H7" i="14"/>
  <c r="G7" i="14"/>
  <c r="H5" i="14"/>
  <c r="G5" i="14"/>
  <c r="H10" i="14"/>
  <c r="H19" i="14"/>
  <c r="G19" i="14"/>
  <c r="H13" i="14"/>
  <c r="G13" i="14"/>
  <c r="G10" i="14"/>
  <c r="H16" i="14"/>
  <c r="G16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<sst xmlns="http://schemas.openxmlformats.org/spreadsheetml/2006/main" count="705" uniqueCount="146">
  <si>
    <t>PROM</t>
  </si>
  <si>
    <t>DESV</t>
  </si>
  <si>
    <t>R2</t>
  </si>
  <si>
    <t>a</t>
  </si>
  <si>
    <t>b</t>
  </si>
  <si>
    <t>Area</t>
  </si>
  <si>
    <t>Sample name</t>
  </si>
  <si>
    <t>Volumen DES</t>
  </si>
  <si>
    <t>DES volume</t>
  </si>
  <si>
    <t>Concentration</t>
  </si>
  <si>
    <t>Central Composite Design (Ratotate)
of the best DES</t>
  </si>
  <si>
    <t>Levels</t>
  </si>
  <si>
    <t>Factors</t>
  </si>
  <si>
    <t>Extractant-Dispersant Ratio (EDR)</t>
  </si>
  <si>
    <t>Sample Volume
(SV)</t>
  </si>
  <si>
    <t>Dispersant volume (DV)</t>
  </si>
  <si>
    <t>Extractant volujme (uL)</t>
  </si>
  <si>
    <t>EDR (A)</t>
  </si>
  <si>
    <t xml:space="preserve">SV (B) </t>
  </si>
  <si>
    <t>DV (C)</t>
  </si>
  <si>
    <t>Factorial runs (Block 1)</t>
  </si>
  <si>
    <t>Number of factor (k)</t>
  </si>
  <si>
    <t>Full factorial run (2^k)</t>
  </si>
  <si>
    <t>Alpha</t>
  </si>
  <si>
    <t>Number of centre points (n_0)</t>
  </si>
  <si>
    <t>Axial run (2*k)</t>
  </si>
  <si>
    <t>Total runs</t>
  </si>
  <si>
    <t>EDM a preparar</t>
  </si>
  <si>
    <t>Volume ACN</t>
  </si>
  <si>
    <t>LOD [ug/mL]</t>
  </si>
  <si>
    <t>Units</t>
  </si>
  <si>
    <t>-</t>
  </si>
  <si>
    <t>ppm</t>
  </si>
  <si>
    <t>mL</t>
  </si>
  <si>
    <t>uL</t>
  </si>
  <si>
    <t>%</t>
  </si>
  <si>
    <t>Central Composite Design</t>
  </si>
  <si>
    <t>Notation</t>
  </si>
  <si>
    <t>x1</t>
  </si>
  <si>
    <t>x2</t>
  </si>
  <si>
    <t>x3</t>
  </si>
  <si>
    <t>RSM_1</t>
  </si>
  <si>
    <t>RSM_2</t>
  </si>
  <si>
    <t>RSM_3</t>
  </si>
  <si>
    <t>RSM_4</t>
  </si>
  <si>
    <t>RSM_5</t>
  </si>
  <si>
    <t>RSM_6</t>
  </si>
  <si>
    <t>RSM_7</t>
  </si>
  <si>
    <t>RSM_8</t>
  </si>
  <si>
    <t>RSM_9</t>
  </si>
  <si>
    <t>RSM_10</t>
  </si>
  <si>
    <t>RSM_11</t>
  </si>
  <si>
    <t>RSM_12</t>
  </si>
  <si>
    <t>RSM_13</t>
  </si>
  <si>
    <t>RSM_14</t>
  </si>
  <si>
    <t>RSM_15</t>
  </si>
  <si>
    <t>RSM_16</t>
  </si>
  <si>
    <t>RSM_17</t>
  </si>
  <si>
    <t>ev</t>
  </si>
  <si>
    <t>ML11</t>
  </si>
  <si>
    <t>ML21</t>
  </si>
  <si>
    <t>MD11</t>
  </si>
  <si>
    <t>TD11</t>
  </si>
  <si>
    <t>-α</t>
  </si>
  <si>
    <t>+α</t>
  </si>
  <si>
    <t>RSM_18</t>
  </si>
  <si>
    <t>RSM_19</t>
  </si>
  <si>
    <t>Factorial runs (Block 2)</t>
  </si>
  <si>
    <t>Axial runs (Block 3)</t>
  </si>
  <si>
    <t>RSM_20</t>
  </si>
  <si>
    <t>des</t>
  </si>
  <si>
    <t>real_sc</t>
  </si>
  <si>
    <t>Men1_Lid1</t>
  </si>
  <si>
    <t>Men1_Dec1</t>
  </si>
  <si>
    <t>Thy1_Dec1</t>
  </si>
  <si>
    <t>Men2_Lid1</t>
  </si>
  <si>
    <t>DES vol</t>
  </si>
  <si>
    <t>Date</t>
  </si>
  <si>
    <t>Discription</t>
  </si>
  <si>
    <t>Run</t>
  </si>
  <si>
    <t>Sample Name</t>
  </si>
  <si>
    <t>SX</t>
  </si>
  <si>
    <t>Unknown concentration</t>
  </si>
  <si>
    <t>SY</t>
  </si>
  <si>
    <t>SC</t>
  </si>
  <si>
    <t>Mixture of the above solutions</t>
  </si>
  <si>
    <t>DES screening</t>
  </si>
  <si>
    <t>Centrifugue screening</t>
  </si>
  <si>
    <t>Enrichment factor</t>
  </si>
  <si>
    <t xml:space="preserve">Extraction mixture volume </t>
  </si>
  <si>
    <t>Sample volume</t>
  </si>
  <si>
    <t xml:space="preserve">Extractant-Dispersant Ratio </t>
  </si>
  <si>
    <t>Recovery</t>
  </si>
  <si>
    <t>Sample concentration in centrifugue screening</t>
  </si>
  <si>
    <t>Sample concentration in response surface</t>
  </si>
  <si>
    <t>260nm</t>
  </si>
  <si>
    <t>EMV (C)</t>
  </si>
  <si>
    <t>Coded Factors</t>
  </si>
  <si>
    <t>Extractant Mixture Volume (EMV)</t>
  </si>
  <si>
    <t>CONS</t>
  </si>
  <si>
    <t>Sample concentration in optimum EF</t>
  </si>
  <si>
    <t>Sample concentration in optimum REC</t>
  </si>
  <si>
    <t>215nm</t>
  </si>
  <si>
    <t>opt</t>
  </si>
  <si>
    <t xml:space="preserve">opt </t>
  </si>
  <si>
    <t xml:space="preserve">DES screening </t>
  </si>
  <si>
    <t>Teoric sample concentration</t>
  </si>
  <si>
    <t>Sample concentration</t>
  </si>
  <si>
    <t>Measures 215nm</t>
  </si>
  <si>
    <t>Measures 260nm</t>
  </si>
  <si>
    <t xml:space="preserve">screening </t>
  </si>
  <si>
    <t>EDM</t>
  </si>
  <si>
    <t>Extract Mixture Volume</t>
  </si>
  <si>
    <t>Sample Concentration</t>
  </si>
  <si>
    <t>SV</t>
  </si>
  <si>
    <t>Sample Volume</t>
  </si>
  <si>
    <t>Intermediate calculations</t>
  </si>
  <si>
    <t>AREA 215nm</t>
  </si>
  <si>
    <t>AREA 260nm</t>
  </si>
  <si>
    <t>Extraction solvent</t>
  </si>
  <si>
    <t>2 min</t>
  </si>
  <si>
    <t>3 min</t>
  </si>
  <si>
    <t>4 min</t>
  </si>
  <si>
    <t>Thy-Dec (1:1)</t>
  </si>
  <si>
    <t>Men-Lid (2:1)</t>
  </si>
  <si>
    <t>Men-Lid (1:1)</t>
  </si>
  <si>
    <t>Men-Dec (1:1)</t>
  </si>
  <si>
    <t>Enrichment factor 260</t>
  </si>
  <si>
    <t>Enrichment Factor</t>
  </si>
  <si>
    <t>3W_EF</t>
  </si>
  <si>
    <t>W</t>
  </si>
  <si>
    <t>3W_REC</t>
  </si>
  <si>
    <t>1W_EF</t>
  </si>
  <si>
    <t>1W_REC</t>
  </si>
  <si>
    <t>OPT_EF</t>
  </si>
  <si>
    <t>OPT_REC</t>
  </si>
  <si>
    <t>Grey water</t>
  </si>
  <si>
    <t>Men1_Lid2</t>
  </si>
  <si>
    <t>Men1_Lid3</t>
  </si>
  <si>
    <t>Men1_Lid4</t>
  </si>
  <si>
    <t>Men1_Lid5</t>
  </si>
  <si>
    <t>Men1_Lid6</t>
  </si>
  <si>
    <t>Men1_Lid7</t>
  </si>
  <si>
    <t>Men1_Lid8</t>
  </si>
  <si>
    <t>Extractant-Dispersant Ratio</t>
  </si>
  <si>
    <t>Extraction mixture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</si>
</sst>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 * #,##0_ ;_ * \-#,##0_ ;_ * &quot;-&quot;_ ;_ @_ "/>
    <numFmt numFmtId="164" formatCode="0_ "/>
    <numFmt numFmtId="165" formatCode="0.0"/>
    <numFmt numFmtId="166" formatCode="0.0000"/>
    <numFmt numFmtId="167" formatCode="0.00000"/>
    <numFmt numFmtId="168" formatCode="0.0%"/>
    <numFmt numFmtId="169" formatCode="0.00.E+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2" tint="-0.499984740745262"/>
      <name val="Consolas"/>
      <family val="3"/>
    </font>
    <font>
      <sz val="8"/>
      <name val="Calibri"/>
      <family val="2"/>
      <scheme val="minor"/>
    </font>
    <font>
      <sz val="11"/>
      <color theme="0" tint="-4.9989318521683403E-2"/>
      <name val="Consolas"/>
      <family val="3"/>
    </font>
    <font>
      <u/>
      <sz val="11"/>
      <color theme="1"/>
      <name val="Consolas"/>
      <family val="3"/>
    </font>
    <font>
      <b/>
      <i/>
      <sz val="11"/>
      <color theme="1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4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/>
    </xf>
    <xf numFmtId="2" fontId="4" fillId="0" borderId="7" xfId="0" applyNumberFormat="1" applyFont="1" applyBorder="1"/>
    <xf numFmtId="2" fontId="4" fillId="0" borderId="0" xfId="0" applyNumberFormat="1" applyFont="1"/>
    <xf numFmtId="2" fontId="4" fillId="7" borderId="0" xfId="0" applyNumberFormat="1" applyFont="1" applyFill="1"/>
    <xf numFmtId="2" fontId="4" fillId="0" borderId="8" xfId="0" applyNumberFormat="1" applyFont="1" applyBorder="1"/>
    <xf numFmtId="0" fontId="6" fillId="0" borderId="9" xfId="0" applyFont="1" applyBorder="1" applyAlignment="1">
      <alignment horizontal="right"/>
    </xf>
    <xf numFmtId="165" fontId="6" fillId="0" borderId="9" xfId="0" applyNumberFormat="1" applyFont="1" applyBorder="1"/>
    <xf numFmtId="165" fontId="6" fillId="0" borderId="10" xfId="0" applyNumberFormat="1" applyFont="1" applyBorder="1"/>
    <xf numFmtId="165" fontId="6" fillId="0" borderId="11" xfId="0" applyNumberFormat="1" applyFont="1" applyBorder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4" fillId="0" borderId="12" xfId="0" applyFont="1" applyBorder="1"/>
    <xf numFmtId="0" fontId="5" fillId="0" borderId="7" xfId="0" applyFont="1" applyBorder="1"/>
    <xf numFmtId="0" fontId="4" fillId="0" borderId="13" xfId="0" applyFont="1" applyBorder="1"/>
    <xf numFmtId="0" fontId="5" fillId="2" borderId="7" xfId="0" applyFont="1" applyFill="1" applyBorder="1"/>
    <xf numFmtId="0" fontId="4" fillId="2" borderId="13" xfId="0" applyFont="1" applyFill="1" applyBorder="1"/>
    <xf numFmtId="0" fontId="5" fillId="7" borderId="7" xfId="0" applyFont="1" applyFill="1" applyBorder="1"/>
    <xf numFmtId="0" fontId="4" fillId="7" borderId="13" xfId="0" applyFont="1" applyFill="1" applyBorder="1"/>
    <xf numFmtId="0" fontId="4" fillId="0" borderId="0" xfId="0" applyFont="1" applyAlignment="1">
      <alignment horizontal="center" vertical="center" wrapText="1"/>
    </xf>
    <xf numFmtId="167" fontId="0" fillId="0" borderId="0" xfId="0" applyNumberFormat="1"/>
    <xf numFmtId="2" fontId="4" fillId="7" borderId="10" xfId="0" applyNumberFormat="1" applyFont="1" applyFill="1" applyBorder="1"/>
    <xf numFmtId="2" fontId="0" fillId="0" borderId="0" xfId="0" applyNumberFormat="1"/>
    <xf numFmtId="0" fontId="5" fillId="0" borderId="0" xfId="0" applyFont="1" applyAlignment="1">
      <alignment horizontal="center" wrapText="1"/>
    </xf>
    <xf numFmtId="2" fontId="4" fillId="0" borderId="10" xfId="0" applyNumberFormat="1" applyFont="1" applyBorder="1"/>
    <xf numFmtId="0" fontId="4" fillId="0" borderId="7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49" fontId="4" fillId="0" borderId="7" xfId="0" applyNumberFormat="1" applyFont="1" applyBorder="1" applyAlignment="1">
      <alignment horizontal="right"/>
    </xf>
    <xf numFmtId="1" fontId="4" fillId="0" borderId="8" xfId="2" applyNumberFormat="1" applyFont="1" applyFill="1" applyBorder="1"/>
    <xf numFmtId="1" fontId="4" fillId="0" borderId="11" xfId="2" applyNumberFormat="1" applyFont="1" applyFill="1" applyBorder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2" fontId="4" fillId="0" borderId="2" xfId="0" applyNumberFormat="1" applyFont="1" applyBorder="1"/>
    <xf numFmtId="1" fontId="4" fillId="0" borderId="3" xfId="2" applyNumberFormat="1" applyFont="1" applyFill="1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2" fontId="4" fillId="11" borderId="0" xfId="0" applyNumberFormat="1" applyFont="1" applyFill="1"/>
    <xf numFmtId="2" fontId="4" fillId="11" borderId="10" xfId="0" applyNumberFormat="1" applyFont="1" applyFill="1" applyBorder="1"/>
    <xf numFmtId="10" fontId="4" fillId="6" borderId="3" xfId="1" applyNumberFormat="1" applyFont="1" applyFill="1" applyBorder="1"/>
    <xf numFmtId="10" fontId="4" fillId="6" borderId="8" xfId="1" applyNumberFormat="1" applyFont="1" applyFill="1" applyBorder="1"/>
    <xf numFmtId="10" fontId="4" fillId="6" borderId="11" xfId="1" applyNumberFormat="1" applyFont="1" applyFill="1" applyBorder="1"/>
    <xf numFmtId="2" fontId="4" fillId="11" borderId="2" xfId="0" applyNumberFormat="1" applyFont="1" applyFill="1" applyBorder="1"/>
    <xf numFmtId="165" fontId="0" fillId="0" borderId="0" xfId="0" applyNumberFormat="1"/>
    <xf numFmtId="0" fontId="4" fillId="6" borderId="1" xfId="0" applyFont="1" applyFill="1" applyBorder="1"/>
    <xf numFmtId="0" fontId="4" fillId="6" borderId="2" xfId="0" applyFont="1" applyFill="1" applyBorder="1"/>
    <xf numFmtId="0" fontId="0" fillId="6" borderId="7" xfId="0" applyFill="1" applyBorder="1"/>
    <xf numFmtId="0" fontId="4" fillId="6" borderId="7" xfId="0" applyFont="1" applyFill="1" applyBorder="1"/>
    <xf numFmtId="49" fontId="4" fillId="4" borderId="7" xfId="0" applyNumberFormat="1" applyFont="1" applyFill="1" applyBorder="1" applyAlignment="1">
      <alignment horizontal="right"/>
    </xf>
    <xf numFmtId="0" fontId="4" fillId="4" borderId="7" xfId="0" applyFont="1" applyFill="1" applyBorder="1" applyAlignment="1">
      <alignment horizontal="right"/>
    </xf>
    <xf numFmtId="0" fontId="4" fillId="7" borderId="7" xfId="0" applyFont="1" applyFill="1" applyBorder="1"/>
    <xf numFmtId="0" fontId="4" fillId="7" borderId="7" xfId="0" applyFont="1" applyFill="1" applyBorder="1" applyAlignment="1">
      <alignment horizontal="right"/>
    </xf>
    <xf numFmtId="0" fontId="4" fillId="7" borderId="9" xfId="0" applyFont="1" applyFill="1" applyBorder="1" applyAlignment="1">
      <alignment horizontal="right"/>
    </xf>
    <xf numFmtId="0" fontId="4" fillId="7" borderId="10" xfId="0" applyFont="1" applyFill="1" applyBorder="1" applyAlignment="1">
      <alignment horizontal="right"/>
    </xf>
    <xf numFmtId="168" fontId="0" fillId="0" borderId="0" xfId="0" applyNumberFormat="1"/>
    <xf numFmtId="0" fontId="4" fillId="4" borderId="0" xfId="0" applyFont="1" applyFill="1" applyAlignment="1">
      <alignment horizontal="center" vertical="center" wrapText="1"/>
    </xf>
    <xf numFmtId="0" fontId="4" fillId="8" borderId="7" xfId="0" applyFont="1" applyFill="1" applyBorder="1" applyAlignment="1">
      <alignment horizontal="right"/>
    </xf>
    <xf numFmtId="0" fontId="0" fillId="8" borderId="7" xfId="0" applyFill="1" applyBorder="1" applyAlignment="1">
      <alignment horizontal="right"/>
    </xf>
    <xf numFmtId="166" fontId="0" fillId="4" borderId="7" xfId="0" applyNumberForma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3" borderId="9" xfId="0" applyFont="1" applyFill="1" applyBorder="1" applyAlignment="1">
      <alignment horizontal="right"/>
    </xf>
    <xf numFmtId="0" fontId="4" fillId="3" borderId="10" xfId="0" applyFont="1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0" borderId="9" xfId="0" applyBorder="1"/>
    <xf numFmtId="0" fontId="0" fillId="9" borderId="10" xfId="0" applyFill="1" applyBorder="1"/>
    <xf numFmtId="0" fontId="0" fillId="0" borderId="11" xfId="0" applyBorder="1"/>
    <xf numFmtId="0" fontId="0" fillId="0" borderId="25" xfId="0" applyBorder="1"/>
    <xf numFmtId="0" fontId="2" fillId="0" borderId="0" xfId="0" applyFont="1"/>
    <xf numFmtId="2" fontId="4" fillId="11" borderId="14" xfId="0" applyNumberFormat="1" applyFont="1" applyFill="1" applyBorder="1"/>
    <xf numFmtId="0" fontId="2" fillId="0" borderId="7" xfId="0" applyFont="1" applyBorder="1"/>
    <xf numFmtId="0" fontId="2" fillId="0" borderId="8" xfId="0" applyFont="1" applyBorder="1"/>
    <xf numFmtId="0" fontId="0" fillId="0" borderId="26" xfId="0" applyBorder="1"/>
    <xf numFmtId="164" fontId="0" fillId="0" borderId="26" xfId="0" applyNumberFormat="1" applyBorder="1"/>
    <xf numFmtId="164" fontId="0" fillId="0" borderId="7" xfId="0" applyNumberFormat="1" applyBorder="1"/>
    <xf numFmtId="164" fontId="0" fillId="0" borderId="25" xfId="0" applyNumberFormat="1" applyBorder="1"/>
    <xf numFmtId="10" fontId="0" fillId="0" borderId="0" xfId="1" applyNumberFormat="1" applyFont="1"/>
    <xf numFmtId="166" fontId="0" fillId="0" borderId="17" xfId="0" applyNumberFormat="1" applyBorder="1"/>
    <xf numFmtId="166" fontId="0" fillId="0" borderId="14" xfId="0" applyNumberFormat="1" applyBorder="1"/>
    <xf numFmtId="169" fontId="0" fillId="0" borderId="15" xfId="0" applyNumberFormat="1" applyBorder="1"/>
    <xf numFmtId="169" fontId="0" fillId="0" borderId="27" xfId="0" applyNumberFormat="1" applyBorder="1"/>
    <xf numFmtId="169" fontId="0" fillId="0" borderId="8" xfId="0" applyNumberFormat="1" applyBorder="1"/>
    <xf numFmtId="0" fontId="4" fillId="5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1" fontId="4" fillId="11" borderId="0" xfId="0" applyNumberFormat="1" applyFont="1" applyFill="1"/>
    <xf numFmtId="2" fontId="4" fillId="6" borderId="0" xfId="0" applyNumberFormat="1" applyFont="1" applyFill="1"/>
    <xf numFmtId="1" fontId="4" fillId="11" borderId="10" xfId="0" applyNumberFormat="1" applyFont="1" applyFill="1" applyBorder="1"/>
    <xf numFmtId="2" fontId="4" fillId="6" borderId="10" xfId="0" applyNumberFormat="1" applyFont="1" applyFill="1" applyBorder="1"/>
    <xf numFmtId="1" fontId="4" fillId="11" borderId="2" xfId="0" applyNumberFormat="1" applyFont="1" applyFill="1" applyBorder="1"/>
    <xf numFmtId="2" fontId="4" fillId="6" borderId="2" xfId="0" applyNumberFormat="1" applyFont="1" applyFill="1" applyBorder="1"/>
    <xf numFmtId="0" fontId="4" fillId="14" borderId="19" xfId="0" applyFont="1" applyFill="1" applyBorder="1"/>
    <xf numFmtId="0" fontId="4" fillId="14" borderId="18" xfId="0" applyFont="1" applyFill="1" applyBorder="1"/>
    <xf numFmtId="0" fontId="4" fillId="14" borderId="21" xfId="0" applyFont="1" applyFill="1" applyBorder="1"/>
    <xf numFmtId="0" fontId="4" fillId="14" borderId="1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/>
    </xf>
    <xf numFmtId="0" fontId="4" fillId="14" borderId="7" xfId="0" applyFont="1" applyFill="1" applyBorder="1" applyAlignment="1">
      <alignment horizontal="center"/>
    </xf>
    <xf numFmtId="0" fontId="4" fillId="14" borderId="9" xfId="0" applyFont="1" applyFill="1" applyBorder="1" applyAlignment="1">
      <alignment horizontal="center"/>
    </xf>
    <xf numFmtId="49" fontId="4" fillId="14" borderId="7" xfId="0" applyNumberFormat="1" applyFont="1" applyFill="1" applyBorder="1" applyAlignment="1">
      <alignment horizontal="center"/>
    </xf>
    <xf numFmtId="165" fontId="4" fillId="15" borderId="2" xfId="0" applyNumberFormat="1" applyFont="1" applyFill="1" applyBorder="1"/>
    <xf numFmtId="165" fontId="4" fillId="15" borderId="0" xfId="0" applyNumberFormat="1" applyFont="1" applyFill="1"/>
    <xf numFmtId="165" fontId="4" fillId="15" borderId="10" xfId="0" applyNumberFormat="1" applyFont="1" applyFill="1" applyBorder="1"/>
    <xf numFmtId="165" fontId="4" fillId="14" borderId="2" xfId="0" applyNumberFormat="1" applyFont="1" applyFill="1" applyBorder="1"/>
    <xf numFmtId="165" fontId="4" fillId="14" borderId="0" xfId="0" applyNumberFormat="1" applyFont="1" applyFill="1"/>
    <xf numFmtId="165" fontId="4" fillId="14" borderId="10" xfId="0" applyNumberFormat="1" applyFont="1" applyFill="1" applyBorder="1"/>
    <xf numFmtId="2" fontId="4" fillId="7" borderId="1" xfId="0" applyNumberFormat="1" applyFont="1" applyFill="1" applyBorder="1"/>
    <xf numFmtId="2" fontId="4" fillId="7" borderId="7" xfId="0" applyNumberFormat="1" applyFont="1" applyFill="1" applyBorder="1"/>
    <xf numFmtId="2" fontId="9" fillId="7" borderId="7" xfId="0" applyNumberFormat="1" applyFont="1" applyFill="1" applyBorder="1"/>
    <xf numFmtId="2" fontId="4" fillId="7" borderId="9" xfId="0" applyNumberFormat="1" applyFont="1" applyFill="1" applyBorder="1"/>
    <xf numFmtId="0" fontId="4" fillId="14" borderId="0" xfId="0" applyFont="1" applyFill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14" borderId="9" xfId="0" applyFont="1" applyFill="1" applyBorder="1" applyAlignment="1">
      <alignment horizontal="center" vertical="center" wrapText="1"/>
    </xf>
    <xf numFmtId="0" fontId="4" fillId="14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66" fontId="0" fillId="0" borderId="0" xfId="0" applyNumberFormat="1"/>
    <xf numFmtId="166" fontId="0" fillId="0" borderId="10" xfId="0" applyNumberFormat="1" applyBorder="1"/>
    <xf numFmtId="169" fontId="0" fillId="0" borderId="11" xfId="0" applyNumberFormat="1" applyBorder="1"/>
    <xf numFmtId="0" fontId="4" fillId="14" borderId="0" xfId="0" applyFont="1" applyFill="1"/>
    <xf numFmtId="0" fontId="4" fillId="13" borderId="7" xfId="0" applyFont="1" applyFill="1" applyBorder="1"/>
    <xf numFmtId="0" fontId="4" fillId="13" borderId="0" xfId="0" applyFont="1" applyFill="1"/>
    <xf numFmtId="0" fontId="4" fillId="13" borderId="8" xfId="0" applyFont="1" applyFill="1" applyBorder="1"/>
    <xf numFmtId="0" fontId="4" fillId="15" borderId="0" xfId="0" applyFont="1" applyFill="1"/>
    <xf numFmtId="0" fontId="4" fillId="14" borderId="2" xfId="0" applyFont="1" applyFill="1" applyBorder="1"/>
    <xf numFmtId="0" fontId="4" fillId="13" borderId="1" xfId="0" applyFont="1" applyFill="1" applyBorder="1"/>
    <xf numFmtId="0" fontId="4" fillId="13" borderId="2" xfId="0" applyFont="1" applyFill="1" applyBorder="1"/>
    <xf numFmtId="0" fontId="4" fillId="13" borderId="3" xfId="0" applyFont="1" applyFill="1" applyBorder="1"/>
    <xf numFmtId="0" fontId="4" fillId="15" borderId="2" xfId="0" applyFont="1" applyFill="1" applyBorder="1"/>
    <xf numFmtId="0" fontId="4" fillId="14" borderId="10" xfId="0" applyFont="1" applyFill="1" applyBorder="1"/>
    <xf numFmtId="0" fontId="4" fillId="13" borderId="9" xfId="0" applyFont="1" applyFill="1" applyBorder="1"/>
    <xf numFmtId="0" fontId="4" fillId="13" borderId="10" xfId="0" applyFont="1" applyFill="1" applyBorder="1"/>
    <xf numFmtId="0" fontId="4" fillId="13" borderId="11" xfId="0" applyFont="1" applyFill="1" applyBorder="1"/>
    <xf numFmtId="0" fontId="4" fillId="15" borderId="10" xfId="0" applyFont="1" applyFill="1" applyBorder="1"/>
    <xf numFmtId="0" fontId="0" fillId="2" borderId="0" xfId="0" applyFill="1"/>
    <xf numFmtId="0" fontId="0" fillId="2" borderId="8" xfId="0" applyFill="1" applyBorder="1"/>
    <xf numFmtId="0" fontId="0" fillId="9" borderId="9" xfId="0" applyFill="1" applyBorder="1"/>
    <xf numFmtId="164" fontId="0" fillId="2" borderId="0" xfId="0" applyNumberFormat="1" applyFill="1"/>
    <xf numFmtId="0" fontId="4" fillId="0" borderId="0" xfId="0" applyFont="1" applyAlignment="1">
      <alignment horizontal="right" vertical="center"/>
    </xf>
    <xf numFmtId="0" fontId="9" fillId="14" borderId="18" xfId="0" applyFont="1" applyFill="1" applyBorder="1"/>
    <xf numFmtId="49" fontId="4" fillId="14" borderId="1" xfId="0" applyNumberFormat="1" applyFont="1" applyFill="1" applyBorder="1" applyAlignment="1">
      <alignment horizontal="center"/>
    </xf>
    <xf numFmtId="49" fontId="4" fillId="14" borderId="9" xfId="0" applyNumberFormat="1" applyFont="1" applyFill="1" applyBorder="1" applyAlignment="1">
      <alignment horizontal="center"/>
    </xf>
    <xf numFmtId="2" fontId="4" fillId="13" borderId="7" xfId="0" applyNumberFormat="1" applyFont="1" applyFill="1" applyBorder="1"/>
    <xf numFmtId="2" fontId="4" fillId="13" borderId="0" xfId="0" applyNumberFormat="1" applyFont="1" applyFill="1"/>
    <xf numFmtId="2" fontId="4" fillId="13" borderId="8" xfId="0" applyNumberFormat="1" applyFont="1" applyFill="1" applyBorder="1"/>
    <xf numFmtId="2" fontId="4" fillId="13" borderId="1" xfId="0" applyNumberFormat="1" applyFont="1" applyFill="1" applyBorder="1"/>
    <xf numFmtId="2" fontId="4" fillId="13" borderId="2" xfId="0" applyNumberFormat="1" applyFont="1" applyFill="1" applyBorder="1"/>
    <xf numFmtId="2" fontId="4" fillId="13" borderId="3" xfId="0" applyNumberFormat="1" applyFont="1" applyFill="1" applyBorder="1"/>
    <xf numFmtId="2" fontId="4" fillId="13" borderId="9" xfId="0" applyNumberFormat="1" applyFont="1" applyFill="1" applyBorder="1"/>
    <xf numFmtId="2" fontId="4" fillId="13" borderId="10" xfId="0" applyNumberFormat="1" applyFont="1" applyFill="1" applyBorder="1"/>
    <xf numFmtId="2" fontId="4" fillId="13" borderId="11" xfId="0" applyNumberFormat="1" applyFont="1" applyFill="1" applyBorder="1"/>
    <xf numFmtId="2" fontId="4" fillId="14" borderId="0" xfId="0" applyNumberFormat="1" applyFont="1" applyFill="1"/>
    <xf numFmtId="2" fontId="4" fillId="14" borderId="2" xfId="0" applyNumberFormat="1" applyFont="1" applyFill="1" applyBorder="1"/>
    <xf numFmtId="2" fontId="4" fillId="14" borderId="10" xfId="0" applyNumberFormat="1" applyFont="1" applyFill="1" applyBorder="1"/>
    <xf numFmtId="49" fontId="4" fillId="12" borderId="7" xfId="0" applyNumberFormat="1" applyFont="1" applyFill="1" applyBorder="1" applyAlignment="1">
      <alignment horizontal="center"/>
    </xf>
    <xf numFmtId="49" fontId="4" fillId="12" borderId="9" xfId="0" applyNumberFormat="1" applyFont="1" applyFill="1" applyBorder="1" applyAlignment="1">
      <alignment horizontal="center"/>
    </xf>
    <xf numFmtId="49" fontId="4" fillId="12" borderId="1" xfId="0" applyNumberFormat="1" applyFont="1" applyFill="1" applyBorder="1" applyAlignment="1">
      <alignment horizontal="center"/>
    </xf>
    <xf numFmtId="49" fontId="4" fillId="16" borderId="7" xfId="0" applyNumberFormat="1" applyFont="1" applyFill="1" applyBorder="1" applyAlignment="1">
      <alignment horizontal="center"/>
    </xf>
    <xf numFmtId="49" fontId="4" fillId="16" borderId="25" xfId="0" applyNumberFormat="1" applyFont="1" applyFill="1" applyBorder="1" applyAlignment="1">
      <alignment horizontal="center"/>
    </xf>
    <xf numFmtId="0" fontId="4" fillId="14" borderId="20" xfId="0" applyFont="1" applyFill="1" applyBorder="1"/>
    <xf numFmtId="0" fontId="4" fillId="14" borderId="14" xfId="0" applyFont="1" applyFill="1" applyBorder="1"/>
    <xf numFmtId="2" fontId="4" fillId="13" borderId="25" xfId="0" applyNumberFormat="1" applyFont="1" applyFill="1" applyBorder="1"/>
    <xf numFmtId="2" fontId="4" fillId="13" borderId="14" xfId="0" applyNumberFormat="1" applyFont="1" applyFill="1" applyBorder="1"/>
    <xf numFmtId="2" fontId="4" fillId="13" borderId="15" xfId="0" applyNumberFormat="1" applyFont="1" applyFill="1" applyBorder="1"/>
    <xf numFmtId="165" fontId="4" fillId="14" borderId="14" xfId="0" applyNumberFormat="1" applyFont="1" applyFill="1" applyBorder="1"/>
    <xf numFmtId="0" fontId="4" fillId="15" borderId="14" xfId="0" applyFont="1" applyFill="1" applyBorder="1"/>
    <xf numFmtId="165" fontId="4" fillId="15" borderId="14" xfId="0" applyNumberFormat="1" applyFont="1" applyFill="1" applyBorder="1"/>
    <xf numFmtId="2" fontId="4" fillId="7" borderId="25" xfId="0" applyNumberFormat="1" applyFont="1" applyFill="1" applyBorder="1"/>
    <xf numFmtId="1" fontId="4" fillId="11" borderId="14" xfId="0" applyNumberFormat="1" applyFont="1" applyFill="1" applyBorder="1"/>
    <xf numFmtId="2" fontId="4" fillId="6" borderId="14" xfId="0" applyNumberFormat="1" applyFont="1" applyFill="1" applyBorder="1"/>
    <xf numFmtId="10" fontId="4" fillId="6" borderId="15" xfId="1" applyNumberFormat="1" applyFont="1" applyFill="1" applyBorder="1"/>
    <xf numFmtId="49" fontId="4" fillId="16" borderId="26" xfId="0" applyNumberFormat="1" applyFont="1" applyFill="1" applyBorder="1" applyAlignment="1">
      <alignment horizontal="center"/>
    </xf>
    <xf numFmtId="0" fontId="4" fillId="14" borderId="16" xfId="0" applyFont="1" applyFill="1" applyBorder="1"/>
    <xf numFmtId="0" fontId="4" fillId="14" borderId="17" xfId="0" applyFont="1" applyFill="1" applyBorder="1"/>
    <xf numFmtId="2" fontId="4" fillId="13" borderId="26" xfId="0" applyNumberFormat="1" applyFont="1" applyFill="1" applyBorder="1"/>
    <xf numFmtId="2" fontId="4" fillId="13" borderId="17" xfId="0" applyNumberFormat="1" applyFont="1" applyFill="1" applyBorder="1"/>
    <xf numFmtId="2" fontId="4" fillId="13" borderId="27" xfId="0" applyNumberFormat="1" applyFont="1" applyFill="1" applyBorder="1"/>
    <xf numFmtId="165" fontId="4" fillId="14" borderId="17" xfId="0" applyNumberFormat="1" applyFont="1" applyFill="1" applyBorder="1"/>
    <xf numFmtId="0" fontId="4" fillId="15" borderId="17" xfId="0" applyFont="1" applyFill="1" applyBorder="1"/>
    <xf numFmtId="165" fontId="4" fillId="15" borderId="17" xfId="0" applyNumberFormat="1" applyFont="1" applyFill="1" applyBorder="1"/>
    <xf numFmtId="2" fontId="4" fillId="7" borderId="26" xfId="0" applyNumberFormat="1" applyFont="1" applyFill="1" applyBorder="1"/>
    <xf numFmtId="1" fontId="4" fillId="11" borderId="17" xfId="0" applyNumberFormat="1" applyFont="1" applyFill="1" applyBorder="1"/>
    <xf numFmtId="2" fontId="4" fillId="11" borderId="17" xfId="0" applyNumberFormat="1" applyFont="1" applyFill="1" applyBorder="1"/>
    <xf numFmtId="2" fontId="4" fillId="6" borderId="17" xfId="0" applyNumberFormat="1" applyFont="1" applyFill="1" applyBorder="1"/>
    <xf numFmtId="10" fontId="4" fillId="6" borderId="27" xfId="1" applyNumberFormat="1" applyFont="1" applyFill="1" applyBorder="1"/>
    <xf numFmtId="49" fontId="4" fillId="16" borderId="1" xfId="0" applyNumberFormat="1" applyFont="1" applyFill="1" applyBorder="1" applyAlignment="1">
      <alignment horizontal="center"/>
    </xf>
    <xf numFmtId="49" fontId="4" fillId="17" borderId="7" xfId="0" applyNumberFormat="1" applyFont="1" applyFill="1" applyBorder="1" applyAlignment="1">
      <alignment horizontal="center"/>
    </xf>
    <xf numFmtId="49" fontId="4" fillId="17" borderId="9" xfId="0" applyNumberFormat="1" applyFont="1" applyFill="1" applyBorder="1" applyAlignment="1">
      <alignment horizontal="center"/>
    </xf>
    <xf numFmtId="49" fontId="4" fillId="17" borderId="25" xfId="0" applyNumberFormat="1" applyFont="1" applyFill="1" applyBorder="1" applyAlignment="1">
      <alignment horizontal="center"/>
    </xf>
    <xf numFmtId="2" fontId="4" fillId="14" borderId="14" xfId="0" applyNumberFormat="1" applyFont="1" applyFill="1" applyBorder="1"/>
    <xf numFmtId="49" fontId="4" fillId="17" borderId="26" xfId="0" applyNumberFormat="1" applyFont="1" applyFill="1" applyBorder="1" applyAlignment="1">
      <alignment horizontal="center"/>
    </xf>
    <xf numFmtId="2" fontId="4" fillId="14" borderId="17" xfId="0" applyNumberFormat="1" applyFont="1" applyFill="1" applyBorder="1"/>
    <xf numFmtId="2" fontId="4" fillId="18" borderId="7" xfId="0" applyNumberFormat="1" applyFont="1" applyFill="1" applyBorder="1"/>
    <xf numFmtId="2" fontId="4" fillId="18" borderId="0" xfId="0" applyNumberFormat="1" applyFont="1" applyFill="1"/>
    <xf numFmtId="2" fontId="4" fillId="18" borderId="8" xfId="0" applyNumberFormat="1" applyFont="1" applyFill="1" applyBorder="1"/>
    <xf numFmtId="2" fontId="4" fillId="18" borderId="25" xfId="0" applyNumberFormat="1" applyFont="1" applyFill="1" applyBorder="1"/>
    <xf numFmtId="2" fontId="4" fillId="18" borderId="14" xfId="0" applyNumberFormat="1" applyFont="1" applyFill="1" applyBorder="1"/>
    <xf numFmtId="2" fontId="4" fillId="18" borderId="15" xfId="0" applyNumberFormat="1" applyFont="1" applyFill="1" applyBorder="1"/>
    <xf numFmtId="2" fontId="4" fillId="18" borderId="9" xfId="0" applyNumberFormat="1" applyFont="1" applyFill="1" applyBorder="1"/>
    <xf numFmtId="2" fontId="4" fillId="18" borderId="10" xfId="0" applyNumberFormat="1" applyFont="1" applyFill="1" applyBorder="1"/>
    <xf numFmtId="2" fontId="4" fillId="18" borderId="11" xfId="0" applyNumberFormat="1" applyFont="1" applyFill="1" applyBorder="1"/>
    <xf numFmtId="0" fontId="4" fillId="18" borderId="7" xfId="0" applyFont="1" applyFill="1" applyBorder="1"/>
    <xf numFmtId="0" fontId="4" fillId="18" borderId="0" xfId="0" applyFont="1" applyFill="1"/>
    <xf numFmtId="0" fontId="4" fillId="18" borderId="8" xfId="0" applyFont="1" applyFill="1" applyBorder="1"/>
    <xf numFmtId="0" fontId="4" fillId="18" borderId="9" xfId="0" applyFont="1" applyFill="1" applyBorder="1"/>
    <xf numFmtId="0" fontId="4" fillId="18" borderId="10" xfId="0" applyFont="1" applyFill="1" applyBorder="1"/>
    <xf numFmtId="0" fontId="4" fillId="18" borderId="11" xfId="0" applyFont="1" applyFill="1" applyBorder="1"/>
    <xf numFmtId="0" fontId="4" fillId="8" borderId="0" xfId="0" applyFont="1" applyFill="1" applyAlignment="1">
      <alignment horizontal="right"/>
    </xf>
    <xf numFmtId="166" fontId="0" fillId="4" borderId="0" xfId="0" applyNumberFormat="1" applyFill="1" applyAlignment="1">
      <alignment horizontal="right"/>
    </xf>
    <xf numFmtId="0" fontId="4" fillId="4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8" borderId="1" xfId="0" applyFont="1" applyFill="1" applyBorder="1" applyAlignment="1">
      <alignment horizontal="right"/>
    </xf>
    <xf numFmtId="0" fontId="4" fillId="8" borderId="2" xfId="0" applyFont="1" applyFill="1" applyBorder="1" applyAlignment="1">
      <alignment horizontal="right"/>
    </xf>
    <xf numFmtId="0" fontId="4" fillId="8" borderId="3" xfId="0" applyFont="1" applyFill="1" applyBorder="1" applyAlignment="1">
      <alignment horizontal="right"/>
    </xf>
    <xf numFmtId="0" fontId="0" fillId="8" borderId="8" xfId="0" applyFill="1" applyBorder="1" applyAlignment="1">
      <alignment horizontal="right"/>
    </xf>
    <xf numFmtId="0" fontId="4" fillId="8" borderId="8" xfId="0" applyFont="1" applyFill="1" applyBorder="1" applyAlignment="1">
      <alignment horizontal="right"/>
    </xf>
    <xf numFmtId="0" fontId="4" fillId="4" borderId="8" xfId="0" applyFont="1" applyFill="1" applyBorder="1" applyAlignment="1">
      <alignment horizontal="right"/>
    </xf>
    <xf numFmtId="166" fontId="0" fillId="4" borderId="8" xfId="0" applyNumberForma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right"/>
    </xf>
    <xf numFmtId="0" fontId="0" fillId="6" borderId="0" xfId="0" applyFill="1"/>
    <xf numFmtId="0" fontId="4" fillId="6" borderId="0" xfId="0" applyFont="1" applyFill="1"/>
    <xf numFmtId="49" fontId="4" fillId="4" borderId="0" xfId="0" applyNumberFormat="1" applyFont="1" applyFill="1" applyAlignment="1">
      <alignment horizontal="right"/>
    </xf>
    <xf numFmtId="0" fontId="4" fillId="7" borderId="0" xfId="0" applyFont="1" applyFill="1"/>
    <xf numFmtId="0" fontId="4" fillId="7" borderId="0" xfId="0" applyFont="1" applyFill="1" applyAlignment="1">
      <alignment horizontal="right"/>
    </xf>
    <xf numFmtId="0" fontId="0" fillId="7" borderId="0" xfId="0" applyFill="1"/>
    <xf numFmtId="2" fontId="4" fillId="0" borderId="1" xfId="0" applyNumberFormat="1" applyFont="1" applyBorder="1"/>
    <xf numFmtId="2" fontId="4" fillId="0" borderId="9" xfId="0" applyNumberFormat="1" applyFont="1" applyBorder="1"/>
    <xf numFmtId="0" fontId="4" fillId="6" borderId="25" xfId="0" applyFont="1" applyFill="1" applyBorder="1"/>
    <xf numFmtId="0" fontId="4" fillId="6" borderId="14" xfId="0" applyFont="1" applyFill="1" applyBorder="1"/>
    <xf numFmtId="2" fontId="4" fillId="0" borderId="25" xfId="0" applyNumberFormat="1" applyFont="1" applyBorder="1"/>
    <xf numFmtId="2" fontId="4" fillId="0" borderId="14" xfId="0" applyNumberFormat="1" applyFont="1" applyBorder="1"/>
    <xf numFmtId="1" fontId="4" fillId="0" borderId="15" xfId="2" applyNumberFormat="1" applyFont="1" applyFill="1" applyBorder="1"/>
    <xf numFmtId="49" fontId="4" fillId="4" borderId="26" xfId="0" applyNumberFormat="1" applyFont="1" applyFill="1" applyBorder="1" applyAlignment="1">
      <alignment horizontal="right"/>
    </xf>
    <xf numFmtId="0" fontId="4" fillId="4" borderId="17" xfId="0" applyFont="1" applyFill="1" applyBorder="1" applyAlignment="1">
      <alignment horizontal="right"/>
    </xf>
    <xf numFmtId="2" fontId="4" fillId="0" borderId="26" xfId="0" applyNumberFormat="1" applyFont="1" applyBorder="1"/>
    <xf numFmtId="2" fontId="4" fillId="0" borderId="17" xfId="0" applyNumberFormat="1" applyFont="1" applyBorder="1"/>
    <xf numFmtId="1" fontId="4" fillId="0" borderId="27" xfId="2" applyNumberFormat="1" applyFont="1" applyFill="1" applyBorder="1"/>
    <xf numFmtId="0" fontId="4" fillId="4" borderId="25" xfId="0" applyFont="1" applyFill="1" applyBorder="1" applyAlignment="1">
      <alignment horizontal="right"/>
    </xf>
    <xf numFmtId="0" fontId="4" fillId="4" borderId="14" xfId="0" applyFont="1" applyFill="1" applyBorder="1" applyAlignment="1">
      <alignment horizontal="right"/>
    </xf>
    <xf numFmtId="49" fontId="4" fillId="4" borderId="14" xfId="0" applyNumberFormat="1" applyFont="1" applyFill="1" applyBorder="1" applyAlignment="1">
      <alignment horizontal="right"/>
    </xf>
    <xf numFmtId="0" fontId="4" fillId="8" borderId="25" xfId="0" applyFont="1" applyFill="1" applyBorder="1" applyAlignment="1">
      <alignment horizontal="right"/>
    </xf>
    <xf numFmtId="0" fontId="4" fillId="8" borderId="14" xfId="0" applyFont="1" applyFill="1" applyBorder="1" applyAlignment="1">
      <alignment horizontal="right"/>
    </xf>
    <xf numFmtId="0" fontId="4" fillId="8" borderId="15" xfId="0" applyFont="1" applyFill="1" applyBorder="1" applyAlignment="1">
      <alignment horizontal="right"/>
    </xf>
    <xf numFmtId="166" fontId="0" fillId="4" borderId="26" xfId="0" applyNumberFormat="1" applyFill="1" applyBorder="1" applyAlignment="1">
      <alignment horizontal="right"/>
    </xf>
    <xf numFmtId="0" fontId="4" fillId="4" borderId="27" xfId="0" applyFont="1" applyFill="1" applyBorder="1" applyAlignment="1">
      <alignment horizontal="right"/>
    </xf>
    <xf numFmtId="166" fontId="0" fillId="4" borderId="15" xfId="0" applyNumberFormat="1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8" xfId="0" applyNumberFormat="1" applyFont="1" applyBorder="1" applyAlignment="1">
      <alignment horizontal="right"/>
    </xf>
    <xf numFmtId="49" fontId="0" fillId="0" borderId="0" xfId="0" applyNumberFormat="1"/>
    <xf numFmtId="0" fontId="4" fillId="13" borderId="25" xfId="0" applyFont="1" applyFill="1" applyBorder="1"/>
    <xf numFmtId="0" fontId="4" fillId="13" borderId="14" xfId="0" applyFont="1" applyFill="1" applyBorder="1"/>
    <xf numFmtId="0" fontId="4" fillId="13" borderId="15" xfId="0" applyFont="1" applyFill="1" applyBorder="1"/>
    <xf numFmtId="49" fontId="4" fillId="0" borderId="2" xfId="0" applyNumberFormat="1" applyFont="1" applyBorder="1"/>
    <xf numFmtId="49" fontId="4" fillId="0" borderId="0" xfId="0" applyNumberFormat="1" applyFont="1"/>
    <xf numFmtId="49" fontId="4" fillId="0" borderId="14" xfId="0" applyNumberFormat="1" applyFont="1" applyBorder="1"/>
    <xf numFmtId="49" fontId="4" fillId="0" borderId="10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 textRotation="90" wrapText="1"/>
    </xf>
    <xf numFmtId="0" fontId="5" fillId="0" borderId="24" xfId="0" applyFont="1" applyBorder="1" applyAlignment="1">
      <alignment horizontal="center" vertical="center" textRotation="90" wrapText="1"/>
    </xf>
    <xf numFmtId="0" fontId="5" fillId="0" borderId="22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/>
    </xf>
    <xf numFmtId="0" fontId="10" fillId="0" borderId="9" xfId="0" applyFont="1" applyBorder="1" applyAlignment="1">
      <alignment horizontal="center" vertical="center" textRotation="90"/>
    </xf>
    <xf numFmtId="0" fontId="5" fillId="0" borderId="23" xfId="0" applyFont="1" applyBorder="1" applyAlignment="1">
      <alignment horizontal="center" vertical="center" textRotation="90"/>
    </xf>
    <xf numFmtId="0" fontId="5" fillId="0" borderId="24" xfId="0" applyFont="1" applyBorder="1" applyAlignment="1">
      <alignment horizontal="center" vertical="center" textRotation="90"/>
    </xf>
    <xf numFmtId="0" fontId="5" fillId="0" borderId="22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9" fillId="13" borderId="8" xfId="0" applyFont="1" applyFill="1" applyBorder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CCD_1!$F$14:$F$21</c:f>
              <c:numCache>
                <c:formatCode>0.00</c:formatCode>
                <c:ptCount val="8"/>
                <c:pt idx="0">
                  <c:v>6.3000000000000007</c:v>
                </c:pt>
                <c:pt idx="1">
                  <c:v>6.3000000000000007</c:v>
                </c:pt>
                <c:pt idx="2">
                  <c:v>11.7</c:v>
                </c:pt>
                <c:pt idx="3">
                  <c:v>11.7</c:v>
                </c:pt>
                <c:pt idx="4">
                  <c:v>6.3000000000000007</c:v>
                </c:pt>
                <c:pt idx="5">
                  <c:v>6.3000000000000007</c:v>
                </c:pt>
                <c:pt idx="6">
                  <c:v>11.7</c:v>
                </c:pt>
                <c:pt idx="7">
                  <c:v>11.7</c:v>
                </c:pt>
              </c:numCache>
            </c:numRef>
          </c:xVal>
          <c:yVal>
            <c:numRef>
              <c:f>CCD_1!$E$14:$E$21</c:f>
              <c:numCache>
                <c:formatCode>0.00</c:formatCode>
                <c:ptCount val="8"/>
                <c:pt idx="0">
                  <c:v>0.72</c:v>
                </c:pt>
                <c:pt idx="1">
                  <c:v>1.78</c:v>
                </c:pt>
                <c:pt idx="2">
                  <c:v>0.72</c:v>
                </c:pt>
                <c:pt idx="3">
                  <c:v>1.78</c:v>
                </c:pt>
                <c:pt idx="4">
                  <c:v>0.72</c:v>
                </c:pt>
                <c:pt idx="5">
                  <c:v>1.78</c:v>
                </c:pt>
                <c:pt idx="6">
                  <c:v>0.72</c:v>
                </c:pt>
                <c:pt idx="7">
                  <c:v>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F2-4426-946A-6E2C1D69D18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CCD_1!$F$22:$F$30</c:f>
              <c:numCache>
                <c:formatCode>0.00</c:formatCode>
                <c:ptCount val="9"/>
                <c:pt idx="0">
                  <c:v>9</c:v>
                </c:pt>
                <c:pt idx="1">
                  <c:v>9</c:v>
                </c:pt>
                <c:pt idx="2">
                  <c:v>4.4591593576299431</c:v>
                </c:pt>
                <c:pt idx="3">
                  <c:v>13.540840642370057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</c:numCache>
            </c:numRef>
          </c:xVal>
          <c:yVal>
            <c:numRef>
              <c:f>CCD_1!$E$22:$E$30</c:f>
              <c:numCache>
                <c:formatCode>0.00</c:formatCode>
                <c:ptCount val="9"/>
                <c:pt idx="0">
                  <c:v>0.3586497998310626</c:v>
                </c:pt>
                <c:pt idx="1">
                  <c:v>2.1413502001689375</c:v>
                </c:pt>
                <c:pt idx="2">
                  <c:v>1.25</c:v>
                </c:pt>
                <c:pt idx="3">
                  <c:v>1.25</c:v>
                </c:pt>
                <c:pt idx="4">
                  <c:v>1.25</c:v>
                </c:pt>
                <c:pt idx="5">
                  <c:v>1.25</c:v>
                </c:pt>
                <c:pt idx="6">
                  <c:v>1.25</c:v>
                </c:pt>
                <c:pt idx="7">
                  <c:v>1.25</c:v>
                </c:pt>
                <c:pt idx="8">
                  <c:v>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F2-4426-946A-6E2C1D69D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328319"/>
        <c:axId val="1201059631"/>
      </c:scatterChart>
      <c:valAx>
        <c:axId val="1423328319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Sample</a:t>
                </a:r>
                <a:r>
                  <a:rPr lang="es-CL" baseline="0"/>
                  <a:t> Volumea [mL]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01059631"/>
        <c:crosses val="autoZero"/>
        <c:crossBetween val="midCat"/>
      </c:valAx>
      <c:valAx>
        <c:axId val="120105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Extractant:Dispersant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2332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CCD_2!$G$14:$G$25</c:f>
              <c:numCache>
                <c:formatCode>0</c:formatCode>
                <c:ptCount val="12"/>
                <c:pt idx="0">
                  <c:v>190</c:v>
                </c:pt>
                <c:pt idx="1">
                  <c:v>410</c:v>
                </c:pt>
                <c:pt idx="2">
                  <c:v>410</c:v>
                </c:pt>
                <c:pt idx="3">
                  <c:v>190</c:v>
                </c:pt>
                <c:pt idx="4">
                  <c:v>300</c:v>
                </c:pt>
                <c:pt idx="5">
                  <c:v>300</c:v>
                </c:pt>
                <c:pt idx="6">
                  <c:v>410</c:v>
                </c:pt>
                <c:pt idx="7">
                  <c:v>190</c:v>
                </c:pt>
                <c:pt idx="8">
                  <c:v>190</c:v>
                </c:pt>
                <c:pt idx="9">
                  <c:v>410</c:v>
                </c:pt>
                <c:pt idx="10">
                  <c:v>300</c:v>
                </c:pt>
                <c:pt idx="11">
                  <c:v>300</c:v>
                </c:pt>
              </c:numCache>
            </c:numRef>
          </c:xVal>
          <c:yVal>
            <c:numRef>
              <c:f>CCD_2!$F$14:$F$25</c:f>
              <c:numCache>
                <c:formatCode>0.00</c:formatCode>
                <c:ptCount val="12"/>
                <c:pt idx="0">
                  <c:v>6.3000000000000007</c:v>
                </c:pt>
                <c:pt idx="1">
                  <c:v>11.7</c:v>
                </c:pt>
                <c:pt idx="2">
                  <c:v>6.3000000000000007</c:v>
                </c:pt>
                <c:pt idx="3">
                  <c:v>11.7</c:v>
                </c:pt>
                <c:pt idx="4">
                  <c:v>9</c:v>
                </c:pt>
                <c:pt idx="5">
                  <c:v>9</c:v>
                </c:pt>
                <c:pt idx="6">
                  <c:v>6.3000000000000007</c:v>
                </c:pt>
                <c:pt idx="7">
                  <c:v>11.7</c:v>
                </c:pt>
                <c:pt idx="8">
                  <c:v>6.3000000000000007</c:v>
                </c:pt>
                <c:pt idx="9">
                  <c:v>11.7</c:v>
                </c:pt>
                <c:pt idx="10">
                  <c:v>9</c:v>
                </c:pt>
                <c:pt idx="1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6-4584-90B1-6A2199CA8F0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CCD_2!$G$26:$G$33</c:f>
              <c:numCache>
                <c:formatCode>0</c:formatCode>
                <c:ptCount val="8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115.0027886441828</c:v>
                </c:pt>
                <c:pt idx="5">
                  <c:v>484.99721135581717</c:v>
                </c:pt>
                <c:pt idx="6">
                  <c:v>300</c:v>
                </c:pt>
                <c:pt idx="7">
                  <c:v>300</c:v>
                </c:pt>
              </c:numCache>
            </c:numRef>
          </c:xVal>
          <c:yVal>
            <c:numRef>
              <c:f>CCD_2!$F$26:$F$33</c:f>
              <c:numCache>
                <c:formatCode>0.00</c:formatCode>
                <c:ptCount val="8"/>
                <c:pt idx="0">
                  <c:v>9</c:v>
                </c:pt>
                <c:pt idx="1">
                  <c:v>9</c:v>
                </c:pt>
                <c:pt idx="2">
                  <c:v>4.4591593576299431</c:v>
                </c:pt>
                <c:pt idx="3">
                  <c:v>13.540840642370057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6-4584-90B1-6A2199CA8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328319"/>
        <c:axId val="1201059631"/>
      </c:scatterChart>
      <c:valAx>
        <c:axId val="1423328319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Extractant Mixture [uL]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01059631"/>
        <c:crosses val="autoZero"/>
        <c:crossBetween val="midCat"/>
      </c:valAx>
      <c:valAx>
        <c:axId val="1201059631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Sample Volume [mL]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2332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CCD_3!$G$14:$G$25</c:f>
              <c:numCache>
                <c:formatCode>0</c:formatCode>
                <c:ptCount val="12"/>
                <c:pt idx="0">
                  <c:v>190</c:v>
                </c:pt>
                <c:pt idx="1">
                  <c:v>190</c:v>
                </c:pt>
                <c:pt idx="2">
                  <c:v>190</c:v>
                </c:pt>
                <c:pt idx="3">
                  <c:v>190</c:v>
                </c:pt>
                <c:pt idx="4">
                  <c:v>410</c:v>
                </c:pt>
                <c:pt idx="5">
                  <c:v>410</c:v>
                </c:pt>
                <c:pt idx="6">
                  <c:v>410</c:v>
                </c:pt>
                <c:pt idx="7">
                  <c:v>410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</c:numCache>
            </c:numRef>
          </c:xVal>
          <c:yVal>
            <c:numRef>
              <c:f>CCD_3!$F$14:$F$25</c:f>
              <c:numCache>
                <c:formatCode>0.00</c:formatCode>
                <c:ptCount val="12"/>
                <c:pt idx="0">
                  <c:v>6.3000000000000007</c:v>
                </c:pt>
                <c:pt idx="1">
                  <c:v>6.3000000000000007</c:v>
                </c:pt>
                <c:pt idx="2">
                  <c:v>11.7</c:v>
                </c:pt>
                <c:pt idx="3">
                  <c:v>11.7</c:v>
                </c:pt>
                <c:pt idx="4">
                  <c:v>6.3000000000000007</c:v>
                </c:pt>
                <c:pt idx="5">
                  <c:v>6.3000000000000007</c:v>
                </c:pt>
                <c:pt idx="6">
                  <c:v>11.7</c:v>
                </c:pt>
                <c:pt idx="7">
                  <c:v>11.7</c:v>
                </c:pt>
                <c:pt idx="8">
                  <c:v>9</c:v>
                </c:pt>
                <c:pt idx="9">
                  <c:v>9</c:v>
                </c:pt>
                <c:pt idx="10">
                  <c:v>4.4591593576299431</c:v>
                </c:pt>
                <c:pt idx="11">
                  <c:v>13.540840642370057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FC-46BF-8E24-38455208A3F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CCD_3!$G$26:$G$32</c:f>
              <c:numCache>
                <c:formatCode>0</c:formatCode>
                <c:ptCount val="7"/>
                <c:pt idx="0">
                  <c:v>115.0027886441828</c:v>
                </c:pt>
                <c:pt idx="1">
                  <c:v>484.99721135581717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</c:numCache>
            </c:numRef>
          </c:xVal>
          <c:yVal>
            <c:numRef>
              <c:f>CCD_3!$F$26:$F$32</c:f>
              <c:numCache>
                <c:formatCode>0.00</c:formatCode>
                <c:ptCount val="7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FC-46BF-8E24-38455208A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328319"/>
        <c:axId val="1201059631"/>
      </c:scatterChart>
      <c:valAx>
        <c:axId val="1423328319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Extractant Mixture [uL]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201059631"/>
        <c:crosses val="autoZero"/>
        <c:crossBetween val="midCat"/>
      </c:valAx>
      <c:valAx>
        <c:axId val="1201059631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Sample Volume [mL]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2332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2.xml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247651</xdr:colOff>
      <xdr:row>1</xdr:row>
      <xdr:rowOff>85725</xdr:rowOff>
    </xdr:from>
    <xdr:to>
      <xdr:col>19</xdr:col>
      <xdr:colOff>190500</xdr:colOff>
      <xdr:row>8</xdr:row>
      <xdr:rowOff>187133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E5695F-8639-4DA0-8D26-9AC5367DE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11226" y="285750"/>
          <a:ext cx="4514849" cy="1686368"/>
        </a:xfrm>
        <a:prstGeom prst="rect">
          <a:avLst/>
        </a:prstGeom>
      </xdr:spPr>
    </xdr:pic>
    <xdr:clientData/>
  </xdr:twoCellAnchor>
  <xdr:twoCellAnchor editAs="oneCell">
    <xdr:from>
      <xdr:col>10</xdr:col>
      <xdr:colOff>657225</xdr:colOff>
      <xdr:row>2</xdr:row>
      <xdr:rowOff>19050</xdr:rowOff>
    </xdr:from>
    <xdr:to>
      <xdr:col>13</xdr:col>
      <xdr:colOff>110736</xdr:colOff>
      <xdr:row>4</xdr:row>
      <xdr:rowOff>194399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9B433F-A7E0-478B-8802-A79F6AB3B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06225" y="447675"/>
          <a:ext cx="1762371" cy="638264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9</xdr:row>
      <xdr:rowOff>184996</xdr:rowOff>
    </xdr:from>
    <xdr:to>
      <xdr:col>19</xdr:col>
      <xdr:colOff>56495</xdr:colOff>
      <xdr:row>16</xdr:row>
      <xdr:rowOff>178555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E9052A1-5C70-47F1-A4F1-C237FE6AA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60729" y="2177082"/>
          <a:ext cx="6223252" cy="1321616"/>
        </a:xfrm>
        <a:prstGeom prst="rect">
          <a:avLst/>
        </a:prstGeom>
      </xdr:spPr>
    </xdr:pic>
    <xdr:clientData/>
  </xdr:twoCellAnchor>
  <xdr:twoCellAnchor editAs="oneCell">
    <xdr:from>
      <xdr:col>10</xdr:col>
      <xdr:colOff>781050</xdr:colOff>
      <xdr:row>5</xdr:row>
      <xdr:rowOff>85725</xdr:rowOff>
    </xdr:from>
    <xdr:to>
      <xdr:col>12</xdr:col>
      <xdr:colOff>681990</xdr:colOff>
      <xdr:row>7</xdr:row>
      <xdr:rowOff>4146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2B0854D-5E78-4972-9C10-D2BB4C09F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30050" y="1200150"/>
          <a:ext cx="1447800" cy="383241"/>
        </a:xfrm>
        <a:prstGeom prst="rect">
          <a:avLst/>
        </a:prstGeom>
      </xdr:spPr>
    </xdr:pic>
    <xdr:clientData/>
  </xdr:twoCellAnchor>
  <xdr:twoCellAnchor>
    <xdr:from>
      <xdr:col>7</xdr:col>
      <xdr:colOff>42169</xdr:colOff>
      <xdr:row>12</xdr:row>
      <xdr:rowOff>124172</xdr:rowOff>
    </xdr:from>
    <xdr:to>
      <xdr:col>10</xdr:col>
      <xdr:colOff>652116</xdr:colOff>
      <xdr:row>30</xdr:row>
      <xdr:rowOff>16107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C17CE24-AD6B-4599-9269-AE5F075B2A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1</xdr:row>
      <xdr:rowOff>76200</xdr:rowOff>
    </xdr:from>
    <xdr:to>
      <xdr:col>19</xdr:col>
      <xdr:colOff>756285</xdr:colOff>
      <xdr:row>8</xdr:row>
      <xdr:rowOff>179513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52A5AC-389E-42A1-870E-8827C494A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3201" y="276225"/>
          <a:ext cx="4514849" cy="1695893"/>
        </a:xfrm>
        <a:prstGeom prst="rect">
          <a:avLst/>
        </a:prstGeom>
      </xdr:spPr>
    </xdr:pic>
    <xdr:clientData/>
  </xdr:twoCellAnchor>
  <xdr:twoCellAnchor editAs="oneCell">
    <xdr:from>
      <xdr:col>11</xdr:col>
      <xdr:colOff>333375</xdr:colOff>
      <xdr:row>1</xdr:row>
      <xdr:rowOff>85725</xdr:rowOff>
    </xdr:from>
    <xdr:to>
      <xdr:col>13</xdr:col>
      <xdr:colOff>575556</xdr:colOff>
      <xdr:row>4</xdr:row>
      <xdr:rowOff>34379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790136-2503-4DC1-ABA1-DCAF0F8E7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72950" y="285750"/>
          <a:ext cx="1768086" cy="632549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542925</xdr:colOff>
      <xdr:row>9</xdr:row>
      <xdr:rowOff>115600</xdr:rowOff>
    </xdr:from>
    <xdr:to>
      <xdr:col>19</xdr:col>
      <xdr:colOff>413818</xdr:colOff>
      <xdr:row>16</xdr:row>
      <xdr:rowOff>106215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A86C8C6-4D00-419F-AC2E-D07E240C2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00" y="2115850"/>
          <a:ext cx="5963083" cy="1348880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4</xdr:row>
      <xdr:rowOff>19050</xdr:rowOff>
    </xdr:from>
    <xdr:to>
      <xdr:col>13</xdr:col>
      <xdr:colOff>339090</xdr:colOff>
      <xdr:row>5</xdr:row>
      <xdr:rowOff>175596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1EC5F0E-D586-4EDA-88BD-347D2DB04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49150" y="904875"/>
          <a:ext cx="1453515" cy="377526"/>
        </a:xfrm>
        <a:prstGeom prst="rect">
          <a:avLst/>
        </a:prstGeom>
      </xdr:spPr>
    </xdr:pic>
    <xdr:clientData/>
  </xdr:twoCellAnchor>
  <xdr:twoCellAnchor>
    <xdr:from>
      <xdr:col>8</xdr:col>
      <xdr:colOff>127720</xdr:colOff>
      <xdr:row>13</xdr:row>
      <xdr:rowOff>124690</xdr:rowOff>
    </xdr:from>
    <xdr:to>
      <xdr:col>11</xdr:col>
      <xdr:colOff>721563</xdr:colOff>
      <xdr:row>34</xdr:row>
      <xdr:rowOff>13681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6E75395-92A1-4F1F-A9B5-B98BF56BF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1</xdr:row>
      <xdr:rowOff>76200</xdr:rowOff>
    </xdr:from>
    <xdr:to>
      <xdr:col>19</xdr:col>
      <xdr:colOff>752475</xdr:colOff>
      <xdr:row>8</xdr:row>
      <xdr:rowOff>171893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CB1F70-5369-43C2-96C3-E790C33AE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86586" y="266700"/>
          <a:ext cx="4667249" cy="1695893"/>
        </a:xfrm>
        <a:prstGeom prst="rect">
          <a:avLst/>
        </a:prstGeom>
      </xdr:spPr>
    </xdr:pic>
    <xdr:clientData/>
  </xdr:twoCellAnchor>
  <xdr:twoCellAnchor editAs="oneCell">
    <xdr:from>
      <xdr:col>11</xdr:col>
      <xdr:colOff>333375</xdr:colOff>
      <xdr:row>1</xdr:row>
      <xdr:rowOff>85725</xdr:rowOff>
    </xdr:from>
    <xdr:to>
      <xdr:col>13</xdr:col>
      <xdr:colOff>577461</xdr:colOff>
      <xdr:row>4</xdr:row>
      <xdr:rowOff>32474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F066BD-920C-42C1-BF17-DA923DF20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94895" y="276225"/>
          <a:ext cx="1829046" cy="632549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542925</xdr:colOff>
      <xdr:row>9</xdr:row>
      <xdr:rowOff>115600</xdr:rowOff>
    </xdr:from>
    <xdr:to>
      <xdr:col>19</xdr:col>
      <xdr:colOff>410008</xdr:colOff>
      <xdr:row>16</xdr:row>
      <xdr:rowOff>102405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F889B0E-DB68-4702-9FC7-A82756D02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4445" y="2096800"/>
          <a:ext cx="6206923" cy="12898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4</xdr:row>
      <xdr:rowOff>19050</xdr:rowOff>
    </xdr:from>
    <xdr:to>
      <xdr:col>13</xdr:col>
      <xdr:colOff>339090</xdr:colOff>
      <xdr:row>5</xdr:row>
      <xdr:rowOff>167976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D705532-CCA4-479E-8BE9-EEAA3F3B3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71095" y="895350"/>
          <a:ext cx="1514475" cy="377526"/>
        </a:xfrm>
        <a:prstGeom prst="rect">
          <a:avLst/>
        </a:prstGeom>
      </xdr:spPr>
    </xdr:pic>
    <xdr:clientData/>
  </xdr:twoCellAnchor>
  <xdr:twoCellAnchor>
    <xdr:from>
      <xdr:col>8</xdr:col>
      <xdr:colOff>935440</xdr:colOff>
      <xdr:row>12</xdr:row>
      <xdr:rowOff>139930</xdr:rowOff>
    </xdr:from>
    <xdr:to>
      <xdr:col>12</xdr:col>
      <xdr:colOff>736803</xdr:colOff>
      <xdr:row>32</xdr:row>
      <xdr:rowOff>21301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DC04ECB-70C8-41CE-BCE4-653D4D7A9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31A2-0329-4BE6-93A9-4D9F24EE94D9}">
  <dimension ref="B2:C4"/>
  <sheetViews>
    <sheetView workbookViewId="0">
      <selection activeCell="B17" sqref="B17"/>
    </sheetView>
  </sheetViews>
  <sheetFormatPr baseColWidth="10" defaultRowHeight="14.4" x14ac:dyDescent="0.3"/>
  <sheetData>
    <row r="2" spans="2:3" x14ac:dyDescent="0.3">
      <c r="B2" t="s">
        <v>111</v>
      </c>
      <c r="C2" t="s">
        <v>112</v>
      </c>
    </row>
    <row r="3" spans="2:3" x14ac:dyDescent="0.3">
      <c r="B3" t="s">
        <v>84</v>
      </c>
      <c r="C3" t="s">
        <v>113</v>
      </c>
    </row>
    <row r="4" spans="2:3" x14ac:dyDescent="0.3">
      <c r="B4" t="s">
        <v>114</v>
      </c>
      <c r="C4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Normal="100" workbookViewId="0">
      <selection activeCell="H2" sqref="H2:J2"/>
    </sheetView>
  </sheetViews>
  <sheetFormatPr baseColWidth="10" defaultColWidth="9.109375" defaultRowHeight="14.4" x14ac:dyDescent="0.3"/>
  <cols>
    <col min="2" max="2" width="12.109375" customWidth="1"/>
    <col min="3" max="3" width="11.88671875" customWidth="1"/>
    <col min="5" max="7" width="12.33203125" customWidth="1"/>
    <col min="8" max="9" width="12" bestFit="1" customWidth="1"/>
    <col min="10" max="10" width="11" bestFit="1" customWidth="1"/>
  </cols>
  <sheetData>
    <row r="1" spans="1:10" ht="15" thickBot="1" x14ac:dyDescent="0.35">
      <c r="A1" s="83" t="s">
        <v>99</v>
      </c>
      <c r="B1" s="83" t="s">
        <v>117</v>
      </c>
      <c r="C1" s="83" t="s">
        <v>118</v>
      </c>
    </row>
    <row r="2" spans="1:10" x14ac:dyDescent="0.3">
      <c r="A2" s="164">
        <v>0.1</v>
      </c>
      <c r="B2" s="167">
        <v>7805.7229166666702</v>
      </c>
      <c r="C2" s="167">
        <v>4064.9999999999973</v>
      </c>
      <c r="E2" s="294" t="s">
        <v>102</v>
      </c>
      <c r="F2" s="295"/>
      <c r="G2" s="296"/>
      <c r="H2" s="294" t="s">
        <v>95</v>
      </c>
      <c r="I2" s="295"/>
      <c r="J2" s="296"/>
    </row>
    <row r="3" spans="1:10" x14ac:dyDescent="0.3">
      <c r="A3" s="164">
        <v>0.5</v>
      </c>
      <c r="B3" s="167">
        <v>44724.4</v>
      </c>
      <c r="C3" s="167">
        <v>25141.4</v>
      </c>
      <c r="E3" s="76"/>
      <c r="F3" s="164" t="s">
        <v>3</v>
      </c>
      <c r="G3" s="165" t="s">
        <v>4</v>
      </c>
      <c r="H3" s="76"/>
      <c r="I3" s="164" t="s">
        <v>3</v>
      </c>
      <c r="J3" s="165" t="s">
        <v>4</v>
      </c>
    </row>
    <row r="4" spans="1:10" x14ac:dyDescent="0.3">
      <c r="A4" s="164">
        <v>0.5</v>
      </c>
      <c r="B4" s="167">
        <v>41113.1</v>
      </c>
      <c r="C4" s="167">
        <v>23200.600000000006</v>
      </c>
      <c r="E4" s="76"/>
      <c r="F4" s="164">
        <f t="array" ref="F4:G6">LINEST(B2:B23,A2:A23,TRUE,TRUE)</f>
        <v>180825.18205109541</v>
      </c>
      <c r="G4" s="165">
        <v>-31502.556252829498</v>
      </c>
      <c r="H4" s="76"/>
      <c r="I4" s="164">
        <f t="array" ref="I4:J6">LINEST(C2:C23,A2:A23,TRUE,TRUE)</f>
        <v>103645.32473323957</v>
      </c>
      <c r="J4" s="165">
        <v>-24728.407798013883</v>
      </c>
    </row>
    <row r="5" spans="1:10" x14ac:dyDescent="0.3">
      <c r="A5" s="164">
        <v>0.5</v>
      </c>
      <c r="B5" s="167">
        <v>36312.200000000033</v>
      </c>
      <c r="C5" s="167">
        <v>19891.999999999996</v>
      </c>
      <c r="E5" s="76"/>
      <c r="F5">
        <v>1728.5553029171022</v>
      </c>
      <c r="G5" s="77">
        <v>20066.272685404852</v>
      </c>
      <c r="H5" s="76"/>
      <c r="I5">
        <v>1010.8240730176958</v>
      </c>
      <c r="J5" s="77">
        <v>11734.349171191907</v>
      </c>
    </row>
    <row r="6" spans="1:10" x14ac:dyDescent="0.3">
      <c r="A6" s="164">
        <v>2</v>
      </c>
      <c r="B6" s="167">
        <v>318586.80000000005</v>
      </c>
      <c r="C6" s="167">
        <v>178678.90000000002</v>
      </c>
      <c r="E6" s="78" t="s">
        <v>2</v>
      </c>
      <c r="F6" s="164">
        <v>0.99817574416740029</v>
      </c>
      <c r="G6" s="77">
        <v>66177.588982356639</v>
      </c>
      <c r="H6" s="78" t="s">
        <v>2</v>
      </c>
      <c r="I6" s="164">
        <v>0.99810130006213837</v>
      </c>
      <c r="J6" s="77">
        <v>38699.311456652205</v>
      </c>
    </row>
    <row r="7" spans="1:10" x14ac:dyDescent="0.3">
      <c r="A7" s="164">
        <v>2</v>
      </c>
      <c r="B7" s="167">
        <v>345233.6</v>
      </c>
      <c r="C7" s="167">
        <v>193454.00000000006</v>
      </c>
      <c r="E7" s="76"/>
      <c r="G7" s="77"/>
      <c r="H7" s="76"/>
      <c r="J7" s="77"/>
    </row>
    <row r="8" spans="1:10" ht="15" thickBot="1" x14ac:dyDescent="0.35">
      <c r="A8" s="164">
        <v>2</v>
      </c>
      <c r="B8" s="167">
        <v>307551.5</v>
      </c>
      <c r="C8" s="167">
        <v>172586.40000000002</v>
      </c>
      <c r="E8" s="166" t="s">
        <v>29</v>
      </c>
      <c r="F8" s="80">
        <f>3.3*(G6/F4)</f>
        <v>1.2077191968763952</v>
      </c>
      <c r="G8" s="81"/>
      <c r="H8" s="166" t="s">
        <v>29</v>
      </c>
      <c r="I8" s="80">
        <f>3.3*(J6/I4)</f>
        <v>1.2321610080883443</v>
      </c>
      <c r="J8" s="81"/>
    </row>
    <row r="9" spans="1:10" x14ac:dyDescent="0.3">
      <c r="A9" s="164">
        <v>3</v>
      </c>
      <c r="B9" s="167">
        <v>505510.80000000005</v>
      </c>
      <c r="C9" s="167">
        <v>283513.80000000016</v>
      </c>
    </row>
    <row r="10" spans="1:10" x14ac:dyDescent="0.3">
      <c r="A10" s="164">
        <v>3</v>
      </c>
      <c r="B10" s="167">
        <v>457471.39999999991</v>
      </c>
      <c r="C10" s="167">
        <v>256719.99999999991</v>
      </c>
    </row>
    <row r="11" spans="1:10" x14ac:dyDescent="0.3">
      <c r="A11" s="164">
        <v>3</v>
      </c>
      <c r="B11" s="167">
        <v>634746.39999999991</v>
      </c>
      <c r="C11" s="167">
        <v>357021.19999999995</v>
      </c>
    </row>
    <row r="12" spans="1:10" x14ac:dyDescent="0.3">
      <c r="A12" s="164">
        <v>5</v>
      </c>
      <c r="B12" s="167">
        <v>869158.49999999988</v>
      </c>
      <c r="C12" s="167">
        <v>488931.49999999994</v>
      </c>
    </row>
    <row r="13" spans="1:10" x14ac:dyDescent="0.3">
      <c r="A13" s="164">
        <v>5</v>
      </c>
      <c r="B13" s="167">
        <v>852709.4</v>
      </c>
      <c r="C13" s="167">
        <v>478687.79999999842</v>
      </c>
    </row>
    <row r="14" spans="1:10" x14ac:dyDescent="0.3">
      <c r="A14" s="164">
        <v>5</v>
      </c>
      <c r="B14" s="167">
        <v>907865.99999999988</v>
      </c>
      <c r="C14" s="167">
        <v>511232.39999999967</v>
      </c>
    </row>
    <row r="15" spans="1:10" x14ac:dyDescent="0.3">
      <c r="A15" s="164">
        <v>10</v>
      </c>
      <c r="B15" s="167">
        <v>1660262.2000000002</v>
      </c>
      <c r="C15" s="167">
        <v>937629.3</v>
      </c>
    </row>
    <row r="16" spans="1:10" x14ac:dyDescent="0.3">
      <c r="A16" s="164">
        <v>10</v>
      </c>
      <c r="B16" s="167">
        <v>1771366.0000000005</v>
      </c>
      <c r="C16" s="167">
        <v>999141.10000000009</v>
      </c>
    </row>
    <row r="17" spans="1:3" x14ac:dyDescent="0.3">
      <c r="A17" s="164">
        <v>10</v>
      </c>
      <c r="B17" s="167">
        <v>1843854.4000000001</v>
      </c>
      <c r="C17" s="167">
        <v>1041410.5</v>
      </c>
    </row>
    <row r="18" spans="1:3" x14ac:dyDescent="0.3">
      <c r="A18" s="164">
        <v>15</v>
      </c>
      <c r="B18" s="167">
        <v>2788152.9000000004</v>
      </c>
      <c r="C18" s="167">
        <v>1582784.1999999997</v>
      </c>
    </row>
    <row r="19" spans="1:3" x14ac:dyDescent="0.3">
      <c r="A19" s="164">
        <v>15</v>
      </c>
      <c r="B19" s="167">
        <v>2728667.0000000005</v>
      </c>
      <c r="C19" s="167">
        <v>1549260.4</v>
      </c>
    </row>
    <row r="20" spans="1:3" x14ac:dyDescent="0.3">
      <c r="A20" s="164">
        <v>15</v>
      </c>
      <c r="B20" s="167">
        <v>2566378.9000000004</v>
      </c>
      <c r="C20" s="167">
        <v>1454501.7</v>
      </c>
    </row>
    <row r="21" spans="1:3" x14ac:dyDescent="0.3">
      <c r="A21" s="164">
        <v>25</v>
      </c>
      <c r="B21" s="167">
        <v>4601835.5999999987</v>
      </c>
      <c r="C21" s="167">
        <v>2643166.8000000003</v>
      </c>
    </row>
    <row r="22" spans="1:3" x14ac:dyDescent="0.3">
      <c r="A22" s="164">
        <v>25</v>
      </c>
      <c r="B22" s="167">
        <v>4435922.4000000004</v>
      </c>
      <c r="C22" s="167">
        <v>2541917.8000000003</v>
      </c>
    </row>
    <row r="23" spans="1:3" x14ac:dyDescent="0.3">
      <c r="A23" s="164">
        <v>25</v>
      </c>
      <c r="B23" s="167">
        <v>4419567.6000000006</v>
      </c>
      <c r="C23" s="167">
        <v>2535029.2000000002</v>
      </c>
    </row>
    <row r="24" spans="1:3" x14ac:dyDescent="0.3">
      <c r="A24">
        <v>50</v>
      </c>
      <c r="B24" s="1">
        <v>6537595.2000000002</v>
      </c>
    </row>
    <row r="25" spans="1:3" x14ac:dyDescent="0.3">
      <c r="A25">
        <v>50</v>
      </c>
      <c r="B25" s="1">
        <v>6417999.4000000004</v>
      </c>
    </row>
    <row r="26" spans="1:3" x14ac:dyDescent="0.3">
      <c r="A26">
        <v>100</v>
      </c>
      <c r="B26" s="1">
        <v>16335916.100000001</v>
      </c>
    </row>
    <row r="27" spans="1:3" x14ac:dyDescent="0.3">
      <c r="A27">
        <v>100</v>
      </c>
      <c r="B27" s="1">
        <v>15205881.6</v>
      </c>
    </row>
    <row r="28" spans="1:3" x14ac:dyDescent="0.3">
      <c r="A28">
        <v>100</v>
      </c>
      <c r="B28" s="1">
        <v>14535127.599999987</v>
      </c>
    </row>
  </sheetData>
  <mergeCells count="2"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403D-4C07-48AF-BAEE-5CE7D7099C45}">
  <dimension ref="A1:J34"/>
  <sheetViews>
    <sheetView zoomScale="70" zoomScaleNormal="70" workbookViewId="0">
      <selection activeCell="H11" sqref="H11"/>
    </sheetView>
  </sheetViews>
  <sheetFormatPr baseColWidth="10" defaultRowHeight="14.4" x14ac:dyDescent="0.3"/>
  <cols>
    <col min="1" max="1" width="38.44140625" customWidth="1"/>
    <col min="2" max="6" width="11.109375" customWidth="1"/>
    <col min="7" max="8" width="11.6640625" customWidth="1"/>
    <col min="9" max="9" width="34" customWidth="1"/>
    <col min="10" max="10" width="14.109375" customWidth="1"/>
    <col min="11" max="11" width="11.88671875" bestFit="1" customWidth="1"/>
  </cols>
  <sheetData>
    <row r="1" spans="1:10" ht="15" thickBot="1" x14ac:dyDescent="0.35">
      <c r="A1" s="297" t="s">
        <v>10</v>
      </c>
      <c r="B1" s="298"/>
      <c r="C1" s="298"/>
      <c r="D1" s="298"/>
      <c r="E1" s="298"/>
      <c r="F1" s="298"/>
      <c r="G1" s="3"/>
      <c r="H1" s="3"/>
      <c r="I1" s="3"/>
      <c r="J1" s="3"/>
    </row>
    <row r="2" spans="1:10" ht="18" customHeight="1" x14ac:dyDescent="0.3">
      <c r="A2" s="298"/>
      <c r="B2" s="298"/>
      <c r="C2" s="298"/>
      <c r="D2" s="298"/>
      <c r="E2" s="298"/>
      <c r="F2" s="298"/>
      <c r="G2" s="4"/>
      <c r="H2" s="3"/>
      <c r="I2" s="19" t="s">
        <v>21</v>
      </c>
      <c r="J2" s="20">
        <v>3</v>
      </c>
    </row>
    <row r="3" spans="1:10" s="2" customFormat="1" ht="18" customHeight="1" thickBot="1" x14ac:dyDescent="0.35">
      <c r="G3" s="3"/>
      <c r="H3" s="27"/>
      <c r="I3" s="21" t="s">
        <v>22</v>
      </c>
      <c r="J3" s="22">
        <f>2^J2</f>
        <v>8</v>
      </c>
    </row>
    <row r="4" spans="1:10" ht="18" customHeight="1" thickBot="1" x14ac:dyDescent="0.35">
      <c r="A4" s="3"/>
      <c r="B4" s="299" t="s">
        <v>11</v>
      </c>
      <c r="C4" s="300"/>
      <c r="D4" s="300"/>
      <c r="E4" s="300"/>
      <c r="F4" s="301"/>
      <c r="G4" s="3"/>
      <c r="H4" s="3"/>
      <c r="I4" s="23" t="s">
        <v>23</v>
      </c>
      <c r="J4" s="24">
        <f>J3^0.25</f>
        <v>1.681792830507429</v>
      </c>
    </row>
    <row r="5" spans="1:10" ht="18" customHeight="1" thickBot="1" x14ac:dyDescent="0.35">
      <c r="A5" s="5" t="s">
        <v>12</v>
      </c>
      <c r="B5" s="6" t="s">
        <v>63</v>
      </c>
      <c r="C5" s="7">
        <v>-1</v>
      </c>
      <c r="D5" s="7">
        <v>0</v>
      </c>
      <c r="E5" s="7">
        <v>1</v>
      </c>
      <c r="F5" s="8" t="s">
        <v>64</v>
      </c>
      <c r="G5" s="3"/>
      <c r="H5" s="3"/>
      <c r="I5" s="25" t="s">
        <v>24</v>
      </c>
      <c r="J5" s="26">
        <v>3</v>
      </c>
    </row>
    <row r="6" spans="1:10" ht="18" customHeight="1" x14ac:dyDescent="0.3">
      <c r="A6" s="9" t="s">
        <v>13</v>
      </c>
      <c r="B6" s="10">
        <f>(-$J$4*(E6-D6))+D6</f>
        <v>0.3586497998310626</v>
      </c>
      <c r="C6" s="11">
        <f>D6-(E6-D6)</f>
        <v>0.72</v>
      </c>
      <c r="D6" s="12">
        <v>1.25</v>
      </c>
      <c r="E6" s="12">
        <v>1.78</v>
      </c>
      <c r="F6" s="13">
        <f>($J$4*(E6-D6))+D6</f>
        <v>2.1413502001689375</v>
      </c>
      <c r="G6" s="11">
        <f>F6-D6</f>
        <v>0.89135020016893751</v>
      </c>
      <c r="H6" s="3"/>
      <c r="I6" s="21" t="s">
        <v>25</v>
      </c>
      <c r="J6" s="22">
        <f>2*J2</f>
        <v>6</v>
      </c>
    </row>
    <row r="7" spans="1:10" ht="18" customHeight="1" x14ac:dyDescent="0.3">
      <c r="A7" s="9" t="s">
        <v>14</v>
      </c>
      <c r="B7" s="10">
        <f>(-$J$4*(E7-D7))+D7</f>
        <v>4.4591593576299431</v>
      </c>
      <c r="C7" s="11">
        <f>D7-(E7-D7)</f>
        <v>6.3000000000000007</v>
      </c>
      <c r="D7" s="12">
        <v>9</v>
      </c>
      <c r="E7" s="12">
        <v>11.7</v>
      </c>
      <c r="F7" s="13">
        <f>($J$4*(E7-D7))+D7</f>
        <v>13.540840642370057</v>
      </c>
      <c r="G7" s="11">
        <f>F7-D7</f>
        <v>4.5408406423700569</v>
      </c>
      <c r="H7" s="3"/>
      <c r="I7" s="23" t="s">
        <v>26</v>
      </c>
      <c r="J7" s="24">
        <f>J6+J5+J3</f>
        <v>17</v>
      </c>
    </row>
    <row r="8" spans="1:10" ht="18" customHeight="1" x14ac:dyDescent="0.3">
      <c r="A8" s="9" t="s">
        <v>98</v>
      </c>
      <c r="B8" s="10">
        <f>(-$J$4*(E8-D8))+D8</f>
        <v>373.1820716949257</v>
      </c>
      <c r="C8" s="11">
        <f>D8-(E8-D8)</f>
        <v>380</v>
      </c>
      <c r="D8" s="12">
        <v>390</v>
      </c>
      <c r="E8" s="12">
        <v>400</v>
      </c>
      <c r="F8" s="13">
        <f>($J$4*(E8-D8))+D8</f>
        <v>406.8179283050743</v>
      </c>
      <c r="G8" s="11">
        <f>F8-D8</f>
        <v>16.817928305074304</v>
      </c>
    </row>
    <row r="9" spans="1:10" ht="15" thickBot="1" x14ac:dyDescent="0.35">
      <c r="A9" s="14" t="s">
        <v>16</v>
      </c>
      <c r="B9" s="15">
        <f>(B8*B6)/(1+B6)</f>
        <v>98.510797506884046</v>
      </c>
      <c r="C9" s="16">
        <f t="shared" ref="C9:F9" si="0">(C8*C6)/(1+C6)</f>
        <v>159.06976744186045</v>
      </c>
      <c r="D9" s="16">
        <f t="shared" si="0"/>
        <v>216.66666666666666</v>
      </c>
      <c r="E9" s="16">
        <f t="shared" si="0"/>
        <v>256.11510791366902</v>
      </c>
      <c r="F9" s="17">
        <f t="shared" si="0"/>
        <v>277.31376532343791</v>
      </c>
    </row>
    <row r="10" spans="1:10" x14ac:dyDescent="0.3">
      <c r="E10" s="3"/>
    </row>
    <row r="11" spans="1:10" ht="15" thickBot="1" x14ac:dyDescent="0.35">
      <c r="B11" s="302"/>
      <c r="C11" s="302"/>
      <c r="D11" s="302"/>
      <c r="E11" s="302"/>
      <c r="F11" s="302"/>
      <c r="G11" s="302"/>
    </row>
    <row r="12" spans="1:10" ht="15" thickBot="1" x14ac:dyDescent="0.35">
      <c r="B12" s="303" t="s">
        <v>97</v>
      </c>
      <c r="C12" s="304"/>
      <c r="D12" s="305"/>
      <c r="E12" s="304" t="s">
        <v>12</v>
      </c>
      <c r="F12" s="304"/>
      <c r="G12" s="305"/>
    </row>
    <row r="13" spans="1:10" ht="15" thickBot="1" x14ac:dyDescent="0.35">
      <c r="A13" s="18"/>
      <c r="B13" s="243" t="s">
        <v>17</v>
      </c>
      <c r="C13" s="31" t="s">
        <v>18</v>
      </c>
      <c r="D13" s="244" t="s">
        <v>96</v>
      </c>
      <c r="E13" s="31" t="s">
        <v>17</v>
      </c>
      <c r="F13" s="31" t="s">
        <v>18</v>
      </c>
      <c r="G13" s="244" t="s">
        <v>96</v>
      </c>
      <c r="H13" s="31"/>
    </row>
    <row r="14" spans="1:10" x14ac:dyDescent="0.3">
      <c r="A14" s="241"/>
      <c r="B14" s="245">
        <v>-1</v>
      </c>
      <c r="C14" s="246">
        <v>-1</v>
      </c>
      <c r="D14" s="247">
        <v>-1</v>
      </c>
      <c r="E14" s="44" cm="1">
        <f t="array" ref="E14:E30">_xlfn.XLOOKUP(B14:B30,B5:F5,B6:F6)</f>
        <v>0.72</v>
      </c>
      <c r="F14" s="44" cm="1">
        <f t="array" ref="F14:F30">_xlfn.XLOOKUP(C14:C30,B5:F5,B7:F7)</f>
        <v>6.3000000000000007</v>
      </c>
      <c r="G14" s="45" cm="1">
        <f t="array" ref="G14:G30">_xlfn.XLOOKUP(D14:D30,B5:F5,B8:F8)</f>
        <v>380</v>
      </c>
    </row>
    <row r="15" spans="1:10" x14ac:dyDescent="0.3">
      <c r="A15" s="241"/>
      <c r="B15" s="71">
        <v>1</v>
      </c>
      <c r="C15" s="237">
        <v>-1</v>
      </c>
      <c r="D15" s="248">
        <v>-1</v>
      </c>
      <c r="E15" s="11">
        <v>1.78</v>
      </c>
      <c r="F15" s="11">
        <v>6.3000000000000007</v>
      </c>
      <c r="G15" s="37">
        <v>380</v>
      </c>
    </row>
    <row r="16" spans="1:10" x14ac:dyDescent="0.3">
      <c r="A16" s="241"/>
      <c r="B16" s="70">
        <v>-1</v>
      </c>
      <c r="C16" s="237">
        <v>1</v>
      </c>
      <c r="D16" s="249">
        <v>-1</v>
      </c>
      <c r="E16" s="11">
        <v>0.72</v>
      </c>
      <c r="F16" s="11">
        <v>11.7</v>
      </c>
      <c r="G16" s="37">
        <v>380</v>
      </c>
    </row>
    <row r="17" spans="1:9" x14ac:dyDescent="0.3">
      <c r="A17" s="241"/>
      <c r="B17" s="70">
        <v>1</v>
      </c>
      <c r="C17" s="237">
        <v>1</v>
      </c>
      <c r="D17" s="249">
        <v>-1</v>
      </c>
      <c r="E17" s="11">
        <v>1.78</v>
      </c>
      <c r="F17" s="11">
        <v>11.7</v>
      </c>
      <c r="G17" s="37">
        <v>380</v>
      </c>
    </row>
    <row r="18" spans="1:9" x14ac:dyDescent="0.3">
      <c r="A18" s="241"/>
      <c r="B18" s="70">
        <v>-1</v>
      </c>
      <c r="C18" s="237">
        <v>-1</v>
      </c>
      <c r="D18" s="249">
        <v>1</v>
      </c>
      <c r="E18" s="11">
        <v>0.72</v>
      </c>
      <c r="F18" s="11">
        <v>6.3000000000000007</v>
      </c>
      <c r="G18" s="37">
        <v>400</v>
      </c>
    </row>
    <row r="19" spans="1:9" x14ac:dyDescent="0.3">
      <c r="A19" s="241"/>
      <c r="B19" s="70">
        <v>1</v>
      </c>
      <c r="C19" s="237">
        <v>-1</v>
      </c>
      <c r="D19" s="248">
        <v>1</v>
      </c>
      <c r="E19" s="11">
        <v>1.78</v>
      </c>
      <c r="F19" s="11">
        <v>6.3000000000000007</v>
      </c>
      <c r="G19" s="37">
        <v>400</v>
      </c>
    </row>
    <row r="20" spans="1:9" x14ac:dyDescent="0.3">
      <c r="A20" s="241"/>
      <c r="B20" s="70">
        <v>-1</v>
      </c>
      <c r="C20" s="237">
        <v>1</v>
      </c>
      <c r="D20" s="249">
        <v>1</v>
      </c>
      <c r="E20" s="11">
        <v>0.72</v>
      </c>
      <c r="F20" s="11">
        <v>11.7</v>
      </c>
      <c r="G20" s="37">
        <v>400</v>
      </c>
    </row>
    <row r="21" spans="1:9" x14ac:dyDescent="0.3">
      <c r="A21" s="241"/>
      <c r="B21" s="275">
        <v>1</v>
      </c>
      <c r="C21" s="276">
        <v>1</v>
      </c>
      <c r="D21" s="277">
        <v>1</v>
      </c>
      <c r="E21" s="265">
        <v>1.78</v>
      </c>
      <c r="F21" s="265">
        <v>11.7</v>
      </c>
      <c r="G21" s="266">
        <v>400</v>
      </c>
    </row>
    <row r="22" spans="1:9" x14ac:dyDescent="0.3">
      <c r="A22" s="241"/>
      <c r="B22" s="278" t="s">
        <v>63</v>
      </c>
      <c r="C22" s="268">
        <v>0</v>
      </c>
      <c r="D22" s="279">
        <v>0</v>
      </c>
      <c r="E22" s="270">
        <v>0.3586497998310626</v>
      </c>
      <c r="F22" s="270">
        <v>9</v>
      </c>
      <c r="G22" s="271">
        <v>390</v>
      </c>
    </row>
    <row r="23" spans="1:9" x14ac:dyDescent="0.3">
      <c r="A23" s="241"/>
      <c r="B23" s="72" t="s">
        <v>64</v>
      </c>
      <c r="C23" s="239">
        <v>0</v>
      </c>
      <c r="D23" s="250">
        <v>0</v>
      </c>
      <c r="E23" s="11">
        <v>2.1413502001689375</v>
      </c>
      <c r="F23" s="11">
        <v>9</v>
      </c>
      <c r="G23" s="37">
        <v>390</v>
      </c>
    </row>
    <row r="24" spans="1:9" x14ac:dyDescent="0.3">
      <c r="A24" s="241"/>
      <c r="B24" s="63">
        <v>0</v>
      </c>
      <c r="C24" s="238" t="s">
        <v>63</v>
      </c>
      <c r="D24" s="250">
        <v>0</v>
      </c>
      <c r="E24" s="11">
        <v>1.25</v>
      </c>
      <c r="F24" s="11">
        <v>4.4591593576299431</v>
      </c>
      <c r="G24" s="37">
        <v>390</v>
      </c>
    </row>
    <row r="25" spans="1:9" x14ac:dyDescent="0.3">
      <c r="A25" s="241"/>
      <c r="B25" s="63">
        <v>0</v>
      </c>
      <c r="C25" s="238" t="s">
        <v>64</v>
      </c>
      <c r="D25" s="250">
        <v>0</v>
      </c>
      <c r="E25" s="11">
        <v>1.25</v>
      </c>
      <c r="F25" s="11">
        <v>13.540840642370057</v>
      </c>
      <c r="G25" s="37">
        <v>390</v>
      </c>
    </row>
    <row r="26" spans="1:9" x14ac:dyDescent="0.3">
      <c r="A26" s="241"/>
      <c r="B26" s="63">
        <v>0</v>
      </c>
      <c r="C26" s="239">
        <v>0</v>
      </c>
      <c r="D26" s="251" t="s">
        <v>63</v>
      </c>
      <c r="E26" s="11">
        <v>1.25</v>
      </c>
      <c r="F26" s="11">
        <v>9</v>
      </c>
      <c r="G26" s="37">
        <v>373.1820716949257</v>
      </c>
    </row>
    <row r="27" spans="1:9" x14ac:dyDescent="0.3">
      <c r="A27" s="241"/>
      <c r="B27" s="272">
        <v>0</v>
      </c>
      <c r="C27" s="273">
        <v>0</v>
      </c>
      <c r="D27" s="280" t="s">
        <v>64</v>
      </c>
      <c r="E27" s="265">
        <v>1.25</v>
      </c>
      <c r="F27" s="265">
        <v>9</v>
      </c>
      <c r="G27" s="266">
        <v>406.8179283050743</v>
      </c>
    </row>
    <row r="28" spans="1:9" x14ac:dyDescent="0.3">
      <c r="A28" s="241"/>
      <c r="B28" s="73">
        <v>0</v>
      </c>
      <c r="C28" s="242">
        <v>0</v>
      </c>
      <c r="D28" s="252">
        <v>0</v>
      </c>
      <c r="E28" s="11">
        <v>1.25</v>
      </c>
      <c r="F28" s="11">
        <v>9</v>
      </c>
      <c r="G28" s="37">
        <v>390</v>
      </c>
    </row>
    <row r="29" spans="1:9" x14ac:dyDescent="0.3">
      <c r="A29" s="241"/>
      <c r="B29" s="73">
        <v>0</v>
      </c>
      <c r="C29" s="240">
        <v>0</v>
      </c>
      <c r="D29" s="252">
        <v>0</v>
      </c>
      <c r="E29" s="11">
        <v>1.25</v>
      </c>
      <c r="F29" s="11">
        <v>9</v>
      </c>
      <c r="G29" s="37">
        <v>390</v>
      </c>
      <c r="I29" s="28"/>
    </row>
    <row r="30" spans="1:9" ht="15" thickBot="1" x14ac:dyDescent="0.35">
      <c r="A30" s="241"/>
      <c r="B30" s="74">
        <v>0</v>
      </c>
      <c r="C30" s="75">
        <v>0</v>
      </c>
      <c r="D30" s="253">
        <v>0</v>
      </c>
      <c r="E30" s="32">
        <v>1.25</v>
      </c>
      <c r="F30" s="32">
        <v>9</v>
      </c>
      <c r="G30" s="38">
        <v>390</v>
      </c>
      <c r="I30" s="28"/>
    </row>
    <row r="31" spans="1:9" x14ac:dyDescent="0.3">
      <c r="F31" s="28"/>
    </row>
    <row r="34" spans="9:9" x14ac:dyDescent="0.3">
      <c r="I34" s="28"/>
    </row>
  </sheetData>
  <mergeCells count="5">
    <mergeCell ref="A1:F2"/>
    <mergeCell ref="B4:F4"/>
    <mergeCell ref="B11:G11"/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E539-E8D3-42A9-B672-DE1110211CB3}">
  <dimension ref="A1:J61"/>
  <sheetViews>
    <sheetView zoomScaleNormal="100" workbookViewId="0">
      <selection activeCell="E35" sqref="E35"/>
    </sheetView>
  </sheetViews>
  <sheetFormatPr baseColWidth="10" defaultRowHeight="14.4" x14ac:dyDescent="0.3"/>
  <cols>
    <col min="1" max="1" width="38.44140625" customWidth="1"/>
    <col min="2" max="6" width="11.109375" customWidth="1"/>
    <col min="7" max="8" width="11.6640625" customWidth="1"/>
    <col min="9" max="9" width="34" customWidth="1"/>
    <col min="10" max="10" width="14.109375" customWidth="1"/>
    <col min="11" max="11" width="11.88671875" bestFit="1" customWidth="1"/>
  </cols>
  <sheetData>
    <row r="1" spans="1:10" ht="15" thickBot="1" x14ac:dyDescent="0.35">
      <c r="A1" s="297" t="s">
        <v>10</v>
      </c>
      <c r="B1" s="298"/>
      <c r="C1" s="298"/>
      <c r="D1" s="298"/>
      <c r="E1" s="298"/>
      <c r="F1" s="298"/>
      <c r="G1" s="3"/>
      <c r="H1" s="3"/>
      <c r="I1" s="3"/>
      <c r="J1" s="3"/>
    </row>
    <row r="2" spans="1:10" ht="18" customHeight="1" x14ac:dyDescent="0.3">
      <c r="A2" s="298"/>
      <c r="B2" s="298"/>
      <c r="C2" s="298"/>
      <c r="D2" s="298"/>
      <c r="E2" s="298"/>
      <c r="F2" s="298"/>
      <c r="G2" s="4"/>
      <c r="H2" s="3"/>
      <c r="I2" s="19" t="s">
        <v>21</v>
      </c>
      <c r="J2" s="20">
        <v>3</v>
      </c>
    </row>
    <row r="3" spans="1:10" s="2" customFormat="1" ht="18" customHeight="1" thickBot="1" x14ac:dyDescent="0.35">
      <c r="G3" s="3"/>
      <c r="H3" s="27"/>
      <c r="I3" s="21" t="s">
        <v>22</v>
      </c>
      <c r="J3" s="22">
        <f>2^J2</f>
        <v>8</v>
      </c>
    </row>
    <row r="4" spans="1:10" ht="18" customHeight="1" thickBot="1" x14ac:dyDescent="0.35">
      <c r="A4" s="3"/>
      <c r="B4" s="309" t="s">
        <v>11</v>
      </c>
      <c r="C4" s="310"/>
      <c r="D4" s="310"/>
      <c r="E4" s="310"/>
      <c r="F4" s="311"/>
      <c r="G4" s="3"/>
      <c r="H4" s="3"/>
      <c r="I4" s="23" t="s">
        <v>23</v>
      </c>
      <c r="J4" s="24">
        <f>J3^0.25</f>
        <v>1.681792830507429</v>
      </c>
    </row>
    <row r="5" spans="1:10" ht="18" customHeight="1" thickBot="1" x14ac:dyDescent="0.35">
      <c r="A5" s="5" t="s">
        <v>12</v>
      </c>
      <c r="B5" s="6" t="s">
        <v>63</v>
      </c>
      <c r="C5" s="7">
        <v>-1</v>
      </c>
      <c r="D5" s="7">
        <v>0</v>
      </c>
      <c r="E5" s="7">
        <v>1</v>
      </c>
      <c r="F5" s="8" t="s">
        <v>64</v>
      </c>
      <c r="G5" s="3"/>
      <c r="H5" s="3"/>
      <c r="I5" s="25" t="s">
        <v>24</v>
      </c>
      <c r="J5" s="26">
        <v>5</v>
      </c>
    </row>
    <row r="6" spans="1:10" ht="18" customHeight="1" x14ac:dyDescent="0.3">
      <c r="A6" s="9" t="s">
        <v>13</v>
      </c>
      <c r="B6" s="10">
        <f>(-$J$4*(E6-D6))+D6</f>
        <v>0.3586497998310626</v>
      </c>
      <c r="C6" s="11">
        <f>D6-(E6-D6)</f>
        <v>0.72</v>
      </c>
      <c r="D6" s="12">
        <v>1.25</v>
      </c>
      <c r="E6" s="12">
        <v>1.78</v>
      </c>
      <c r="F6" s="13">
        <f>($J$4*(E6-D6))+D6</f>
        <v>2.1413502001689375</v>
      </c>
      <c r="G6" s="11">
        <f>F6-D6</f>
        <v>0.89135020016893751</v>
      </c>
      <c r="H6" s="3"/>
      <c r="I6" s="21" t="s">
        <v>25</v>
      </c>
      <c r="J6" s="22">
        <f>2*J2</f>
        <v>6</v>
      </c>
    </row>
    <row r="7" spans="1:10" ht="18" customHeight="1" x14ac:dyDescent="0.3">
      <c r="A7" s="9" t="s">
        <v>14</v>
      </c>
      <c r="B7" s="10">
        <f>(-$J$4*(E7-D7))+D7</f>
        <v>4.4591593576299431</v>
      </c>
      <c r="C7" s="11">
        <f>D7-(E7-D7)</f>
        <v>6.3000000000000007</v>
      </c>
      <c r="D7" s="12">
        <v>9</v>
      </c>
      <c r="E7" s="12">
        <v>11.7</v>
      </c>
      <c r="F7" s="13">
        <f>($J$4*(E7-D7))+D7</f>
        <v>13.540840642370057</v>
      </c>
      <c r="G7" s="11">
        <f>F7-D7</f>
        <v>4.5408406423700569</v>
      </c>
      <c r="H7" s="3"/>
      <c r="I7" s="23" t="s">
        <v>26</v>
      </c>
      <c r="J7" s="24">
        <f>J6+J5+J3</f>
        <v>19</v>
      </c>
    </row>
    <row r="8" spans="1:10" ht="18" customHeight="1" x14ac:dyDescent="0.3">
      <c r="A8" s="9" t="s">
        <v>15</v>
      </c>
      <c r="B8" s="10">
        <f>(-$J$4*(E8-D8))+D8</f>
        <v>115.0027886441828</v>
      </c>
      <c r="C8" s="11">
        <f>D8-(E8-D8)</f>
        <v>190</v>
      </c>
      <c r="D8" s="12">
        <v>300</v>
      </c>
      <c r="E8" s="12">
        <v>410</v>
      </c>
      <c r="F8" s="13">
        <f>($J$4*(E8-D8))+D8</f>
        <v>484.99721135581717</v>
      </c>
      <c r="G8" s="11">
        <f>F8-D8</f>
        <v>184.99721135581717</v>
      </c>
    </row>
    <row r="9" spans="1:10" ht="15" thickBot="1" x14ac:dyDescent="0.35">
      <c r="A9" s="14" t="s">
        <v>16</v>
      </c>
      <c r="B9" s="15">
        <f>(B8*B6)/(1+B6)</f>
        <v>30.357879662867315</v>
      </c>
      <c r="C9" s="16">
        <f t="shared" ref="C9:F9" si="0">(C8*C6)/(1+C6)</f>
        <v>79.534883720930225</v>
      </c>
      <c r="D9" s="16">
        <f t="shared" si="0"/>
        <v>166.66666666666666</v>
      </c>
      <c r="E9" s="16">
        <f t="shared" si="0"/>
        <v>262.51798561151077</v>
      </c>
      <c r="F9" s="17">
        <f t="shared" si="0"/>
        <v>330.60588900986073</v>
      </c>
    </row>
    <row r="10" spans="1:10" x14ac:dyDescent="0.3">
      <c r="E10" s="3"/>
    </row>
    <row r="11" spans="1:10" ht="15" thickBot="1" x14ac:dyDescent="0.35">
      <c r="B11" s="302"/>
      <c r="C11" s="302"/>
      <c r="D11" s="302"/>
      <c r="E11" s="302"/>
      <c r="F11" s="302"/>
      <c r="G11" s="302"/>
    </row>
    <row r="12" spans="1:10" ht="15" thickBot="1" x14ac:dyDescent="0.35">
      <c r="B12" s="303" t="s">
        <v>12</v>
      </c>
      <c r="C12" s="304"/>
      <c r="D12" s="305"/>
      <c r="E12" s="304" t="s">
        <v>12</v>
      </c>
      <c r="F12" s="304"/>
      <c r="G12" s="305"/>
    </row>
    <row r="13" spans="1:10" ht="15" thickBot="1" x14ac:dyDescent="0.35">
      <c r="A13" s="18"/>
      <c r="B13" s="39" t="s">
        <v>17</v>
      </c>
      <c r="C13" s="40" t="s">
        <v>18</v>
      </c>
      <c r="D13" s="41" t="s">
        <v>19</v>
      </c>
      <c r="E13" s="40" t="s">
        <v>17</v>
      </c>
      <c r="F13" s="40" t="s">
        <v>18</v>
      </c>
      <c r="G13" s="41" t="s">
        <v>19</v>
      </c>
      <c r="H13" s="31"/>
    </row>
    <row r="14" spans="1:10" x14ac:dyDescent="0.3">
      <c r="A14" s="312" t="s">
        <v>20</v>
      </c>
      <c r="B14" s="42">
        <v>-1</v>
      </c>
      <c r="C14" s="43">
        <v>-1</v>
      </c>
      <c r="D14" s="281">
        <v>-1</v>
      </c>
      <c r="E14" s="44" cm="1">
        <f t="array" ref="E14:E33">_xlfn.XLOOKUP(B14:B33,B5:F5,B6:F6)</f>
        <v>0.72</v>
      </c>
      <c r="F14" s="44" cm="1">
        <f t="array" ref="F14:F33">_xlfn.XLOOKUP(C14:C33,B5:F5,B7:F7)</f>
        <v>6.3000000000000007</v>
      </c>
      <c r="G14" s="45" cm="1">
        <f t="array" ref="G14:G33">_xlfn.XLOOKUP(D14:D33,B5:F5,B8:F8)</f>
        <v>190</v>
      </c>
    </row>
    <row r="15" spans="1:10" x14ac:dyDescent="0.3">
      <c r="A15" s="313"/>
      <c r="B15" s="33">
        <v>-1</v>
      </c>
      <c r="C15" s="46">
        <v>1</v>
      </c>
      <c r="D15" s="282">
        <v>1</v>
      </c>
      <c r="E15" s="11">
        <v>0.72</v>
      </c>
      <c r="F15" s="11">
        <v>11.7</v>
      </c>
      <c r="G15" s="37">
        <v>410</v>
      </c>
    </row>
    <row r="16" spans="1:10" x14ac:dyDescent="0.3">
      <c r="A16" s="313"/>
      <c r="B16" s="33">
        <v>1</v>
      </c>
      <c r="C16" s="46">
        <v>-1</v>
      </c>
      <c r="D16" s="282">
        <v>1</v>
      </c>
      <c r="E16" s="11">
        <v>1.78</v>
      </c>
      <c r="F16" s="11">
        <v>6.3000000000000007</v>
      </c>
      <c r="G16" s="37">
        <v>410</v>
      </c>
    </row>
    <row r="17" spans="1:7" x14ac:dyDescent="0.3">
      <c r="A17" s="313"/>
      <c r="B17" s="33">
        <v>1</v>
      </c>
      <c r="C17" s="46">
        <v>1</v>
      </c>
      <c r="D17" s="282">
        <v>-1</v>
      </c>
      <c r="E17" s="11">
        <v>1.78</v>
      </c>
      <c r="F17" s="11">
        <v>11.7</v>
      </c>
      <c r="G17" s="37">
        <v>190</v>
      </c>
    </row>
    <row r="18" spans="1:7" x14ac:dyDescent="0.3">
      <c r="A18" s="313"/>
      <c r="B18" s="33">
        <v>0</v>
      </c>
      <c r="C18" s="46">
        <v>0</v>
      </c>
      <c r="D18" s="282">
        <v>0</v>
      </c>
      <c r="E18" s="11">
        <v>1.25</v>
      </c>
      <c r="F18" s="11">
        <v>9</v>
      </c>
      <c r="G18" s="37">
        <v>300</v>
      </c>
    </row>
    <row r="19" spans="1:7" ht="15" thickBot="1" x14ac:dyDescent="0.35">
      <c r="A19" s="313"/>
      <c r="B19" s="33">
        <v>0</v>
      </c>
      <c r="C19" s="46">
        <v>0</v>
      </c>
      <c r="D19" s="282">
        <v>0</v>
      </c>
      <c r="E19" s="11">
        <v>1.25</v>
      </c>
      <c r="F19" s="11">
        <v>9</v>
      </c>
      <c r="G19" s="37">
        <v>300</v>
      </c>
    </row>
    <row r="20" spans="1:7" x14ac:dyDescent="0.3">
      <c r="A20" s="312" t="s">
        <v>67</v>
      </c>
      <c r="B20" s="42">
        <v>-1</v>
      </c>
      <c r="C20" s="43">
        <v>-1</v>
      </c>
      <c r="D20" s="281">
        <v>1</v>
      </c>
      <c r="E20" s="44">
        <v>0.72</v>
      </c>
      <c r="F20" s="44">
        <v>6.3000000000000007</v>
      </c>
      <c r="G20" s="45">
        <v>410</v>
      </c>
    </row>
    <row r="21" spans="1:7" x14ac:dyDescent="0.3">
      <c r="A21" s="313"/>
      <c r="B21" s="33">
        <v>-1</v>
      </c>
      <c r="C21" s="46">
        <v>1</v>
      </c>
      <c r="D21" s="282">
        <v>-1</v>
      </c>
      <c r="E21" s="11">
        <v>0.72</v>
      </c>
      <c r="F21" s="11">
        <v>11.7</v>
      </c>
      <c r="G21" s="37">
        <v>190</v>
      </c>
    </row>
    <row r="22" spans="1:7" x14ac:dyDescent="0.3">
      <c r="A22" s="313"/>
      <c r="B22" s="33">
        <v>1</v>
      </c>
      <c r="C22" s="46">
        <v>-1</v>
      </c>
      <c r="D22" s="282">
        <v>-1</v>
      </c>
      <c r="E22" s="11">
        <v>1.78</v>
      </c>
      <c r="F22" s="11">
        <v>6.3000000000000007</v>
      </c>
      <c r="G22" s="37">
        <v>190</v>
      </c>
    </row>
    <row r="23" spans="1:7" x14ac:dyDescent="0.3">
      <c r="A23" s="313"/>
      <c r="B23" s="33">
        <v>1</v>
      </c>
      <c r="C23" s="46">
        <v>1</v>
      </c>
      <c r="D23" s="282">
        <v>1</v>
      </c>
      <c r="E23" s="11">
        <v>1.78</v>
      </c>
      <c r="F23" s="11">
        <v>11.7</v>
      </c>
      <c r="G23" s="37">
        <v>410</v>
      </c>
    </row>
    <row r="24" spans="1:7" x14ac:dyDescent="0.3">
      <c r="A24" s="313"/>
      <c r="B24" s="33">
        <v>0</v>
      </c>
      <c r="C24" s="46">
        <v>0</v>
      </c>
      <c r="D24" s="282">
        <v>0</v>
      </c>
      <c r="E24" s="11">
        <v>1.25</v>
      </c>
      <c r="F24" s="11">
        <v>9</v>
      </c>
      <c r="G24" s="37">
        <v>300</v>
      </c>
    </row>
    <row r="25" spans="1:7" ht="15" thickBot="1" x14ac:dyDescent="0.35">
      <c r="A25" s="313"/>
      <c r="B25" s="34">
        <v>0</v>
      </c>
      <c r="C25" s="35">
        <v>0</v>
      </c>
      <c r="D25" s="283">
        <v>0</v>
      </c>
      <c r="E25" s="32">
        <v>1.25</v>
      </c>
      <c r="F25" s="32">
        <v>9</v>
      </c>
      <c r="G25" s="38">
        <v>300</v>
      </c>
    </row>
    <row r="26" spans="1:7" x14ac:dyDescent="0.3">
      <c r="A26" s="306" t="s">
        <v>68</v>
      </c>
      <c r="B26" s="36" t="s">
        <v>63</v>
      </c>
      <c r="C26" s="46">
        <v>0</v>
      </c>
      <c r="D26" s="282">
        <v>0</v>
      </c>
      <c r="E26" s="11">
        <v>0.3586497998310626</v>
      </c>
      <c r="F26" s="11">
        <v>9</v>
      </c>
      <c r="G26" s="37">
        <v>300</v>
      </c>
    </row>
    <row r="27" spans="1:7" x14ac:dyDescent="0.3">
      <c r="A27" s="307"/>
      <c r="B27" s="36" t="s">
        <v>64</v>
      </c>
      <c r="C27" s="46">
        <v>0</v>
      </c>
      <c r="D27" s="282">
        <v>0</v>
      </c>
      <c r="E27" s="11">
        <v>2.1413502001689375</v>
      </c>
      <c r="F27" s="11">
        <v>9</v>
      </c>
      <c r="G27" s="37">
        <v>300</v>
      </c>
    </row>
    <row r="28" spans="1:7" x14ac:dyDescent="0.3">
      <c r="A28" s="307"/>
      <c r="B28" s="33">
        <v>0</v>
      </c>
      <c r="C28" s="284" t="s">
        <v>63</v>
      </c>
      <c r="D28" s="282">
        <v>0</v>
      </c>
      <c r="E28" s="11">
        <v>1.25</v>
      </c>
      <c r="F28" s="11">
        <v>4.4591593576299431</v>
      </c>
      <c r="G28" s="37">
        <v>300</v>
      </c>
    </row>
    <row r="29" spans="1:7" x14ac:dyDescent="0.3">
      <c r="A29" s="307"/>
      <c r="B29" s="33">
        <v>0</v>
      </c>
      <c r="C29" s="284" t="s">
        <v>64</v>
      </c>
      <c r="D29" s="282">
        <v>0</v>
      </c>
      <c r="E29" s="11">
        <v>1.25</v>
      </c>
      <c r="F29" s="11">
        <v>13.540840642370057</v>
      </c>
      <c r="G29" s="37">
        <v>300</v>
      </c>
    </row>
    <row r="30" spans="1:7" x14ac:dyDescent="0.3">
      <c r="A30" s="307"/>
      <c r="B30" s="33">
        <v>0</v>
      </c>
      <c r="C30" s="46">
        <v>0</v>
      </c>
      <c r="D30" s="285" t="s">
        <v>63</v>
      </c>
      <c r="E30" s="11">
        <v>1.25</v>
      </c>
      <c r="F30" s="11">
        <v>9</v>
      </c>
      <c r="G30" s="37">
        <v>115.0027886441828</v>
      </c>
    </row>
    <row r="31" spans="1:7" x14ac:dyDescent="0.3">
      <c r="A31" s="307"/>
      <c r="B31" s="33">
        <v>0</v>
      </c>
      <c r="C31" s="46">
        <v>0</v>
      </c>
      <c r="D31" s="285" t="s">
        <v>64</v>
      </c>
      <c r="E31" s="11">
        <v>1.25</v>
      </c>
      <c r="F31" s="11">
        <v>9</v>
      </c>
      <c r="G31" s="37">
        <v>484.99721135581717</v>
      </c>
    </row>
    <row r="32" spans="1:7" x14ac:dyDescent="0.3">
      <c r="A32" s="307"/>
      <c r="B32" s="33">
        <v>0</v>
      </c>
      <c r="C32" s="46">
        <v>0</v>
      </c>
      <c r="D32" s="282">
        <v>0</v>
      </c>
      <c r="E32" s="11">
        <v>1.25</v>
      </c>
      <c r="F32" s="11">
        <v>9</v>
      </c>
      <c r="G32" s="37">
        <v>300</v>
      </c>
    </row>
    <row r="33" spans="1:9" ht="15" thickBot="1" x14ac:dyDescent="0.35">
      <c r="A33" s="308"/>
      <c r="B33" s="34">
        <v>0</v>
      </c>
      <c r="C33" s="35">
        <v>0</v>
      </c>
      <c r="D33" s="283">
        <v>0</v>
      </c>
      <c r="E33" s="32">
        <v>1.25</v>
      </c>
      <c r="F33" s="32">
        <v>9</v>
      </c>
      <c r="G33" s="38">
        <v>300</v>
      </c>
      <c r="I33" s="28"/>
    </row>
    <row r="34" spans="1:9" x14ac:dyDescent="0.3">
      <c r="F34" s="30">
        <f>SUM(_xlfn.ANCHORARRAY(F14))</f>
        <v>180</v>
      </c>
      <c r="I34" s="28"/>
    </row>
    <row r="37" spans="1:9" x14ac:dyDescent="0.3">
      <c r="I37" s="28"/>
    </row>
    <row r="46" spans="1:9" x14ac:dyDescent="0.3">
      <c r="C46">
        <v>0.72</v>
      </c>
      <c r="D46">
        <v>6.8800000000000008</v>
      </c>
    </row>
    <row r="47" spans="1:9" x14ac:dyDescent="0.3">
      <c r="C47">
        <v>0.72</v>
      </c>
      <c r="D47">
        <v>6.8800000000000008</v>
      </c>
    </row>
    <row r="48" spans="1:9" x14ac:dyDescent="0.3">
      <c r="C48">
        <v>1.78</v>
      </c>
      <c r="D48">
        <v>6.8800000000000008</v>
      </c>
    </row>
    <row r="49" spans="3:4" x14ac:dyDescent="0.3">
      <c r="C49" s="12">
        <v>1.78</v>
      </c>
      <c r="D49">
        <v>6.8800000000000008</v>
      </c>
    </row>
    <row r="50" spans="3:4" ht="15" thickBot="1" x14ac:dyDescent="0.35">
      <c r="C50">
        <v>0.72</v>
      </c>
      <c r="D50" s="29">
        <v>11.12</v>
      </c>
    </row>
    <row r="51" spans="3:4" ht="15" thickBot="1" x14ac:dyDescent="0.35">
      <c r="C51">
        <v>0.72</v>
      </c>
      <c r="D51" s="29">
        <v>11.12</v>
      </c>
    </row>
    <row r="52" spans="3:4" ht="15" thickBot="1" x14ac:dyDescent="0.35">
      <c r="C52" s="12">
        <v>1.78</v>
      </c>
      <c r="D52" s="29">
        <v>11.12</v>
      </c>
    </row>
    <row r="53" spans="3:4" ht="15" thickBot="1" x14ac:dyDescent="0.35">
      <c r="C53" s="12">
        <v>1.78</v>
      </c>
      <c r="D53" s="29">
        <v>11.12</v>
      </c>
    </row>
    <row r="54" spans="3:4" x14ac:dyDescent="0.3">
      <c r="C54" s="12">
        <v>1.25</v>
      </c>
      <c r="D54">
        <v>9</v>
      </c>
    </row>
    <row r="55" spans="3:4" x14ac:dyDescent="0.3">
      <c r="C55" s="12">
        <v>1.25</v>
      </c>
      <c r="D55">
        <v>9</v>
      </c>
    </row>
    <row r="56" spans="3:4" x14ac:dyDescent="0.3">
      <c r="C56">
        <v>0.5</v>
      </c>
      <c r="D56">
        <v>9</v>
      </c>
    </row>
    <row r="57" spans="3:4" x14ac:dyDescent="0.3">
      <c r="C57">
        <v>2</v>
      </c>
      <c r="D57">
        <v>9</v>
      </c>
    </row>
    <row r="58" spans="3:4" x14ac:dyDescent="0.3">
      <c r="C58" s="12">
        <v>1.25</v>
      </c>
      <c r="D58">
        <v>6</v>
      </c>
    </row>
    <row r="59" spans="3:4" x14ac:dyDescent="0.3">
      <c r="C59" s="12">
        <v>1.25</v>
      </c>
      <c r="D59">
        <v>12</v>
      </c>
    </row>
    <row r="60" spans="3:4" x14ac:dyDescent="0.3">
      <c r="C60" s="12">
        <v>1.25</v>
      </c>
      <c r="D60">
        <v>9</v>
      </c>
    </row>
    <row r="61" spans="3:4" x14ac:dyDescent="0.3">
      <c r="C61" s="12">
        <v>1.25</v>
      </c>
      <c r="D61">
        <v>9</v>
      </c>
    </row>
  </sheetData>
  <mergeCells count="8">
    <mergeCell ref="A26:A33"/>
    <mergeCell ref="E12:G12"/>
    <mergeCell ref="A1:F2"/>
    <mergeCell ref="B4:F4"/>
    <mergeCell ref="B11:G11"/>
    <mergeCell ref="B12:D12"/>
    <mergeCell ref="A14:A19"/>
    <mergeCell ref="A20:A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E526-C319-43C2-97D6-F3A01E8FF2E7}">
  <dimension ref="A1:J60"/>
  <sheetViews>
    <sheetView topLeftCell="A5" zoomScaleNormal="100" workbookViewId="0">
      <selection activeCell="H33" sqref="H33"/>
    </sheetView>
  </sheetViews>
  <sheetFormatPr baseColWidth="10" defaultRowHeight="14.4" x14ac:dyDescent="0.3"/>
  <cols>
    <col min="1" max="1" width="38.44140625" customWidth="1"/>
    <col min="2" max="6" width="11.109375" customWidth="1"/>
    <col min="7" max="8" width="11.6640625" customWidth="1"/>
    <col min="9" max="9" width="34" customWidth="1"/>
    <col min="10" max="10" width="14.109375" customWidth="1"/>
    <col min="11" max="11" width="11.88671875" bestFit="1" customWidth="1"/>
  </cols>
  <sheetData>
    <row r="1" spans="1:10" ht="15" thickBot="1" x14ac:dyDescent="0.35">
      <c r="A1" s="297" t="s">
        <v>10</v>
      </c>
      <c r="B1" s="298"/>
      <c r="C1" s="298"/>
      <c r="D1" s="298"/>
      <c r="E1" s="298"/>
      <c r="F1" s="298"/>
      <c r="G1" s="3"/>
      <c r="H1" s="3"/>
      <c r="I1" s="3"/>
      <c r="J1" s="3"/>
    </row>
    <row r="2" spans="1:10" ht="18" customHeight="1" x14ac:dyDescent="0.3">
      <c r="A2" s="298"/>
      <c r="B2" s="298"/>
      <c r="C2" s="298"/>
      <c r="D2" s="298"/>
      <c r="E2" s="298"/>
      <c r="F2" s="298"/>
      <c r="G2" s="4"/>
      <c r="H2" s="3"/>
      <c r="I2" s="19" t="s">
        <v>21</v>
      </c>
      <c r="J2" s="20">
        <v>3</v>
      </c>
    </row>
    <row r="3" spans="1:10" s="2" customFormat="1" ht="18" customHeight="1" thickBot="1" x14ac:dyDescent="0.35">
      <c r="G3" s="3"/>
      <c r="H3" s="27"/>
      <c r="I3" s="21" t="s">
        <v>22</v>
      </c>
      <c r="J3" s="22">
        <f>2^J2</f>
        <v>8</v>
      </c>
    </row>
    <row r="4" spans="1:10" ht="18" customHeight="1" thickBot="1" x14ac:dyDescent="0.35">
      <c r="A4" s="3"/>
      <c r="B4" s="309" t="s">
        <v>11</v>
      </c>
      <c r="C4" s="310"/>
      <c r="D4" s="310"/>
      <c r="E4" s="310"/>
      <c r="F4" s="311"/>
      <c r="G4" s="3"/>
      <c r="H4" s="3"/>
      <c r="I4" s="23" t="s">
        <v>23</v>
      </c>
      <c r="J4" s="24">
        <f>J3^0.25</f>
        <v>1.681792830507429</v>
      </c>
    </row>
    <row r="5" spans="1:10" ht="18" customHeight="1" thickBot="1" x14ac:dyDescent="0.35">
      <c r="A5" s="5" t="s">
        <v>12</v>
      </c>
      <c r="B5" s="6" t="s">
        <v>63</v>
      </c>
      <c r="C5" s="7">
        <v>-1</v>
      </c>
      <c r="D5" s="7">
        <v>0</v>
      </c>
      <c r="E5" s="7">
        <v>1</v>
      </c>
      <c r="F5" s="8" t="s">
        <v>64</v>
      </c>
      <c r="G5" s="3"/>
      <c r="H5" s="3"/>
      <c r="I5" s="25" t="s">
        <v>24</v>
      </c>
      <c r="J5" s="26">
        <v>5</v>
      </c>
    </row>
    <row r="6" spans="1:10" ht="18" customHeight="1" x14ac:dyDescent="0.3">
      <c r="A6" s="9" t="s">
        <v>13</v>
      </c>
      <c r="B6" s="10">
        <f>(-$J$4*(E6-D6))+D6</f>
        <v>0.3586497998310626</v>
      </c>
      <c r="C6" s="11">
        <f>D6-(E6-D6)</f>
        <v>0.72</v>
      </c>
      <c r="D6" s="12">
        <v>1.25</v>
      </c>
      <c r="E6" s="12">
        <v>1.78</v>
      </c>
      <c r="F6" s="13">
        <f>($J$4*(E6-D6))+D6</f>
        <v>2.1413502001689375</v>
      </c>
      <c r="G6" s="11">
        <f>F6-D6</f>
        <v>0.89135020016893751</v>
      </c>
      <c r="H6" s="3"/>
      <c r="I6" s="21" t="s">
        <v>25</v>
      </c>
      <c r="J6" s="22">
        <f>2*J2</f>
        <v>6</v>
      </c>
    </row>
    <row r="7" spans="1:10" ht="18" customHeight="1" x14ac:dyDescent="0.3">
      <c r="A7" s="9" t="s">
        <v>14</v>
      </c>
      <c r="B7" s="10">
        <f>(-$J$4*(E7-D7))+D7</f>
        <v>4.4591593576299431</v>
      </c>
      <c r="C7" s="11">
        <f>D7-(E7-D7)</f>
        <v>6.3000000000000007</v>
      </c>
      <c r="D7" s="12">
        <v>9</v>
      </c>
      <c r="E7" s="12">
        <v>11.7</v>
      </c>
      <c r="F7" s="13">
        <f>($J$4*(E7-D7))+D7</f>
        <v>13.540840642370057</v>
      </c>
      <c r="G7" s="11">
        <f>F7-D7</f>
        <v>4.5408406423700569</v>
      </c>
      <c r="H7" s="3"/>
      <c r="I7" s="23" t="s">
        <v>26</v>
      </c>
      <c r="J7" s="24">
        <f>J6+J5+J3</f>
        <v>19</v>
      </c>
    </row>
    <row r="8" spans="1:10" ht="18" customHeight="1" x14ac:dyDescent="0.3">
      <c r="A8" s="9" t="s">
        <v>15</v>
      </c>
      <c r="B8" s="10">
        <f>(-$J$4*(E8-D8))+D8</f>
        <v>115.0027886441828</v>
      </c>
      <c r="C8" s="11">
        <f>D8-(E8-D8)</f>
        <v>190</v>
      </c>
      <c r="D8" s="12">
        <v>300</v>
      </c>
      <c r="E8" s="12">
        <v>410</v>
      </c>
      <c r="F8" s="13">
        <f>($J$4*(E8-D8))+D8</f>
        <v>484.99721135581717</v>
      </c>
      <c r="G8" s="11">
        <f>F8-D8</f>
        <v>184.99721135581717</v>
      </c>
    </row>
    <row r="9" spans="1:10" ht="15" thickBot="1" x14ac:dyDescent="0.35">
      <c r="A9" s="14" t="s">
        <v>16</v>
      </c>
      <c r="B9" s="15">
        <f>(B8*B6)/(1+B6)</f>
        <v>30.357879662867315</v>
      </c>
      <c r="C9" s="16">
        <f t="shared" ref="C9:F9" si="0">(C8*C6)/(1+C6)</f>
        <v>79.534883720930225</v>
      </c>
      <c r="D9" s="16">
        <f t="shared" si="0"/>
        <v>166.66666666666666</v>
      </c>
      <c r="E9" s="16">
        <f t="shared" si="0"/>
        <v>262.51798561151077</v>
      </c>
      <c r="F9" s="17">
        <f t="shared" si="0"/>
        <v>330.60588900986073</v>
      </c>
    </row>
    <row r="10" spans="1:10" x14ac:dyDescent="0.3">
      <c r="E10" s="3"/>
    </row>
    <row r="11" spans="1:10" ht="15" thickBot="1" x14ac:dyDescent="0.35">
      <c r="B11" s="302"/>
      <c r="C11" s="302"/>
      <c r="D11" s="302"/>
      <c r="E11" s="302"/>
      <c r="F11" s="302"/>
      <c r="G11" s="302"/>
    </row>
    <row r="12" spans="1:10" ht="15" thickBot="1" x14ac:dyDescent="0.35">
      <c r="B12" s="303" t="s">
        <v>12</v>
      </c>
      <c r="C12" s="304"/>
      <c r="D12" s="305"/>
      <c r="E12" s="304" t="s">
        <v>12</v>
      </c>
      <c r="F12" s="304"/>
      <c r="G12" s="305"/>
    </row>
    <row r="13" spans="1:10" ht="15" thickBot="1" x14ac:dyDescent="0.35">
      <c r="A13" s="18"/>
      <c r="B13" s="39" t="s">
        <v>17</v>
      </c>
      <c r="C13" s="40" t="s">
        <v>18</v>
      </c>
      <c r="D13" s="40" t="s">
        <v>19</v>
      </c>
      <c r="E13" s="39" t="s">
        <v>17</v>
      </c>
      <c r="F13" s="40" t="s">
        <v>18</v>
      </c>
      <c r="G13" s="41" t="s">
        <v>19</v>
      </c>
      <c r="H13" s="31" t="s">
        <v>76</v>
      </c>
    </row>
    <row r="14" spans="1:10" x14ac:dyDescent="0.3">
      <c r="A14" s="241"/>
      <c r="B14" s="58">
        <v>-1</v>
      </c>
      <c r="C14" s="59">
        <v>-1</v>
      </c>
      <c r="D14" s="59">
        <v>-1</v>
      </c>
      <c r="E14" s="260" cm="1">
        <f t="array" ref="E14:E32">_xlfn.XLOOKUP(B14:B32,B5:F5,B6:F6)</f>
        <v>0.72</v>
      </c>
      <c r="F14" s="44" cm="1">
        <f t="array" ref="F14:F32">_xlfn.XLOOKUP(C14:C32,B5:F5,B7:F7)</f>
        <v>6.3000000000000007</v>
      </c>
      <c r="G14" s="45" cm="1">
        <f t="array" ref="G14:G32">_xlfn.XLOOKUP(D14:D32,B5:F5,B8:F8)</f>
        <v>190</v>
      </c>
      <c r="H14" s="57">
        <f>(G14*E14)/(E14+1)</f>
        <v>79.534883720930225</v>
      </c>
    </row>
    <row r="15" spans="1:10" x14ac:dyDescent="0.3">
      <c r="A15" s="241"/>
      <c r="B15" s="60">
        <v>1</v>
      </c>
      <c r="C15" s="255">
        <v>-1</v>
      </c>
      <c r="D15" s="254">
        <v>-1</v>
      </c>
      <c r="E15" s="10">
        <v>1.78</v>
      </c>
      <c r="F15" s="11">
        <v>6.3000000000000007</v>
      </c>
      <c r="G15" s="37">
        <v>190</v>
      </c>
      <c r="H15" s="57">
        <f t="shared" ref="H15:H32" si="1">(G15*E15)/(E15+1)</f>
        <v>121.65467625899279</v>
      </c>
    </row>
    <row r="16" spans="1:10" x14ac:dyDescent="0.3">
      <c r="A16" s="241"/>
      <c r="B16" s="61">
        <v>-1</v>
      </c>
      <c r="C16" s="255">
        <v>1</v>
      </c>
      <c r="D16" s="255">
        <v>-1</v>
      </c>
      <c r="E16" s="10">
        <v>0.72</v>
      </c>
      <c r="F16" s="11">
        <v>11.7</v>
      </c>
      <c r="G16" s="37">
        <v>190</v>
      </c>
      <c r="H16" s="57">
        <f t="shared" si="1"/>
        <v>79.534883720930225</v>
      </c>
    </row>
    <row r="17" spans="1:8" x14ac:dyDescent="0.3">
      <c r="A17" s="241"/>
      <c r="B17" s="61">
        <v>1</v>
      </c>
      <c r="C17" s="255">
        <v>1</v>
      </c>
      <c r="D17" s="255">
        <v>-1</v>
      </c>
      <c r="E17" s="10">
        <v>1.78</v>
      </c>
      <c r="F17" s="11">
        <v>11.7</v>
      </c>
      <c r="G17" s="37">
        <v>190</v>
      </c>
      <c r="H17" s="57">
        <f t="shared" si="1"/>
        <v>121.65467625899279</v>
      </c>
    </row>
    <row r="18" spans="1:8" x14ac:dyDescent="0.3">
      <c r="A18" s="241"/>
      <c r="B18" s="61">
        <v>-1</v>
      </c>
      <c r="C18" s="255">
        <v>-1</v>
      </c>
      <c r="D18" s="255">
        <v>1</v>
      </c>
      <c r="E18" s="10">
        <v>0.72</v>
      </c>
      <c r="F18" s="11">
        <v>6.3000000000000007</v>
      </c>
      <c r="G18" s="37">
        <v>410</v>
      </c>
      <c r="H18" s="57">
        <f t="shared" si="1"/>
        <v>171.62790697674419</v>
      </c>
    </row>
    <row r="19" spans="1:8" x14ac:dyDescent="0.3">
      <c r="A19" s="241"/>
      <c r="B19" s="61">
        <v>1</v>
      </c>
      <c r="C19" s="255">
        <v>-1</v>
      </c>
      <c r="D19" s="254">
        <v>1</v>
      </c>
      <c r="E19" s="10">
        <v>1.78</v>
      </c>
      <c r="F19" s="11">
        <v>6.3000000000000007</v>
      </c>
      <c r="G19" s="37">
        <v>410</v>
      </c>
      <c r="H19" s="57">
        <f t="shared" si="1"/>
        <v>262.51798561151077</v>
      </c>
    </row>
    <row r="20" spans="1:8" x14ac:dyDescent="0.3">
      <c r="A20" s="241"/>
      <c r="B20" s="61">
        <v>-1</v>
      </c>
      <c r="C20" s="255">
        <v>1</v>
      </c>
      <c r="D20" s="255">
        <v>1</v>
      </c>
      <c r="E20" s="10">
        <v>0.72</v>
      </c>
      <c r="F20" s="11">
        <v>11.7</v>
      </c>
      <c r="G20" s="37">
        <v>410</v>
      </c>
      <c r="H20" s="57">
        <f t="shared" si="1"/>
        <v>171.62790697674419</v>
      </c>
    </row>
    <row r="21" spans="1:8" x14ac:dyDescent="0.3">
      <c r="A21" s="241"/>
      <c r="B21" s="262">
        <v>1</v>
      </c>
      <c r="C21" s="263">
        <v>1</v>
      </c>
      <c r="D21" s="263">
        <v>1</v>
      </c>
      <c r="E21" s="264">
        <v>1.78</v>
      </c>
      <c r="F21" s="265">
        <v>11.7</v>
      </c>
      <c r="G21" s="266">
        <v>410</v>
      </c>
      <c r="H21" s="57">
        <f t="shared" si="1"/>
        <v>262.51798561151077</v>
      </c>
    </row>
    <row r="22" spans="1:8" x14ac:dyDescent="0.3">
      <c r="A22" s="241"/>
      <c r="B22" s="267" t="s">
        <v>63</v>
      </c>
      <c r="C22" s="268">
        <v>0</v>
      </c>
      <c r="D22" s="268">
        <v>0</v>
      </c>
      <c r="E22" s="269">
        <v>0.3586497998310626</v>
      </c>
      <c r="F22" s="270">
        <v>9</v>
      </c>
      <c r="G22" s="271">
        <v>300</v>
      </c>
      <c r="H22" s="57">
        <f t="shared" si="1"/>
        <v>79.19254833931258</v>
      </c>
    </row>
    <row r="23" spans="1:8" x14ac:dyDescent="0.3">
      <c r="A23" s="241"/>
      <c r="B23" s="62" t="s">
        <v>64</v>
      </c>
      <c r="C23" s="239">
        <v>0</v>
      </c>
      <c r="D23" s="239">
        <v>0</v>
      </c>
      <c r="E23" s="10">
        <v>2.1413502001689375</v>
      </c>
      <c r="F23" s="11">
        <v>9</v>
      </c>
      <c r="G23" s="37">
        <v>300</v>
      </c>
      <c r="H23" s="57">
        <f t="shared" si="1"/>
        <v>204.49966387578615</v>
      </c>
    </row>
    <row r="24" spans="1:8" x14ac:dyDescent="0.3">
      <c r="A24" s="241"/>
      <c r="B24" s="63">
        <v>0</v>
      </c>
      <c r="C24" s="256" t="s">
        <v>63</v>
      </c>
      <c r="D24" s="239">
        <v>0</v>
      </c>
      <c r="E24" s="10">
        <v>1.25</v>
      </c>
      <c r="F24" s="11">
        <v>4.4591593576299431</v>
      </c>
      <c r="G24" s="37">
        <v>300</v>
      </c>
      <c r="H24" s="57">
        <f t="shared" si="1"/>
        <v>166.66666666666666</v>
      </c>
    </row>
    <row r="25" spans="1:8" x14ac:dyDescent="0.3">
      <c r="A25" s="241"/>
      <c r="B25" s="63">
        <v>0</v>
      </c>
      <c r="C25" s="256" t="s">
        <v>64</v>
      </c>
      <c r="D25" s="239">
        <v>0</v>
      </c>
      <c r="E25" s="10">
        <v>1.25</v>
      </c>
      <c r="F25" s="11">
        <v>13.540840642370057</v>
      </c>
      <c r="G25" s="37">
        <v>300</v>
      </c>
      <c r="H25" s="57">
        <f t="shared" si="1"/>
        <v>166.66666666666666</v>
      </c>
    </row>
    <row r="26" spans="1:8" x14ac:dyDescent="0.3">
      <c r="A26" s="241"/>
      <c r="B26" s="63">
        <v>0</v>
      </c>
      <c r="C26" s="239">
        <v>0</v>
      </c>
      <c r="D26" s="256" t="s">
        <v>63</v>
      </c>
      <c r="E26" s="10">
        <v>1.25</v>
      </c>
      <c r="F26" s="11">
        <v>9</v>
      </c>
      <c r="G26" s="37">
        <v>115.0027886441828</v>
      </c>
      <c r="H26" s="57">
        <f t="shared" si="1"/>
        <v>63.890438135657114</v>
      </c>
    </row>
    <row r="27" spans="1:8" x14ac:dyDescent="0.3">
      <c r="A27" s="241"/>
      <c r="B27" s="272">
        <v>0</v>
      </c>
      <c r="C27" s="273">
        <v>0</v>
      </c>
      <c r="D27" s="274" t="s">
        <v>64</v>
      </c>
      <c r="E27" s="264">
        <v>1.25</v>
      </c>
      <c r="F27" s="265">
        <v>9</v>
      </c>
      <c r="G27" s="266">
        <v>484.99721135581717</v>
      </c>
      <c r="H27" s="57">
        <f t="shared" si="1"/>
        <v>269.44289519767619</v>
      </c>
    </row>
    <row r="28" spans="1:8" x14ac:dyDescent="0.3">
      <c r="A28" s="241"/>
      <c r="B28" s="64">
        <v>0</v>
      </c>
      <c r="C28" s="259">
        <v>0</v>
      </c>
      <c r="D28" s="257">
        <v>0</v>
      </c>
      <c r="E28" s="10">
        <v>1.25</v>
      </c>
      <c r="F28" s="11">
        <v>9</v>
      </c>
      <c r="G28" s="37">
        <v>300</v>
      </c>
      <c r="H28" s="57">
        <f t="shared" si="1"/>
        <v>166.66666666666666</v>
      </c>
    </row>
    <row r="29" spans="1:8" x14ac:dyDescent="0.3">
      <c r="A29" s="241"/>
      <c r="B29" s="64">
        <v>0</v>
      </c>
      <c r="C29" s="257">
        <v>0</v>
      </c>
      <c r="D29" s="257">
        <v>0</v>
      </c>
      <c r="E29" s="10">
        <v>1.25</v>
      </c>
      <c r="F29" s="11">
        <v>9</v>
      </c>
      <c r="G29" s="37">
        <v>300</v>
      </c>
      <c r="H29" s="57">
        <f t="shared" si="1"/>
        <v>166.66666666666666</v>
      </c>
    </row>
    <row r="30" spans="1:8" x14ac:dyDescent="0.3">
      <c r="A30" s="241"/>
      <c r="B30" s="64">
        <v>0</v>
      </c>
      <c r="C30" s="257">
        <v>0</v>
      </c>
      <c r="D30" s="257">
        <v>0</v>
      </c>
      <c r="E30" s="10">
        <v>1.25</v>
      </c>
      <c r="F30" s="11">
        <v>9</v>
      </c>
      <c r="G30" s="37">
        <v>300</v>
      </c>
      <c r="H30" s="57">
        <f t="shared" si="1"/>
        <v>166.66666666666666</v>
      </c>
    </row>
    <row r="31" spans="1:8" x14ac:dyDescent="0.3">
      <c r="A31" s="241"/>
      <c r="B31" s="65">
        <v>0</v>
      </c>
      <c r="C31" s="258">
        <v>0</v>
      </c>
      <c r="D31" s="258">
        <v>0</v>
      </c>
      <c r="E31" s="10">
        <v>1.25</v>
      </c>
      <c r="F31" s="11">
        <v>9</v>
      </c>
      <c r="G31" s="37">
        <v>300</v>
      </c>
      <c r="H31" s="57">
        <f t="shared" si="1"/>
        <v>166.66666666666666</v>
      </c>
    </row>
    <row r="32" spans="1:8" ht="15" thickBot="1" x14ac:dyDescent="0.35">
      <c r="A32" s="241"/>
      <c r="B32" s="66">
        <v>0</v>
      </c>
      <c r="C32" s="67">
        <v>0</v>
      </c>
      <c r="D32" s="67">
        <v>0</v>
      </c>
      <c r="E32" s="261">
        <v>1.25</v>
      </c>
      <c r="F32" s="32">
        <v>9</v>
      </c>
      <c r="G32" s="38">
        <v>300</v>
      </c>
      <c r="H32" s="57">
        <f t="shared" si="1"/>
        <v>166.66666666666666</v>
      </c>
    </row>
    <row r="33" spans="3:9" x14ac:dyDescent="0.3">
      <c r="F33" s="30"/>
      <c r="I33" s="28"/>
    </row>
    <row r="36" spans="3:9" x14ac:dyDescent="0.3">
      <c r="I36" s="28"/>
    </row>
    <row r="45" spans="3:9" x14ac:dyDescent="0.3">
      <c r="C45">
        <v>0.72</v>
      </c>
      <c r="D45">
        <v>6.8800000000000008</v>
      </c>
    </row>
    <row r="46" spans="3:9" x14ac:dyDescent="0.3">
      <c r="C46">
        <v>0.72</v>
      </c>
      <c r="D46">
        <v>6.8800000000000008</v>
      </c>
    </row>
    <row r="47" spans="3:9" x14ac:dyDescent="0.3">
      <c r="C47">
        <v>1.78</v>
      </c>
      <c r="D47">
        <v>6.8800000000000008</v>
      </c>
    </row>
    <row r="48" spans="3:9" x14ac:dyDescent="0.3">
      <c r="C48" s="12">
        <v>1.78</v>
      </c>
      <c r="D48">
        <v>6.8800000000000008</v>
      </c>
    </row>
    <row r="49" spans="3:4" ht="15" thickBot="1" x14ac:dyDescent="0.35">
      <c r="C49">
        <v>0.72</v>
      </c>
      <c r="D49" s="29">
        <v>11.12</v>
      </c>
    </row>
    <row r="50" spans="3:4" ht="15" thickBot="1" x14ac:dyDescent="0.35">
      <c r="C50">
        <v>0.72</v>
      </c>
      <c r="D50" s="29">
        <v>11.12</v>
      </c>
    </row>
    <row r="51" spans="3:4" ht="15" thickBot="1" x14ac:dyDescent="0.35">
      <c r="C51" s="12">
        <v>1.78</v>
      </c>
      <c r="D51" s="29">
        <v>11.12</v>
      </c>
    </row>
    <row r="52" spans="3:4" ht="15" thickBot="1" x14ac:dyDescent="0.35">
      <c r="C52" s="12">
        <v>1.78</v>
      </c>
      <c r="D52" s="29">
        <v>11.12</v>
      </c>
    </row>
    <row r="53" spans="3:4" x14ac:dyDescent="0.3">
      <c r="C53" s="12">
        <v>1.25</v>
      </c>
      <c r="D53">
        <v>9</v>
      </c>
    </row>
    <row r="54" spans="3:4" x14ac:dyDescent="0.3">
      <c r="C54" s="12">
        <v>1.25</v>
      </c>
      <c r="D54">
        <v>9</v>
      </c>
    </row>
    <row r="55" spans="3:4" x14ac:dyDescent="0.3">
      <c r="C55">
        <v>0.5</v>
      </c>
      <c r="D55">
        <v>9</v>
      </c>
    </row>
    <row r="56" spans="3:4" x14ac:dyDescent="0.3">
      <c r="C56">
        <v>2</v>
      </c>
      <c r="D56">
        <v>9</v>
      </c>
    </row>
    <row r="57" spans="3:4" x14ac:dyDescent="0.3">
      <c r="C57" s="12">
        <v>1.25</v>
      </c>
      <c r="D57">
        <v>6</v>
      </c>
    </row>
    <row r="58" spans="3:4" x14ac:dyDescent="0.3">
      <c r="C58" s="12">
        <v>1.25</v>
      </c>
      <c r="D58">
        <v>12</v>
      </c>
    </row>
    <row r="59" spans="3:4" x14ac:dyDescent="0.3">
      <c r="C59" s="12">
        <v>1.25</v>
      </c>
      <c r="D59">
        <v>9</v>
      </c>
    </row>
    <row r="60" spans="3:4" x14ac:dyDescent="0.3">
      <c r="C60" s="12">
        <v>1.25</v>
      </c>
      <c r="D60">
        <v>9</v>
      </c>
    </row>
  </sheetData>
  <mergeCells count="5">
    <mergeCell ref="A1:F2"/>
    <mergeCell ref="B4:F4"/>
    <mergeCell ref="B11:G11"/>
    <mergeCell ref="B12:D12"/>
    <mergeCell ref="E12:G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EC45-EF9C-42F5-BE89-7929F6007724}">
  <dimension ref="A1:W24"/>
  <sheetViews>
    <sheetView zoomScale="85" zoomScaleNormal="85" workbookViewId="0">
      <selection activeCell="H29" sqref="H29"/>
    </sheetView>
  </sheetViews>
  <sheetFormatPr baseColWidth="10" defaultRowHeight="14.4" x14ac:dyDescent="0.3"/>
  <cols>
    <col min="2" max="2" width="15.44140625" customWidth="1"/>
    <col min="3" max="3" width="14" customWidth="1"/>
    <col min="4" max="4" width="16.44140625" customWidth="1"/>
    <col min="5" max="7" width="13.88671875" customWidth="1"/>
    <col min="8" max="8" width="13.5546875" bestFit="1" customWidth="1"/>
    <col min="9" max="11" width="13.5546875" customWidth="1"/>
    <col min="12" max="12" width="18" customWidth="1"/>
    <col min="13" max="13" width="19.44140625" bestFit="1" customWidth="1"/>
    <col min="14" max="14" width="16.5546875" customWidth="1"/>
    <col min="15" max="16" width="12.5546875" customWidth="1"/>
    <col min="17" max="17" width="18" hidden="1" customWidth="1"/>
    <col min="18" max="18" width="18.33203125" hidden="1" customWidth="1"/>
    <col min="19" max="19" width="16" hidden="1" customWidth="1"/>
    <col min="20" max="21" width="12.5546875" hidden="1" customWidth="1"/>
  </cols>
  <sheetData>
    <row r="1" spans="1:23" ht="15" thickBot="1" x14ac:dyDescent="0.35">
      <c r="A1" s="3"/>
      <c r="B1" s="3"/>
      <c r="C1" s="3"/>
      <c r="D1" s="3"/>
      <c r="E1" s="317" t="s">
        <v>12</v>
      </c>
      <c r="F1" s="318"/>
      <c r="G1" s="319"/>
      <c r="H1" s="320" t="s">
        <v>116</v>
      </c>
      <c r="I1" s="321"/>
      <c r="J1" s="321"/>
      <c r="K1" s="322"/>
      <c r="L1" s="309" t="s">
        <v>108</v>
      </c>
      <c r="M1" s="310"/>
      <c r="N1" s="310"/>
      <c r="O1" s="310"/>
      <c r="P1" s="311"/>
      <c r="Q1" s="309" t="s">
        <v>109</v>
      </c>
      <c r="R1" s="310"/>
      <c r="S1" s="310"/>
      <c r="T1" s="310"/>
      <c r="U1" s="311"/>
    </row>
    <row r="2" spans="1:23" ht="43.2" x14ac:dyDescent="0.3">
      <c r="A2" s="47"/>
      <c r="B2" s="109" t="s">
        <v>6</v>
      </c>
      <c r="C2" s="126" t="s">
        <v>119</v>
      </c>
      <c r="D2" s="126" t="s">
        <v>106</v>
      </c>
      <c r="E2" s="142" t="s">
        <v>91</v>
      </c>
      <c r="F2" s="127" t="s">
        <v>90</v>
      </c>
      <c r="G2" s="143" t="s">
        <v>89</v>
      </c>
      <c r="H2" s="126" t="s">
        <v>8</v>
      </c>
      <c r="I2" s="128" t="s">
        <v>27</v>
      </c>
      <c r="J2" s="128" t="s">
        <v>7</v>
      </c>
      <c r="K2" s="128" t="s">
        <v>28</v>
      </c>
      <c r="L2" s="139" t="s">
        <v>107</v>
      </c>
      <c r="M2" s="129" t="s">
        <v>5</v>
      </c>
      <c r="N2" s="129" t="s">
        <v>9</v>
      </c>
      <c r="O2" s="130" t="s">
        <v>88</v>
      </c>
      <c r="P2" s="131" t="s">
        <v>92</v>
      </c>
      <c r="Q2" s="139" t="s">
        <v>107</v>
      </c>
      <c r="R2" s="129" t="s">
        <v>5</v>
      </c>
      <c r="S2" s="129" t="s">
        <v>9</v>
      </c>
      <c r="T2" s="130" t="s">
        <v>127</v>
      </c>
      <c r="U2" s="131" t="s">
        <v>92</v>
      </c>
    </row>
    <row r="3" spans="1:23" ht="16.5" customHeight="1" x14ac:dyDescent="0.3">
      <c r="A3" s="168" t="s">
        <v>37</v>
      </c>
      <c r="B3" s="110" t="s">
        <v>31</v>
      </c>
      <c r="C3" s="125" t="s">
        <v>70</v>
      </c>
      <c r="D3" s="125" t="s">
        <v>31</v>
      </c>
      <c r="E3" s="98" t="s">
        <v>38</v>
      </c>
      <c r="F3" s="48" t="s">
        <v>39</v>
      </c>
      <c r="G3" s="99" t="s">
        <v>40</v>
      </c>
      <c r="H3" s="125" t="s">
        <v>58</v>
      </c>
      <c r="I3" s="49" t="s">
        <v>31</v>
      </c>
      <c r="J3" s="49" t="s">
        <v>31</v>
      </c>
      <c r="K3" s="49" t="s">
        <v>31</v>
      </c>
      <c r="L3" s="140" t="s">
        <v>71</v>
      </c>
      <c r="M3" s="69" t="s">
        <v>31</v>
      </c>
      <c r="N3" s="69" t="s">
        <v>31</v>
      </c>
      <c r="O3" s="50" t="s">
        <v>31</v>
      </c>
      <c r="P3" s="97" t="s">
        <v>31</v>
      </c>
      <c r="Q3" s="140" t="s">
        <v>71</v>
      </c>
      <c r="R3" s="69"/>
      <c r="S3" s="69" t="s">
        <v>31</v>
      </c>
      <c r="T3" s="50" t="s">
        <v>31</v>
      </c>
      <c r="U3" s="97" t="s">
        <v>31</v>
      </c>
    </row>
    <row r="4" spans="1:23" ht="16.5" customHeight="1" thickBot="1" x14ac:dyDescent="0.35">
      <c r="A4" s="46" t="s">
        <v>30</v>
      </c>
      <c r="B4" s="132" t="s">
        <v>31</v>
      </c>
      <c r="C4" s="133" t="s">
        <v>31</v>
      </c>
      <c r="D4" s="133" t="s">
        <v>32</v>
      </c>
      <c r="E4" s="144" t="s">
        <v>31</v>
      </c>
      <c r="F4" s="134" t="s">
        <v>33</v>
      </c>
      <c r="G4" s="145" t="s">
        <v>34</v>
      </c>
      <c r="H4" s="133" t="s">
        <v>34</v>
      </c>
      <c r="I4" s="135" t="s">
        <v>34</v>
      </c>
      <c r="J4" s="135" t="s">
        <v>34</v>
      </c>
      <c r="K4" s="135" t="s">
        <v>34</v>
      </c>
      <c r="L4" s="141" t="s">
        <v>32</v>
      </c>
      <c r="M4" s="136" t="s">
        <v>31</v>
      </c>
      <c r="N4" s="136" t="s">
        <v>32</v>
      </c>
      <c r="O4" s="137"/>
      <c r="P4" s="138" t="s">
        <v>35</v>
      </c>
      <c r="Q4" s="141" t="s">
        <v>32</v>
      </c>
      <c r="R4" s="136" t="s">
        <v>31</v>
      </c>
      <c r="S4" s="136" t="s">
        <v>32</v>
      </c>
      <c r="T4" s="137"/>
      <c r="U4" s="138" t="s">
        <v>35</v>
      </c>
    </row>
    <row r="5" spans="1:23" ht="16.5" customHeight="1" x14ac:dyDescent="0.3">
      <c r="A5" s="314" t="s">
        <v>86</v>
      </c>
      <c r="B5" s="114" t="s">
        <v>59</v>
      </c>
      <c r="C5" s="107" t="s">
        <v>72</v>
      </c>
      <c r="D5" s="149">
        <v>0.25</v>
      </c>
      <c r="E5" s="172">
        <v>1.25</v>
      </c>
      <c r="F5" s="173">
        <v>9</v>
      </c>
      <c r="G5" s="174">
        <v>300</v>
      </c>
      <c r="H5" s="119">
        <f>(G5*E5)/(1+E5)</f>
        <v>166.66666666666666</v>
      </c>
      <c r="I5" s="153">
        <f t="shared" ref="I5:I24" si="0">100+G5</f>
        <v>400</v>
      </c>
      <c r="J5" s="116">
        <f t="shared" ref="J5:J24" si="1">I5*E5/(1+E5)</f>
        <v>222.22222222222223</v>
      </c>
      <c r="K5" s="116">
        <f t="shared" ref="K5:K24" si="2">I5-J5</f>
        <v>177.77777777777777</v>
      </c>
      <c r="L5" s="122">
        <f>D5</f>
        <v>0.25</v>
      </c>
      <c r="M5" s="100">
        <v>2877425.8</v>
      </c>
      <c r="N5" s="51">
        <f>(M5-Calibration_Curve!$G$4)/Calibration_Curve!$F$4</f>
        <v>16.086964897570844</v>
      </c>
      <c r="O5" s="101">
        <f>$N5/$L5</f>
        <v>64.347859590283377</v>
      </c>
      <c r="P5" s="54">
        <f>(($H5*0.001)/($F5))*$O5</f>
        <v>1.191627029449692</v>
      </c>
      <c r="Q5" s="122"/>
      <c r="R5" s="100"/>
      <c r="S5" s="51">
        <f>(R5-Calibration_Curve!$J$4)/Calibration_Curve!$I$4</f>
        <v>0.23858681384480587</v>
      </c>
      <c r="T5" s="101" t="e">
        <f>S5/Q5</f>
        <v>#DIV/0!</v>
      </c>
      <c r="U5" s="54" t="e">
        <f>((H5*0.001)/(F5))*T5</f>
        <v>#DIV/0!</v>
      </c>
    </row>
    <row r="6" spans="1:23" ht="16.5" customHeight="1" x14ac:dyDescent="0.3">
      <c r="A6" s="315"/>
      <c r="B6" s="114" t="s">
        <v>61</v>
      </c>
      <c r="C6" s="107" t="s">
        <v>73</v>
      </c>
      <c r="D6" s="149">
        <v>0.25</v>
      </c>
      <c r="E6" s="172">
        <v>1.25</v>
      </c>
      <c r="F6" s="173">
        <v>9</v>
      </c>
      <c r="G6" s="174">
        <v>300</v>
      </c>
      <c r="H6" s="119">
        <f t="shared" ref="H6:H24" si="3">(G6*E6)/(1+E6)</f>
        <v>166.66666666666666</v>
      </c>
      <c r="I6" s="153">
        <f t="shared" si="0"/>
        <v>400</v>
      </c>
      <c r="J6" s="116">
        <f t="shared" si="1"/>
        <v>222.22222222222223</v>
      </c>
      <c r="K6" s="116">
        <f t="shared" si="2"/>
        <v>177.77777777777777</v>
      </c>
      <c r="L6" s="122">
        <f t="shared" ref="L6:L24" si="4">D6</f>
        <v>0.25</v>
      </c>
      <c r="M6" s="100">
        <v>2570571.9999999995</v>
      </c>
      <c r="N6" s="51">
        <f>(M6-Calibration_Curve!$G$4)/Calibration_Curve!$F$4</f>
        <v>14.390001031590643</v>
      </c>
      <c r="O6" s="101">
        <f t="shared" ref="O6:O24" si="5">$N6/$L6</f>
        <v>57.560004126362571</v>
      </c>
      <c r="P6" s="54">
        <f t="shared" ref="P6:P24" si="6">(($H6*0.001)/($F6))*$O6</f>
        <v>1.0659260023400476</v>
      </c>
      <c r="Q6" s="122"/>
      <c r="R6" s="100"/>
      <c r="S6" s="51">
        <f>(R6-Calibration_Curve!$J$4)/Calibration_Curve!$I$4</f>
        <v>0.23858681384480587</v>
      </c>
      <c r="T6" s="101" t="e">
        <f t="shared" ref="T6:T24" si="7">S6/Q6</f>
        <v>#DIV/0!</v>
      </c>
      <c r="U6" s="54" t="e">
        <f t="shared" ref="U6:U24" si="8">((H6*0.001)/(F6))*T6</f>
        <v>#DIV/0!</v>
      </c>
    </row>
    <row r="7" spans="1:23" ht="16.5" customHeight="1" thickBot="1" x14ac:dyDescent="0.35">
      <c r="A7" s="315"/>
      <c r="B7" s="114" t="s">
        <v>62</v>
      </c>
      <c r="C7" s="107" t="s">
        <v>74</v>
      </c>
      <c r="D7" s="149">
        <v>0.25</v>
      </c>
      <c r="E7" s="172">
        <v>1.25</v>
      </c>
      <c r="F7" s="173">
        <v>9</v>
      </c>
      <c r="G7" s="174">
        <v>300</v>
      </c>
      <c r="H7" s="119">
        <f t="shared" si="3"/>
        <v>166.66666666666666</v>
      </c>
      <c r="I7" s="153">
        <f t="shared" si="0"/>
        <v>400</v>
      </c>
      <c r="J7" s="116">
        <f t="shared" si="1"/>
        <v>222.22222222222223</v>
      </c>
      <c r="K7" s="116">
        <f t="shared" si="2"/>
        <v>177.77777777777777</v>
      </c>
      <c r="L7" s="122">
        <f t="shared" si="4"/>
        <v>0.25</v>
      </c>
      <c r="M7" s="100">
        <v>2195960.4</v>
      </c>
      <c r="N7" s="51">
        <f>(M7-Calibration_Curve!$G$4)/Calibration_Curve!$F$4</f>
        <v>12.318322763382698</v>
      </c>
      <c r="O7" s="101">
        <f t="shared" si="5"/>
        <v>49.273291053530791</v>
      </c>
      <c r="P7" s="54">
        <f t="shared" si="6"/>
        <v>0.91246835284316274</v>
      </c>
      <c r="Q7" s="122"/>
      <c r="R7" s="100"/>
      <c r="S7" s="51">
        <f>(R7-Calibration_Curve!$J$4)/Calibration_Curve!$I$4</f>
        <v>0.23858681384480587</v>
      </c>
      <c r="T7" s="101" t="e">
        <f t="shared" si="7"/>
        <v>#DIV/0!</v>
      </c>
      <c r="U7" s="54" t="e">
        <f t="shared" si="8"/>
        <v>#DIV/0!</v>
      </c>
      <c r="V7" s="91"/>
      <c r="W7" s="91"/>
    </row>
    <row r="8" spans="1:23" ht="16.5" customHeight="1" x14ac:dyDescent="0.3">
      <c r="A8" s="314" t="s">
        <v>87</v>
      </c>
      <c r="B8" s="186" t="s">
        <v>41</v>
      </c>
      <c r="C8" s="106" t="s">
        <v>72</v>
      </c>
      <c r="D8" s="154">
        <v>0.25</v>
      </c>
      <c r="E8" s="175">
        <v>0.72</v>
      </c>
      <c r="F8" s="176">
        <v>6.3000000000000007</v>
      </c>
      <c r="G8" s="177">
        <v>380</v>
      </c>
      <c r="H8" s="118">
        <f t="shared" si="3"/>
        <v>159.06976744186045</v>
      </c>
      <c r="I8" s="158">
        <f t="shared" si="0"/>
        <v>480</v>
      </c>
      <c r="J8" s="115">
        <f t="shared" si="1"/>
        <v>200.93023255813952</v>
      </c>
      <c r="K8" s="115">
        <f t="shared" si="2"/>
        <v>279.06976744186045</v>
      </c>
      <c r="L8" s="121">
        <f t="shared" si="4"/>
        <v>0.25</v>
      </c>
      <c r="M8" s="104">
        <v>646358.66056338046</v>
      </c>
      <c r="N8" s="56">
        <f>(M8-Calibration_Curve!$G$4)/Calibration_Curve!$F$4</f>
        <v>3.7487102688201253</v>
      </c>
      <c r="O8" s="105">
        <f t="shared" si="5"/>
        <v>14.994841075280501</v>
      </c>
      <c r="P8" s="53">
        <f t="shared" si="6"/>
        <v>0.37860728296389301</v>
      </c>
      <c r="Q8" s="121"/>
      <c r="R8" s="104"/>
      <c r="S8" s="56">
        <f>(R8-Calibration_Curve!$J$4)/Calibration_Curve!$I$4</f>
        <v>0.23858681384480587</v>
      </c>
      <c r="T8" s="105" t="e">
        <f t="shared" si="7"/>
        <v>#DIV/0!</v>
      </c>
      <c r="U8" s="53" t="e">
        <f t="shared" si="8"/>
        <v>#DIV/0!</v>
      </c>
      <c r="V8" s="91"/>
      <c r="W8" s="91"/>
    </row>
    <row r="9" spans="1:23" ht="16.5" customHeight="1" x14ac:dyDescent="0.3">
      <c r="A9" s="315"/>
      <c r="B9" s="184" t="s">
        <v>42</v>
      </c>
      <c r="C9" s="107" t="s">
        <v>72</v>
      </c>
      <c r="D9" s="149">
        <v>0.25</v>
      </c>
      <c r="E9" s="172">
        <v>1.78</v>
      </c>
      <c r="F9" s="173">
        <v>6.3000000000000007</v>
      </c>
      <c r="G9" s="174">
        <v>380</v>
      </c>
      <c r="H9" s="119">
        <f t="shared" si="3"/>
        <v>243.30935251798559</v>
      </c>
      <c r="I9" s="153">
        <f t="shared" si="0"/>
        <v>480</v>
      </c>
      <c r="J9" s="116">
        <f t="shared" si="1"/>
        <v>307.33812949640281</v>
      </c>
      <c r="K9" s="116">
        <f t="shared" si="2"/>
        <v>172.66187050359719</v>
      </c>
      <c r="L9" s="122">
        <f t="shared" si="4"/>
        <v>0.25</v>
      </c>
      <c r="M9" s="100">
        <v>401463.70000000019</v>
      </c>
      <c r="N9" s="51">
        <f>(M9-Calibration_Curve!$G$4)/Calibration_Curve!$F$4</f>
        <v>2.394391374816851</v>
      </c>
      <c r="O9" s="101">
        <f t="shared" si="5"/>
        <v>9.5775654992674042</v>
      </c>
      <c r="P9" s="54">
        <f t="shared" si="6"/>
        <v>0.36989067624211897</v>
      </c>
      <c r="Q9" s="122"/>
      <c r="R9" s="100"/>
      <c r="S9" s="51">
        <f>(R9-Calibration_Curve!$J$4)/Calibration_Curve!$I$4</f>
        <v>0.23858681384480587</v>
      </c>
      <c r="T9" s="101" t="e">
        <f t="shared" si="7"/>
        <v>#DIV/0!</v>
      </c>
      <c r="U9" s="54" t="e">
        <f t="shared" si="8"/>
        <v>#DIV/0!</v>
      </c>
      <c r="V9" s="91"/>
      <c r="W9" s="91"/>
    </row>
    <row r="10" spans="1:23" ht="16.5" customHeight="1" x14ac:dyDescent="0.3">
      <c r="A10" s="315"/>
      <c r="B10" s="184" t="s">
        <v>43</v>
      </c>
      <c r="C10" s="107" t="s">
        <v>72</v>
      </c>
      <c r="D10" s="149">
        <v>0.25</v>
      </c>
      <c r="E10" s="172">
        <v>0.72</v>
      </c>
      <c r="F10" s="173">
        <v>11.7</v>
      </c>
      <c r="G10" s="174">
        <v>380</v>
      </c>
      <c r="H10" s="119">
        <f t="shared" si="3"/>
        <v>159.06976744186045</v>
      </c>
      <c r="I10" s="153">
        <f t="shared" si="0"/>
        <v>480</v>
      </c>
      <c r="J10" s="116">
        <f t="shared" si="1"/>
        <v>200.93023255813952</v>
      </c>
      <c r="K10" s="116">
        <f t="shared" si="2"/>
        <v>279.06976744186045</v>
      </c>
      <c r="L10" s="122">
        <f t="shared" si="4"/>
        <v>0.25</v>
      </c>
      <c r="M10" s="100">
        <v>898823.48096676753</v>
      </c>
      <c r="N10" s="51">
        <f>(M10-Calibration_Curve!$G$4)/Calibration_Curve!$F$4</f>
        <v>5.1448920259165929</v>
      </c>
      <c r="O10" s="101">
        <f t="shared" si="5"/>
        <v>20.579568103666372</v>
      </c>
      <c r="P10" s="54">
        <f t="shared" si="6"/>
        <v>0.2797937702824051</v>
      </c>
      <c r="Q10" s="122"/>
      <c r="R10" s="100"/>
      <c r="S10" s="51">
        <f>(R10-Calibration_Curve!$J$4)/Calibration_Curve!$I$4</f>
        <v>0.23858681384480587</v>
      </c>
      <c r="T10" s="101" t="e">
        <f t="shared" si="7"/>
        <v>#DIV/0!</v>
      </c>
      <c r="U10" s="54" t="e">
        <f t="shared" si="8"/>
        <v>#DIV/0!</v>
      </c>
      <c r="V10" s="91"/>
      <c r="W10" s="91"/>
    </row>
    <row r="11" spans="1:23" ht="16.5" customHeight="1" x14ac:dyDescent="0.3">
      <c r="A11" s="315"/>
      <c r="B11" s="184" t="s">
        <v>44</v>
      </c>
      <c r="C11" s="107" t="s">
        <v>72</v>
      </c>
      <c r="D11" s="149">
        <v>0.25</v>
      </c>
      <c r="E11" s="172">
        <v>1.78</v>
      </c>
      <c r="F11" s="173">
        <v>11.7</v>
      </c>
      <c r="G11" s="174">
        <v>380</v>
      </c>
      <c r="H11" s="119">
        <f t="shared" si="3"/>
        <v>243.30935251798559</v>
      </c>
      <c r="I11" s="153">
        <f t="shared" si="0"/>
        <v>480</v>
      </c>
      <c r="J11" s="116">
        <f t="shared" si="1"/>
        <v>307.33812949640281</v>
      </c>
      <c r="K11" s="116">
        <f t="shared" si="2"/>
        <v>172.66187050359719</v>
      </c>
      <c r="L11" s="122">
        <f t="shared" si="4"/>
        <v>0.25</v>
      </c>
      <c r="M11" s="100">
        <v>517738.44301075267</v>
      </c>
      <c r="N11" s="51">
        <f>(M11-Calibration_Curve!$G$4)/Calibration_Curve!$F$4</f>
        <v>3.0374143304243115</v>
      </c>
      <c r="O11" s="101">
        <f t="shared" si="5"/>
        <v>12.149657321697246</v>
      </c>
      <c r="P11" s="54">
        <f t="shared" si="6"/>
        <v>0.25266027831261195</v>
      </c>
      <c r="Q11" s="122"/>
      <c r="R11" s="100"/>
      <c r="S11" s="51">
        <f>(R11-Calibration_Curve!$J$4)/Calibration_Curve!$I$4</f>
        <v>0.23858681384480587</v>
      </c>
      <c r="T11" s="101" t="e">
        <f t="shared" si="7"/>
        <v>#DIV/0!</v>
      </c>
      <c r="U11" s="54" t="e">
        <f t="shared" si="8"/>
        <v>#DIV/0!</v>
      </c>
      <c r="V11" s="91"/>
      <c r="W11" s="91"/>
    </row>
    <row r="12" spans="1:23" ht="16.5" customHeight="1" x14ac:dyDescent="0.3">
      <c r="A12" s="315"/>
      <c r="B12" s="184" t="s">
        <v>45</v>
      </c>
      <c r="C12" s="107" t="s">
        <v>72</v>
      </c>
      <c r="D12" s="149">
        <v>0.25</v>
      </c>
      <c r="E12" s="172">
        <v>0.72</v>
      </c>
      <c r="F12" s="173">
        <v>6.3000000000000007</v>
      </c>
      <c r="G12" s="174">
        <v>400</v>
      </c>
      <c r="H12" s="119">
        <f t="shared" si="3"/>
        <v>167.44186046511629</v>
      </c>
      <c r="I12" s="153">
        <f t="shared" si="0"/>
        <v>500</v>
      </c>
      <c r="J12" s="116">
        <f t="shared" si="1"/>
        <v>209.30232558139537</v>
      </c>
      <c r="K12" s="116">
        <f t="shared" si="2"/>
        <v>290.69767441860461</v>
      </c>
      <c r="L12" s="122">
        <f t="shared" si="4"/>
        <v>0.25</v>
      </c>
      <c r="M12" s="100">
        <v>715042.68580645183</v>
      </c>
      <c r="N12" s="51">
        <f>(M12-Calibration_Curve!$G$4)/Calibration_Curve!$F$4</f>
        <v>4.1285468848488787</v>
      </c>
      <c r="O12" s="101">
        <f t="shared" si="5"/>
        <v>16.514187539395515</v>
      </c>
      <c r="P12" s="54">
        <f t="shared" si="6"/>
        <v>0.43891528343908348</v>
      </c>
      <c r="Q12" s="122"/>
      <c r="R12" s="100"/>
      <c r="S12" s="51">
        <f>(R12-Calibration_Curve!$J$4)/Calibration_Curve!$I$4</f>
        <v>0.23858681384480587</v>
      </c>
      <c r="T12" s="101" t="e">
        <f t="shared" si="7"/>
        <v>#DIV/0!</v>
      </c>
      <c r="U12" s="54" t="e">
        <f t="shared" si="8"/>
        <v>#DIV/0!</v>
      </c>
      <c r="V12" s="91"/>
      <c r="W12" s="91"/>
    </row>
    <row r="13" spans="1:23" ht="16.5" customHeight="1" x14ac:dyDescent="0.3">
      <c r="A13" s="315"/>
      <c r="B13" s="184" t="s">
        <v>46</v>
      </c>
      <c r="C13" s="107" t="s">
        <v>72</v>
      </c>
      <c r="D13" s="149">
        <v>0.25</v>
      </c>
      <c r="E13" s="172">
        <v>1.78</v>
      </c>
      <c r="F13" s="173">
        <v>6.3000000000000007</v>
      </c>
      <c r="G13" s="174">
        <v>400</v>
      </c>
      <c r="H13" s="119">
        <f t="shared" si="3"/>
        <v>256.11510791366902</v>
      </c>
      <c r="I13" s="153">
        <f t="shared" si="0"/>
        <v>500</v>
      </c>
      <c r="J13" s="116">
        <f t="shared" si="1"/>
        <v>320.14388489208631</v>
      </c>
      <c r="K13" s="116">
        <f t="shared" si="2"/>
        <v>179.85611510791369</v>
      </c>
      <c r="L13" s="122">
        <f t="shared" si="4"/>
        <v>0.25</v>
      </c>
      <c r="M13" s="100">
        <v>368316.80000000005</v>
      </c>
      <c r="N13" s="51">
        <f>(M13-Calibration_Curve!$G$4)/Calibration_Curve!$F$4</f>
        <v>2.2110822824436775</v>
      </c>
      <c r="O13" s="101">
        <f t="shared" si="5"/>
        <v>8.8443291297747102</v>
      </c>
      <c r="P13" s="54">
        <f t="shared" si="6"/>
        <v>0.35955020785654856</v>
      </c>
      <c r="Q13" s="122"/>
      <c r="R13" s="100"/>
      <c r="S13" s="51">
        <f>(R13-Calibration_Curve!$J$4)/Calibration_Curve!$I$4</f>
        <v>0.23858681384480587</v>
      </c>
      <c r="T13" s="101" t="e">
        <f t="shared" si="7"/>
        <v>#DIV/0!</v>
      </c>
      <c r="U13" s="54" t="e">
        <f t="shared" si="8"/>
        <v>#DIV/0!</v>
      </c>
      <c r="V13" s="91"/>
      <c r="W13" s="91"/>
    </row>
    <row r="14" spans="1:23" ht="16.5" customHeight="1" x14ac:dyDescent="0.3">
      <c r="A14" s="315"/>
      <c r="B14" s="184" t="s">
        <v>47</v>
      </c>
      <c r="C14" s="107" t="s">
        <v>72</v>
      </c>
      <c r="D14" s="149">
        <v>0.25</v>
      </c>
      <c r="E14" s="172">
        <v>0.72</v>
      </c>
      <c r="F14" s="173">
        <v>11.7</v>
      </c>
      <c r="G14" s="174">
        <v>400</v>
      </c>
      <c r="H14" s="119">
        <f t="shared" si="3"/>
        <v>167.44186046511629</v>
      </c>
      <c r="I14" s="153">
        <f t="shared" si="0"/>
        <v>500</v>
      </c>
      <c r="J14" s="116">
        <f t="shared" si="1"/>
        <v>209.30232558139537</v>
      </c>
      <c r="K14" s="116">
        <f t="shared" si="2"/>
        <v>290.69767441860461</v>
      </c>
      <c r="L14" s="122">
        <f t="shared" si="4"/>
        <v>0.25</v>
      </c>
      <c r="M14" s="100">
        <v>784601.9</v>
      </c>
      <c r="N14" s="51">
        <f>(M14-Calibration_Curve!$G$4)/Calibration_Curve!$F$4</f>
        <v>4.5132234736101333</v>
      </c>
      <c r="O14" s="101">
        <f t="shared" si="5"/>
        <v>18.052893894440533</v>
      </c>
      <c r="P14" s="54">
        <f t="shared" si="6"/>
        <v>0.25835984106533866</v>
      </c>
      <c r="Q14" s="122"/>
      <c r="R14" s="100"/>
      <c r="S14" s="51">
        <f>(R14-Calibration_Curve!$J$4)/Calibration_Curve!$I$4</f>
        <v>0.23858681384480587</v>
      </c>
      <c r="T14" s="101" t="e">
        <f t="shared" si="7"/>
        <v>#DIV/0!</v>
      </c>
      <c r="U14" s="54" t="e">
        <f t="shared" si="8"/>
        <v>#DIV/0!</v>
      </c>
      <c r="V14" s="91"/>
      <c r="W14" s="91"/>
    </row>
    <row r="15" spans="1:23" ht="16.5" customHeight="1" x14ac:dyDescent="0.3">
      <c r="A15" s="315"/>
      <c r="B15" s="184" t="s">
        <v>48</v>
      </c>
      <c r="C15" s="107" t="s">
        <v>72</v>
      </c>
      <c r="D15" s="149">
        <v>0.25</v>
      </c>
      <c r="E15" s="172">
        <v>1.78</v>
      </c>
      <c r="F15" s="173">
        <v>11.7</v>
      </c>
      <c r="G15" s="174">
        <v>400</v>
      </c>
      <c r="H15" s="119">
        <f t="shared" si="3"/>
        <v>256.11510791366902</v>
      </c>
      <c r="I15" s="153">
        <f t="shared" si="0"/>
        <v>500</v>
      </c>
      <c r="J15" s="116">
        <f t="shared" si="1"/>
        <v>320.14388489208631</v>
      </c>
      <c r="K15" s="116">
        <f t="shared" si="2"/>
        <v>179.85611510791369</v>
      </c>
      <c r="L15" s="122">
        <f t="shared" si="4"/>
        <v>0.25</v>
      </c>
      <c r="M15" s="100">
        <v>547101.2999999997</v>
      </c>
      <c r="N15" s="51">
        <f>(M15-Calibration_Curve!$G$4)/Calibration_Curve!$F$4</f>
        <v>3.1997968960392598</v>
      </c>
      <c r="O15" s="101">
        <f t="shared" si="5"/>
        <v>12.799187584157039</v>
      </c>
      <c r="P15" s="54">
        <f t="shared" si="6"/>
        <v>0.28017652216441652</v>
      </c>
      <c r="Q15" s="122"/>
      <c r="R15" s="100"/>
      <c r="S15" s="51">
        <f>(R15-Calibration_Curve!$J$4)/Calibration_Curve!$I$4</f>
        <v>0.23858681384480587</v>
      </c>
      <c r="T15" s="101" t="e">
        <f t="shared" si="7"/>
        <v>#DIV/0!</v>
      </c>
      <c r="U15" s="54" t="e">
        <f t="shared" si="8"/>
        <v>#DIV/0!</v>
      </c>
      <c r="V15" s="91"/>
      <c r="W15" s="91"/>
    </row>
    <row r="16" spans="1:23" ht="16.5" customHeight="1" x14ac:dyDescent="0.3">
      <c r="A16" s="315"/>
      <c r="B16" s="201" t="s">
        <v>49</v>
      </c>
      <c r="C16" s="202" t="s">
        <v>72</v>
      </c>
      <c r="D16" s="203">
        <v>0.25</v>
      </c>
      <c r="E16" s="204">
        <v>0.35864979983106299</v>
      </c>
      <c r="F16" s="205">
        <v>9</v>
      </c>
      <c r="G16" s="206">
        <v>390</v>
      </c>
      <c r="H16" s="207">
        <f t="shared" si="3"/>
        <v>102.95031284110644</v>
      </c>
      <c r="I16" s="208">
        <f t="shared" si="0"/>
        <v>490</v>
      </c>
      <c r="J16" s="209">
        <f t="shared" si="1"/>
        <v>129.34782895421066</v>
      </c>
      <c r="K16" s="209">
        <f t="shared" si="2"/>
        <v>360.65217104578937</v>
      </c>
      <c r="L16" s="210">
        <f t="shared" si="4"/>
        <v>0.25</v>
      </c>
      <c r="M16" s="211">
        <v>1679452.8234636874</v>
      </c>
      <c r="N16" s="212">
        <f>(M16-Calibration_Curve!$G$4)/Calibration_Curve!$F$4</f>
        <v>9.46193091199574</v>
      </c>
      <c r="O16" s="213">
        <f t="shared" si="5"/>
        <v>37.84772364798296</v>
      </c>
      <c r="P16" s="214">
        <f t="shared" si="6"/>
        <v>0.43293722109817645</v>
      </c>
      <c r="Q16" s="122"/>
      <c r="R16" s="100"/>
      <c r="S16" s="51">
        <f>(R16-Calibration_Curve!$J$4)/Calibration_Curve!$I$4</f>
        <v>0.23858681384480587</v>
      </c>
      <c r="T16" s="101" t="e">
        <f t="shared" si="7"/>
        <v>#DIV/0!</v>
      </c>
      <c r="U16" s="54" t="e">
        <f t="shared" si="8"/>
        <v>#DIV/0!</v>
      </c>
      <c r="V16" s="91"/>
      <c r="W16" s="91"/>
    </row>
    <row r="17" spans="1:23" ht="16.5" customHeight="1" x14ac:dyDescent="0.3">
      <c r="A17" s="315"/>
      <c r="B17" s="187" t="s">
        <v>50</v>
      </c>
      <c r="C17" s="107" t="s">
        <v>72</v>
      </c>
      <c r="D17" s="149">
        <v>0.25</v>
      </c>
      <c r="E17" s="172">
        <v>2.1413502001689375</v>
      </c>
      <c r="F17" s="173">
        <v>9</v>
      </c>
      <c r="G17" s="174">
        <v>390</v>
      </c>
      <c r="H17" s="119">
        <f t="shared" si="3"/>
        <v>265.84956303852198</v>
      </c>
      <c r="I17" s="153">
        <f t="shared" si="0"/>
        <v>490</v>
      </c>
      <c r="J17" s="116">
        <f t="shared" si="1"/>
        <v>334.01611766378403</v>
      </c>
      <c r="K17" s="116">
        <f t="shared" si="2"/>
        <v>155.98388233621597</v>
      </c>
      <c r="L17" s="122">
        <f t="shared" si="4"/>
        <v>0.25</v>
      </c>
      <c r="M17" s="100">
        <v>389130.8</v>
      </c>
      <c r="N17" s="51">
        <f>(M17-Calibration_Curve!$G$4)/Calibration_Curve!$F$4</f>
        <v>2.3261879318001846</v>
      </c>
      <c r="O17" s="101">
        <f t="shared" si="5"/>
        <v>9.3047517272007383</v>
      </c>
      <c r="P17" s="54">
        <f t="shared" si="6"/>
        <v>0.27485157565091656</v>
      </c>
      <c r="Q17" s="122"/>
      <c r="R17" s="100"/>
      <c r="S17" s="51">
        <f>(R17-Calibration_Curve!$J$4)/Calibration_Curve!$I$4</f>
        <v>0.23858681384480587</v>
      </c>
      <c r="T17" s="101" t="e">
        <f>S17/Q17</f>
        <v>#DIV/0!</v>
      </c>
      <c r="U17" s="54" t="e">
        <f t="shared" si="8"/>
        <v>#DIV/0!</v>
      </c>
    </row>
    <row r="18" spans="1:23" ht="16.5" customHeight="1" x14ac:dyDescent="0.3">
      <c r="A18" s="315"/>
      <c r="B18" s="187" t="s">
        <v>51</v>
      </c>
      <c r="C18" s="107" t="s">
        <v>72</v>
      </c>
      <c r="D18" s="149">
        <v>0.25</v>
      </c>
      <c r="E18" s="172">
        <v>1.25</v>
      </c>
      <c r="F18" s="173">
        <v>4.4591593576299431</v>
      </c>
      <c r="G18" s="174">
        <v>390</v>
      </c>
      <c r="H18" s="119">
        <f t="shared" si="3"/>
        <v>216.66666666666666</v>
      </c>
      <c r="I18" s="153">
        <f t="shared" si="0"/>
        <v>490</v>
      </c>
      <c r="J18" s="116">
        <f t="shared" si="1"/>
        <v>272.22222222222223</v>
      </c>
      <c r="K18" s="116">
        <f t="shared" si="2"/>
        <v>217.77777777777777</v>
      </c>
      <c r="L18" s="122">
        <f t="shared" si="4"/>
        <v>0.25</v>
      </c>
      <c r="M18" s="100">
        <v>342885.48052805284</v>
      </c>
      <c r="N18" s="51">
        <f>(M18-Calibration_Curve!$G$4)/Calibration_Curve!$F$4</f>
        <v>2.0704419181786986</v>
      </c>
      <c r="O18" s="101">
        <f t="shared" si="5"/>
        <v>8.2817676727147944</v>
      </c>
      <c r="P18" s="54">
        <f t="shared" si="6"/>
        <v>0.40240387298214708</v>
      </c>
      <c r="Q18" s="122"/>
      <c r="R18" s="100"/>
      <c r="S18" s="51">
        <f>(R18-Calibration_Curve!$J$4)/Calibration_Curve!$I$4</f>
        <v>0.23858681384480587</v>
      </c>
      <c r="T18" s="101" t="e">
        <f>S18/Q18</f>
        <v>#DIV/0!</v>
      </c>
      <c r="U18" s="54" t="e">
        <f t="shared" si="8"/>
        <v>#DIV/0!</v>
      </c>
    </row>
    <row r="19" spans="1:23" ht="16.5" customHeight="1" x14ac:dyDescent="0.3">
      <c r="A19" s="315"/>
      <c r="B19" s="187" t="s">
        <v>52</v>
      </c>
      <c r="C19" s="107" t="s">
        <v>72</v>
      </c>
      <c r="D19" s="149">
        <v>0.25</v>
      </c>
      <c r="E19" s="172">
        <v>1.25</v>
      </c>
      <c r="F19" s="173">
        <v>13.540840642370057</v>
      </c>
      <c r="G19" s="174">
        <v>390</v>
      </c>
      <c r="H19" s="119">
        <f>(G19*E19)/(1+E19)</f>
        <v>216.66666666666666</v>
      </c>
      <c r="I19" s="153">
        <f t="shared" si="0"/>
        <v>490</v>
      </c>
      <c r="J19" s="116">
        <f t="shared" si="1"/>
        <v>272.22222222222223</v>
      </c>
      <c r="K19" s="116">
        <f t="shared" si="2"/>
        <v>217.77777777777777</v>
      </c>
      <c r="L19" s="122">
        <f t="shared" si="4"/>
        <v>0.25</v>
      </c>
      <c r="M19" s="100">
        <v>562877.9</v>
      </c>
      <c r="N19" s="51">
        <f>(M19-Calibration_Curve!$G$4)/Calibration_Curve!$F$4</f>
        <v>3.2870446998077769</v>
      </c>
      <c r="O19" s="101">
        <f t="shared" si="5"/>
        <v>13.148178799231108</v>
      </c>
      <c r="P19" s="54">
        <f t="shared" si="6"/>
        <v>0.21038369392316536</v>
      </c>
      <c r="Q19" s="122"/>
      <c r="R19" s="100"/>
      <c r="S19" s="51">
        <f>(R19-Calibration_Curve!$J$4)/Calibration_Curve!$I$4</f>
        <v>0.23858681384480587</v>
      </c>
      <c r="T19" s="101" t="e">
        <f t="shared" si="7"/>
        <v>#DIV/0!</v>
      </c>
      <c r="U19" s="54" t="e">
        <f t="shared" si="8"/>
        <v>#DIV/0!</v>
      </c>
      <c r="V19" s="30"/>
      <c r="W19" s="68"/>
    </row>
    <row r="20" spans="1:23" ht="16.5" customHeight="1" x14ac:dyDescent="0.3">
      <c r="A20" s="315"/>
      <c r="B20" s="187" t="s">
        <v>53</v>
      </c>
      <c r="C20" s="107" t="s">
        <v>72</v>
      </c>
      <c r="D20" s="149">
        <v>0.25</v>
      </c>
      <c r="E20" s="172">
        <v>1.25</v>
      </c>
      <c r="F20" s="173">
        <v>9</v>
      </c>
      <c r="G20" s="174">
        <v>373.1820716949257</v>
      </c>
      <c r="H20" s="119">
        <f t="shared" si="3"/>
        <v>207.32337316384761</v>
      </c>
      <c r="I20" s="153">
        <f>100+G20</f>
        <v>473.1820716949257</v>
      </c>
      <c r="J20" s="116">
        <f t="shared" si="1"/>
        <v>262.87892871940318</v>
      </c>
      <c r="K20" s="116">
        <f t="shared" si="2"/>
        <v>210.30314297552252</v>
      </c>
      <c r="L20" s="122">
        <f t="shared" si="4"/>
        <v>0.25</v>
      </c>
      <c r="M20" s="100">
        <v>602893.75479452068</v>
      </c>
      <c r="N20" s="51">
        <f>(M20-Calibration_Curve!$G$4)/Calibration_Curve!$F$4</f>
        <v>3.5083405079503254</v>
      </c>
      <c r="O20" s="101">
        <f t="shared" si="5"/>
        <v>14.033362031801301</v>
      </c>
      <c r="P20" s="54">
        <f t="shared" si="6"/>
        <v>0.32327155036250133</v>
      </c>
      <c r="Q20" s="122"/>
      <c r="R20" s="100"/>
      <c r="S20" s="51">
        <f>(R20-Calibration_Curve!$J$4)/Calibration_Curve!$I$4</f>
        <v>0.23858681384480587</v>
      </c>
      <c r="T20" s="101" t="e">
        <f t="shared" si="7"/>
        <v>#DIV/0!</v>
      </c>
      <c r="U20" s="54" t="e">
        <f t="shared" si="8"/>
        <v>#DIV/0!</v>
      </c>
    </row>
    <row r="21" spans="1:23" ht="16.5" customHeight="1" x14ac:dyDescent="0.3">
      <c r="A21" s="315"/>
      <c r="B21" s="188" t="s">
        <v>54</v>
      </c>
      <c r="C21" s="189" t="s">
        <v>72</v>
      </c>
      <c r="D21" s="190">
        <v>0.25</v>
      </c>
      <c r="E21" s="191">
        <v>1.25</v>
      </c>
      <c r="F21" s="192">
        <v>9</v>
      </c>
      <c r="G21" s="193">
        <v>406.8179283050743</v>
      </c>
      <c r="H21" s="194">
        <f t="shared" si="3"/>
        <v>226.00996016948571</v>
      </c>
      <c r="I21" s="195">
        <f t="shared" si="0"/>
        <v>506.8179283050743</v>
      </c>
      <c r="J21" s="196">
        <f t="shared" si="1"/>
        <v>281.56551572504128</v>
      </c>
      <c r="K21" s="196">
        <f t="shared" si="2"/>
        <v>225.25241258003302</v>
      </c>
      <c r="L21" s="197">
        <f t="shared" si="4"/>
        <v>0.25</v>
      </c>
      <c r="M21" s="198">
        <v>572781.9</v>
      </c>
      <c r="N21" s="84">
        <f>(M21-Calibration_Curve!$G$4)/Calibration_Curve!$F$4</f>
        <v>3.3418158322775975</v>
      </c>
      <c r="O21" s="199">
        <f t="shared" si="5"/>
        <v>13.36726332911039</v>
      </c>
      <c r="P21" s="200">
        <f t="shared" si="6"/>
        <v>0.33568162806525181</v>
      </c>
      <c r="Q21" s="122"/>
      <c r="R21" s="100"/>
      <c r="S21" s="51">
        <f>(R21-Calibration_Curve!$J$4)/Calibration_Curve!$I$4</f>
        <v>0.23858681384480587</v>
      </c>
      <c r="T21" s="101" t="e">
        <f t="shared" si="7"/>
        <v>#DIV/0!</v>
      </c>
      <c r="U21" s="54" t="e">
        <f t="shared" si="8"/>
        <v>#DIV/0!</v>
      </c>
    </row>
    <row r="22" spans="1:23" ht="16.5" customHeight="1" x14ac:dyDescent="0.3">
      <c r="A22" s="315"/>
      <c r="B22" s="184" t="s">
        <v>55</v>
      </c>
      <c r="C22" s="107" t="s">
        <v>72</v>
      </c>
      <c r="D22" s="149">
        <v>0.25</v>
      </c>
      <c r="E22" s="222">
        <v>1.25</v>
      </c>
      <c r="F22" s="223">
        <v>9</v>
      </c>
      <c r="G22" s="224">
        <v>390</v>
      </c>
      <c r="H22" s="119">
        <f t="shared" si="3"/>
        <v>216.66666666666666</v>
      </c>
      <c r="I22" s="153">
        <f t="shared" si="0"/>
        <v>490</v>
      </c>
      <c r="J22" s="116">
        <f t="shared" si="1"/>
        <v>272.22222222222223</v>
      </c>
      <c r="K22" s="116">
        <f t="shared" si="2"/>
        <v>217.77777777777777</v>
      </c>
      <c r="L22" s="122">
        <f t="shared" si="4"/>
        <v>0.25</v>
      </c>
      <c r="M22" s="100">
        <v>569228.38675496704</v>
      </c>
      <c r="N22" s="51">
        <f>(M22-Calibration_Curve!$G$4)/Calibration_Curve!$F$4</f>
        <v>3.3221641819669188</v>
      </c>
      <c r="O22" s="101">
        <f t="shared" si="5"/>
        <v>13.288656727867675</v>
      </c>
      <c r="P22" s="54">
        <f t="shared" si="6"/>
        <v>0.3199121064116292</v>
      </c>
      <c r="Q22" s="122"/>
      <c r="R22" s="100"/>
      <c r="S22" s="51">
        <f>(R22-Calibration_Curve!$J$4)/Calibration_Curve!$I$4</f>
        <v>0.23858681384480587</v>
      </c>
      <c r="T22" s="101" t="e">
        <f t="shared" si="7"/>
        <v>#DIV/0!</v>
      </c>
      <c r="U22" s="54" t="e">
        <f t="shared" si="8"/>
        <v>#DIV/0!</v>
      </c>
      <c r="V22" s="30"/>
      <c r="W22" s="68"/>
    </row>
    <row r="23" spans="1:23" ht="16.5" customHeight="1" x14ac:dyDescent="0.3">
      <c r="A23" s="315"/>
      <c r="B23" s="184" t="s">
        <v>56</v>
      </c>
      <c r="C23" s="107" t="s">
        <v>72</v>
      </c>
      <c r="D23" s="149">
        <v>0.25</v>
      </c>
      <c r="E23" s="222">
        <v>1.25</v>
      </c>
      <c r="F23" s="223">
        <v>9</v>
      </c>
      <c r="G23" s="224">
        <v>390</v>
      </c>
      <c r="H23" s="119">
        <f t="shared" si="3"/>
        <v>216.66666666666666</v>
      </c>
      <c r="I23" s="153">
        <f t="shared" si="0"/>
        <v>490</v>
      </c>
      <c r="J23" s="116">
        <f t="shared" si="1"/>
        <v>272.22222222222223</v>
      </c>
      <c r="K23" s="116">
        <f t="shared" si="2"/>
        <v>217.77777777777777</v>
      </c>
      <c r="L23" s="122">
        <f t="shared" si="4"/>
        <v>0.25</v>
      </c>
      <c r="M23" s="100">
        <v>596297.79999999993</v>
      </c>
      <c r="N23" s="51">
        <f>(M23-Calibration_Curve!$G$4)/Calibration_Curve!$F$4</f>
        <v>3.4718635376539155</v>
      </c>
      <c r="O23" s="101">
        <f t="shared" si="5"/>
        <v>13.887454150615662</v>
      </c>
      <c r="P23" s="54">
        <f t="shared" si="6"/>
        <v>0.33432759992222888</v>
      </c>
      <c r="Q23" s="122"/>
      <c r="R23" s="100"/>
      <c r="S23" s="51">
        <f>(R23-Calibration_Curve!$J$4)/Calibration_Curve!$I$4</f>
        <v>0.23858681384480587</v>
      </c>
      <c r="T23" s="101" t="e">
        <f t="shared" si="7"/>
        <v>#DIV/0!</v>
      </c>
      <c r="U23" s="54" t="e">
        <f t="shared" si="8"/>
        <v>#DIV/0!</v>
      </c>
    </row>
    <row r="24" spans="1:23" ht="16.5" customHeight="1" thickBot="1" x14ac:dyDescent="0.35">
      <c r="A24" s="316"/>
      <c r="B24" s="185" t="s">
        <v>57</v>
      </c>
      <c r="C24" s="108" t="s">
        <v>72</v>
      </c>
      <c r="D24" s="159">
        <v>0.25</v>
      </c>
      <c r="E24" s="228">
        <v>1.25</v>
      </c>
      <c r="F24" s="229">
        <v>9</v>
      </c>
      <c r="G24" s="230">
        <v>390</v>
      </c>
      <c r="H24" s="120">
        <f t="shared" si="3"/>
        <v>216.66666666666666</v>
      </c>
      <c r="I24" s="163">
        <f t="shared" si="0"/>
        <v>490</v>
      </c>
      <c r="J24" s="117">
        <f t="shared" si="1"/>
        <v>272.22222222222223</v>
      </c>
      <c r="K24" s="117">
        <f t="shared" si="2"/>
        <v>217.77777777777777</v>
      </c>
      <c r="L24" s="124">
        <f t="shared" si="4"/>
        <v>0.25</v>
      </c>
      <c r="M24" s="102">
        <v>662712.9</v>
      </c>
      <c r="N24" s="52">
        <f>(M24-Calibration_Curve!$G$4)/Calibration_Curve!$F$4</f>
        <v>3.83915253604814</v>
      </c>
      <c r="O24" s="103">
        <f t="shared" si="5"/>
        <v>15.35661014419256</v>
      </c>
      <c r="P24" s="55">
        <f t="shared" si="6"/>
        <v>0.36969617013796902</v>
      </c>
      <c r="Q24" s="124"/>
      <c r="R24" s="102"/>
      <c r="S24" s="52">
        <f>(R24-Calibration_Curve!$J$4)/Calibration_Curve!$I$4</f>
        <v>0.23858681384480587</v>
      </c>
      <c r="T24" s="103" t="e">
        <f t="shared" si="7"/>
        <v>#DIV/0!</v>
      </c>
      <c r="U24" s="55" t="e">
        <f t="shared" si="8"/>
        <v>#DIV/0!</v>
      </c>
    </row>
  </sheetData>
  <mergeCells count="6">
    <mergeCell ref="A8:A24"/>
    <mergeCell ref="E1:G1"/>
    <mergeCell ref="H1:K1"/>
    <mergeCell ref="L1:P1"/>
    <mergeCell ref="Q1:U1"/>
    <mergeCell ref="A5:A7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BDC4-7884-4CB4-8143-139AAC16C632}">
  <dimension ref="A1:W29"/>
  <sheetViews>
    <sheetView zoomScale="70" zoomScaleNormal="70" workbookViewId="0">
      <selection activeCell="I33" sqref="I33"/>
    </sheetView>
  </sheetViews>
  <sheetFormatPr baseColWidth="10" defaultRowHeight="14.4" x14ac:dyDescent="0.3"/>
  <cols>
    <col min="2" max="2" width="15.44140625" customWidth="1"/>
    <col min="3" max="3" width="14" customWidth="1"/>
    <col min="4" max="4" width="16.44140625" customWidth="1"/>
    <col min="5" max="7" width="13.88671875" customWidth="1"/>
    <col min="8" max="8" width="13.5546875" bestFit="1" customWidth="1"/>
    <col min="9" max="11" width="13.5546875" customWidth="1"/>
    <col min="12" max="12" width="18" customWidth="1"/>
    <col min="13" max="13" width="19.44140625" bestFit="1" customWidth="1"/>
    <col min="14" max="14" width="16.5546875" customWidth="1"/>
    <col min="15" max="16" width="12.5546875" customWidth="1"/>
    <col min="17" max="17" width="18" hidden="1" customWidth="1"/>
    <col min="18" max="18" width="18.33203125" hidden="1" customWidth="1"/>
    <col min="19" max="19" width="16" hidden="1" customWidth="1"/>
    <col min="20" max="21" width="12.5546875" hidden="1" customWidth="1"/>
  </cols>
  <sheetData>
    <row r="1" spans="1:23" ht="15" thickBot="1" x14ac:dyDescent="0.35">
      <c r="A1" s="3"/>
      <c r="B1" s="3"/>
      <c r="C1" s="3"/>
      <c r="D1" s="3"/>
      <c r="E1" s="317" t="s">
        <v>12</v>
      </c>
      <c r="F1" s="318"/>
      <c r="G1" s="319"/>
      <c r="H1" s="320" t="s">
        <v>116</v>
      </c>
      <c r="I1" s="321"/>
      <c r="J1" s="321"/>
      <c r="K1" s="322"/>
      <c r="L1" s="309" t="s">
        <v>108</v>
      </c>
      <c r="M1" s="310"/>
      <c r="N1" s="310"/>
      <c r="O1" s="310"/>
      <c r="P1" s="311"/>
      <c r="Q1" s="309" t="s">
        <v>109</v>
      </c>
      <c r="R1" s="310"/>
      <c r="S1" s="310"/>
      <c r="T1" s="310"/>
      <c r="U1" s="311"/>
    </row>
    <row r="2" spans="1:23" ht="43.2" x14ac:dyDescent="0.3">
      <c r="A2" s="47"/>
      <c r="B2" s="109" t="s">
        <v>6</v>
      </c>
      <c r="C2" s="126" t="s">
        <v>119</v>
      </c>
      <c r="D2" s="126" t="s">
        <v>106</v>
      </c>
      <c r="E2" s="142" t="s">
        <v>91</v>
      </c>
      <c r="F2" s="127" t="s">
        <v>90</v>
      </c>
      <c r="G2" s="143" t="s">
        <v>89</v>
      </c>
      <c r="H2" s="126" t="s">
        <v>8</v>
      </c>
      <c r="I2" s="128" t="s">
        <v>27</v>
      </c>
      <c r="J2" s="128" t="s">
        <v>7</v>
      </c>
      <c r="K2" s="128" t="s">
        <v>28</v>
      </c>
      <c r="L2" s="139" t="s">
        <v>107</v>
      </c>
      <c r="M2" s="129" t="s">
        <v>5</v>
      </c>
      <c r="N2" s="129" t="s">
        <v>9</v>
      </c>
      <c r="O2" s="130" t="s">
        <v>88</v>
      </c>
      <c r="P2" s="131" t="s">
        <v>92</v>
      </c>
      <c r="Q2" s="139" t="s">
        <v>107</v>
      </c>
      <c r="R2" s="129" t="s">
        <v>5</v>
      </c>
      <c r="S2" s="129" t="s">
        <v>9</v>
      </c>
      <c r="T2" s="130" t="s">
        <v>127</v>
      </c>
      <c r="U2" s="131" t="s">
        <v>92</v>
      </c>
    </row>
    <row r="3" spans="1:23" ht="16.5" customHeight="1" x14ac:dyDescent="0.3">
      <c r="A3" s="168" t="s">
        <v>37</v>
      </c>
      <c r="B3" s="110" t="s">
        <v>31</v>
      </c>
      <c r="C3" s="125" t="s">
        <v>70</v>
      </c>
      <c r="D3" s="125" t="s">
        <v>31</v>
      </c>
      <c r="E3" s="98" t="s">
        <v>38</v>
      </c>
      <c r="F3" s="48" t="s">
        <v>39</v>
      </c>
      <c r="G3" s="99" t="s">
        <v>40</v>
      </c>
      <c r="H3" s="125" t="s">
        <v>58</v>
      </c>
      <c r="I3" s="49" t="s">
        <v>31</v>
      </c>
      <c r="J3" s="49" t="s">
        <v>31</v>
      </c>
      <c r="K3" s="49" t="s">
        <v>31</v>
      </c>
      <c r="L3" s="140" t="s">
        <v>71</v>
      </c>
      <c r="M3" s="69" t="s">
        <v>31</v>
      </c>
      <c r="N3" s="69" t="s">
        <v>31</v>
      </c>
      <c r="O3" s="50" t="s">
        <v>31</v>
      </c>
      <c r="P3" s="97" t="s">
        <v>31</v>
      </c>
      <c r="Q3" s="140" t="s">
        <v>71</v>
      </c>
      <c r="R3" s="69"/>
      <c r="S3" s="69" t="s">
        <v>31</v>
      </c>
      <c r="T3" s="50" t="s">
        <v>31</v>
      </c>
      <c r="U3" s="97" t="s">
        <v>31</v>
      </c>
    </row>
    <row r="4" spans="1:23" ht="16.5" customHeight="1" thickBot="1" x14ac:dyDescent="0.35">
      <c r="A4" s="46" t="s">
        <v>30</v>
      </c>
      <c r="B4" s="132" t="s">
        <v>31</v>
      </c>
      <c r="C4" s="133" t="s">
        <v>31</v>
      </c>
      <c r="D4" s="133" t="s">
        <v>32</v>
      </c>
      <c r="E4" s="144" t="s">
        <v>31</v>
      </c>
      <c r="F4" s="134" t="s">
        <v>33</v>
      </c>
      <c r="G4" s="145" t="s">
        <v>34</v>
      </c>
      <c r="H4" s="133" t="s">
        <v>34</v>
      </c>
      <c r="I4" s="135" t="s">
        <v>34</v>
      </c>
      <c r="J4" s="135" t="s">
        <v>34</v>
      </c>
      <c r="K4" s="135" t="s">
        <v>34</v>
      </c>
      <c r="L4" s="141" t="s">
        <v>32</v>
      </c>
      <c r="M4" s="136" t="s">
        <v>31</v>
      </c>
      <c r="N4" s="136" t="s">
        <v>32</v>
      </c>
      <c r="O4" s="137"/>
      <c r="P4" s="138" t="s">
        <v>35</v>
      </c>
      <c r="Q4" s="141" t="s">
        <v>32</v>
      </c>
      <c r="R4" s="136" t="s">
        <v>31</v>
      </c>
      <c r="S4" s="136" t="s">
        <v>32</v>
      </c>
      <c r="T4" s="137"/>
      <c r="U4" s="138" t="s">
        <v>35</v>
      </c>
    </row>
    <row r="5" spans="1:23" ht="16.5" customHeight="1" x14ac:dyDescent="0.3">
      <c r="A5" s="323" t="s">
        <v>86</v>
      </c>
      <c r="B5" s="114" t="s">
        <v>60</v>
      </c>
      <c r="C5" s="107" t="s">
        <v>75</v>
      </c>
      <c r="D5" s="181">
        <v>0.2</v>
      </c>
      <c r="E5" s="172">
        <v>1.25</v>
      </c>
      <c r="F5" s="173">
        <v>9</v>
      </c>
      <c r="G5" s="174">
        <v>390</v>
      </c>
      <c r="H5" s="119">
        <f>(G5*E5)/(1+E5)</f>
        <v>216.66666666666666</v>
      </c>
      <c r="I5" s="153">
        <f t="shared" ref="I5:I19" si="0">100+G5</f>
        <v>490</v>
      </c>
      <c r="J5" s="116">
        <f t="shared" ref="J5:J19" si="1">I5*E5/(1+E5)</f>
        <v>272.22222222222223</v>
      </c>
      <c r="K5" s="116">
        <f t="shared" ref="K5:K19" si="2">I5-J5</f>
        <v>217.77777777777777</v>
      </c>
      <c r="L5" s="122">
        <v>0.21639454418460816</v>
      </c>
      <c r="M5" s="100">
        <v>618538</v>
      </c>
      <c r="N5" s="51">
        <f>(M5-Calibration_Curve!$G$4)/Calibration_Curve!$F$4</f>
        <v>3.5948563628109542</v>
      </c>
      <c r="O5" s="101">
        <f>$N5/$L5</f>
        <v>16.612509231028252</v>
      </c>
      <c r="P5" s="54">
        <f>(($H5*0.001)/($F5))*$O5</f>
        <v>0.39993077778401348</v>
      </c>
      <c r="Q5" s="122"/>
      <c r="R5" s="100"/>
      <c r="S5" s="51">
        <f>(R5-Calibration_Curve!$J$4)/Calibration_Curve!$I$4</f>
        <v>0.23858681384480587</v>
      </c>
      <c r="T5" s="101" t="e">
        <f>S5/Q5</f>
        <v>#DIV/0!</v>
      </c>
      <c r="U5" s="54" t="e">
        <f>((H5*0.001)/(F5))*T5</f>
        <v>#DIV/0!</v>
      </c>
    </row>
    <row r="6" spans="1:23" ht="16.5" customHeight="1" x14ac:dyDescent="0.3">
      <c r="A6" s="324"/>
      <c r="B6" s="114" t="s">
        <v>59</v>
      </c>
      <c r="C6" s="107" t="s">
        <v>72</v>
      </c>
      <c r="D6" s="181">
        <v>0.2</v>
      </c>
      <c r="E6" s="172">
        <v>1.25</v>
      </c>
      <c r="F6" s="173">
        <v>9</v>
      </c>
      <c r="G6" s="174">
        <v>390</v>
      </c>
      <c r="H6" s="119">
        <f t="shared" ref="H6:H18" si="3">(G6*E6)/(1+E6)</f>
        <v>216.66666666666666</v>
      </c>
      <c r="I6" s="153">
        <f t="shared" si="0"/>
        <v>490</v>
      </c>
      <c r="J6" s="116">
        <f t="shared" si="1"/>
        <v>272.22222222222223</v>
      </c>
      <c r="K6" s="116">
        <f t="shared" si="2"/>
        <v>217.77777777777777</v>
      </c>
      <c r="L6" s="122">
        <v>0.21639454418460816</v>
      </c>
      <c r="M6" s="100">
        <v>742637</v>
      </c>
      <c r="N6" s="51">
        <f>(M6-Calibration_Curve!$G$4)/Calibration_Curve!$F$4</f>
        <v>4.2811490494398194</v>
      </c>
      <c r="O6" s="101">
        <f t="shared" ref="O6:O29" si="4">$N6/$L6</f>
        <v>19.783997168558614</v>
      </c>
      <c r="P6" s="54">
        <f t="shared" ref="P6:P29" si="5">(($H6*0.001)/($F6))*$O6</f>
        <v>0.47628141331715179</v>
      </c>
      <c r="Q6" s="122"/>
      <c r="R6" s="100"/>
      <c r="S6" s="51">
        <f>(R6-Calibration_Curve!$J$4)/Calibration_Curve!$I$4</f>
        <v>0.23858681384480587</v>
      </c>
      <c r="T6" s="101" t="e">
        <f t="shared" ref="T6:T24" si="6">S6/Q6</f>
        <v>#DIV/0!</v>
      </c>
      <c r="U6" s="54" t="e">
        <f t="shared" ref="U6:U24" si="7">((H6*0.001)/(F6))*T6</f>
        <v>#DIV/0!</v>
      </c>
    </row>
    <row r="7" spans="1:23" ht="16.5" customHeight="1" thickBot="1" x14ac:dyDescent="0.35">
      <c r="A7" s="324"/>
      <c r="B7" s="114" t="s">
        <v>61</v>
      </c>
      <c r="C7" s="107" t="s">
        <v>73</v>
      </c>
      <c r="D7" s="181">
        <v>0.2</v>
      </c>
      <c r="E7" s="172">
        <v>1.25</v>
      </c>
      <c r="F7" s="173">
        <v>9</v>
      </c>
      <c r="G7" s="174">
        <v>390</v>
      </c>
      <c r="H7" s="119">
        <f t="shared" si="3"/>
        <v>216.66666666666666</v>
      </c>
      <c r="I7" s="153">
        <f t="shared" si="0"/>
        <v>490</v>
      </c>
      <c r="J7" s="116">
        <f t="shared" si="1"/>
        <v>272.22222222222223</v>
      </c>
      <c r="K7" s="116">
        <f t="shared" si="2"/>
        <v>217.77777777777777</v>
      </c>
      <c r="L7" s="122">
        <v>0.21639454418460816</v>
      </c>
      <c r="M7" s="100">
        <v>696277</v>
      </c>
      <c r="N7" s="51">
        <f>(M7-Calibration_Curve!$G$4)/Calibration_Curve!$F$4</f>
        <v>4.0247688291953843</v>
      </c>
      <c r="O7" s="101">
        <f t="shared" si="4"/>
        <v>18.599215818314796</v>
      </c>
      <c r="P7" s="54">
        <f t="shared" si="5"/>
        <v>0.44775889932980067</v>
      </c>
      <c r="Q7" s="122"/>
      <c r="R7" s="100"/>
      <c r="S7" s="51">
        <f>(R7-Calibration_Curve!$J$4)/Calibration_Curve!$I$4</f>
        <v>0.23858681384480587</v>
      </c>
      <c r="T7" s="101" t="e">
        <f t="shared" si="6"/>
        <v>#DIV/0!</v>
      </c>
      <c r="U7" s="54" t="e">
        <f t="shared" si="7"/>
        <v>#DIV/0!</v>
      </c>
      <c r="V7" s="91"/>
      <c r="W7" s="91"/>
    </row>
    <row r="8" spans="1:23" ht="16.5" customHeight="1" thickBot="1" x14ac:dyDescent="0.35">
      <c r="A8" s="324"/>
      <c r="B8" s="114" t="s">
        <v>62</v>
      </c>
      <c r="C8" s="107" t="s">
        <v>74</v>
      </c>
      <c r="D8" s="181">
        <v>0.2</v>
      </c>
      <c r="E8" s="172">
        <v>1.25</v>
      </c>
      <c r="F8" s="173">
        <v>9</v>
      </c>
      <c r="G8" s="174">
        <v>390</v>
      </c>
      <c r="H8" s="119">
        <f t="shared" si="3"/>
        <v>216.66666666666666</v>
      </c>
      <c r="I8" s="153">
        <f t="shared" si="0"/>
        <v>490</v>
      </c>
      <c r="J8" s="116">
        <f t="shared" si="1"/>
        <v>272.22222222222223</v>
      </c>
      <c r="K8" s="116">
        <f t="shared" si="2"/>
        <v>217.77777777777777</v>
      </c>
      <c r="L8" s="122">
        <v>0.21639454418460816</v>
      </c>
      <c r="M8" s="100">
        <v>268943</v>
      </c>
      <c r="N8" s="51">
        <f>(M8-Calibration_Curve!$G$4)/Calibration_Curve!$F$4</f>
        <v>1.6615249759180841</v>
      </c>
      <c r="O8" s="101">
        <f t="shared" si="4"/>
        <v>7.6782202720444834</v>
      </c>
      <c r="P8" s="54">
        <f t="shared" si="5"/>
        <v>0.18484604358625609</v>
      </c>
      <c r="Q8" s="121"/>
      <c r="R8" s="104"/>
      <c r="S8" s="56">
        <f>(R8-Calibration_Curve!$J$4)/Calibration_Curve!$I$4</f>
        <v>0.23858681384480587</v>
      </c>
      <c r="T8" s="105" t="e">
        <f t="shared" si="6"/>
        <v>#DIV/0!</v>
      </c>
      <c r="U8" s="53" t="e">
        <f t="shared" si="7"/>
        <v>#DIV/0!</v>
      </c>
      <c r="V8" s="91"/>
      <c r="W8" s="91"/>
    </row>
    <row r="9" spans="1:23" ht="16.5" customHeight="1" x14ac:dyDescent="0.3">
      <c r="A9" s="325" t="s">
        <v>87</v>
      </c>
      <c r="B9" s="215" t="s">
        <v>41</v>
      </c>
      <c r="C9" s="106" t="s">
        <v>72</v>
      </c>
      <c r="D9" s="182">
        <v>0.2</v>
      </c>
      <c r="E9" s="175">
        <v>0.72</v>
      </c>
      <c r="F9" s="176">
        <v>6.3000000000000007</v>
      </c>
      <c r="G9" s="177">
        <v>190</v>
      </c>
      <c r="H9" s="118">
        <f t="shared" si="3"/>
        <v>79.534883720930225</v>
      </c>
      <c r="I9" s="158">
        <f t="shared" si="0"/>
        <v>290</v>
      </c>
      <c r="J9" s="115">
        <f t="shared" si="1"/>
        <v>121.3953488372093</v>
      </c>
      <c r="K9" s="115">
        <f t="shared" si="2"/>
        <v>168.6046511627907</v>
      </c>
      <c r="L9" s="121">
        <v>0.21303816853999247</v>
      </c>
      <c r="M9" s="104">
        <v>1830244.8706199462</v>
      </c>
      <c r="N9" s="56">
        <f>(M9-Calibration_Curve!$G$4)/Calibration_Curve!$F$4</f>
        <v>10.295841573363965</v>
      </c>
      <c r="O9" s="105">
        <f t="shared" si="4"/>
        <v>48.328624133056159</v>
      </c>
      <c r="P9" s="53">
        <f t="shared" si="5"/>
        <v>0.6101288096532006</v>
      </c>
      <c r="Q9" s="122"/>
      <c r="R9" s="100"/>
      <c r="S9" s="51">
        <f>(R9-Calibration_Curve!$J$4)/Calibration_Curve!$I$4</f>
        <v>0.23858681384480587</v>
      </c>
      <c r="T9" s="101" t="e">
        <f t="shared" si="6"/>
        <v>#DIV/0!</v>
      </c>
      <c r="U9" s="54" t="e">
        <f t="shared" si="7"/>
        <v>#DIV/0!</v>
      </c>
      <c r="V9" s="91"/>
      <c r="W9" s="91"/>
    </row>
    <row r="10" spans="1:23" ht="16.5" customHeight="1" x14ac:dyDescent="0.3">
      <c r="A10" s="326"/>
      <c r="B10" s="187" t="s">
        <v>42</v>
      </c>
      <c r="C10" s="107" t="s">
        <v>72</v>
      </c>
      <c r="D10" s="181">
        <v>0.2</v>
      </c>
      <c r="E10" s="172">
        <v>0.72</v>
      </c>
      <c r="F10" s="173">
        <v>11.7</v>
      </c>
      <c r="G10" s="174">
        <v>410</v>
      </c>
      <c r="H10" s="119">
        <f t="shared" si="3"/>
        <v>171.62790697674419</v>
      </c>
      <c r="I10" s="153">
        <f t="shared" si="0"/>
        <v>510</v>
      </c>
      <c r="J10" s="116">
        <f t="shared" si="1"/>
        <v>213.48837209302326</v>
      </c>
      <c r="K10" s="116">
        <f t="shared" si="2"/>
        <v>296.51162790697674</v>
      </c>
      <c r="L10" s="122">
        <v>0.23209257140069239</v>
      </c>
      <c r="M10" s="100">
        <v>1085694.433846154</v>
      </c>
      <c r="N10" s="51">
        <f>(M10-Calibration_Curve!$G$4)/Calibration_Curve!$F$4</f>
        <v>6.1783263670836472</v>
      </c>
      <c r="O10" s="101">
        <f t="shared" si="4"/>
        <v>26.620095291275728</v>
      </c>
      <c r="P10" s="54">
        <f t="shared" si="5"/>
        <v>0.39049155883445613</v>
      </c>
      <c r="Q10" s="122"/>
      <c r="R10" s="100"/>
      <c r="S10" s="51">
        <f>(R10-Calibration_Curve!$J$4)/Calibration_Curve!$I$4</f>
        <v>0.23858681384480587</v>
      </c>
      <c r="T10" s="101" t="e">
        <f t="shared" si="6"/>
        <v>#DIV/0!</v>
      </c>
      <c r="U10" s="54" t="e">
        <f t="shared" si="7"/>
        <v>#DIV/0!</v>
      </c>
      <c r="V10" s="91"/>
      <c r="W10" s="91"/>
    </row>
    <row r="11" spans="1:23" ht="16.5" customHeight="1" x14ac:dyDescent="0.3">
      <c r="A11" s="326"/>
      <c r="B11" s="187" t="s">
        <v>43</v>
      </c>
      <c r="C11" s="107" t="s">
        <v>72</v>
      </c>
      <c r="D11" s="181">
        <v>0.2</v>
      </c>
      <c r="E11" s="172">
        <v>1.78</v>
      </c>
      <c r="F11" s="173">
        <v>6.3000000000000007</v>
      </c>
      <c r="G11" s="174">
        <v>410</v>
      </c>
      <c r="H11" s="119">
        <f t="shared" si="3"/>
        <v>262.51798561151077</v>
      </c>
      <c r="I11" s="153">
        <f t="shared" si="0"/>
        <v>510</v>
      </c>
      <c r="J11" s="116">
        <f t="shared" si="1"/>
        <v>326.54676258992805</v>
      </c>
      <c r="K11" s="116">
        <f t="shared" si="2"/>
        <v>183.45323741007195</v>
      </c>
      <c r="L11" s="122">
        <v>0.23209257140069239</v>
      </c>
      <c r="M11" s="100">
        <v>376582.67871148436</v>
      </c>
      <c r="N11" s="51">
        <f>(M11-Calibration_Curve!$G$4)/Calibration_Curve!$F$4</f>
        <v>2.2567942713255613</v>
      </c>
      <c r="O11" s="101">
        <f t="shared" si="4"/>
        <v>9.7236816228355547</v>
      </c>
      <c r="P11" s="54">
        <f t="shared" si="5"/>
        <v>0.40518116069118348</v>
      </c>
      <c r="Q11" s="122"/>
      <c r="R11" s="100"/>
      <c r="S11" s="51">
        <f>(R11-Calibration_Curve!$J$4)/Calibration_Curve!$I$4</f>
        <v>0.23858681384480587</v>
      </c>
      <c r="T11" s="101" t="e">
        <f t="shared" si="6"/>
        <v>#DIV/0!</v>
      </c>
      <c r="U11" s="54" t="e">
        <f t="shared" si="7"/>
        <v>#DIV/0!</v>
      </c>
      <c r="V11" s="91"/>
      <c r="W11" s="91"/>
    </row>
    <row r="12" spans="1:23" ht="16.5" customHeight="1" x14ac:dyDescent="0.3">
      <c r="A12" s="326"/>
      <c r="B12" s="187" t="s">
        <v>44</v>
      </c>
      <c r="C12" s="107" t="s">
        <v>72</v>
      </c>
      <c r="D12" s="181">
        <v>0.2</v>
      </c>
      <c r="E12" s="172">
        <v>1.78</v>
      </c>
      <c r="F12" s="173">
        <v>11.7</v>
      </c>
      <c r="G12" s="174">
        <v>190</v>
      </c>
      <c r="H12" s="119">
        <f t="shared" si="3"/>
        <v>121.65467625899279</v>
      </c>
      <c r="I12" s="153">
        <f t="shared" si="0"/>
        <v>290</v>
      </c>
      <c r="J12" s="116">
        <f t="shared" si="1"/>
        <v>185.68345323741008</v>
      </c>
      <c r="K12" s="116">
        <f t="shared" si="2"/>
        <v>104.31654676258992</v>
      </c>
      <c r="L12" s="122">
        <v>0.23209257140069239</v>
      </c>
      <c r="M12" s="100">
        <v>1462468.6520481929</v>
      </c>
      <c r="N12" s="51">
        <f>(M12-Calibration_Curve!$G$4)/Calibration_Curve!$F$4</f>
        <v>8.2619643533878708</v>
      </c>
      <c r="O12" s="101">
        <f t="shared" si="4"/>
        <v>35.597711307718413</v>
      </c>
      <c r="P12" s="54">
        <f t="shared" si="5"/>
        <v>0.3701391491197924</v>
      </c>
      <c r="Q12" s="122"/>
      <c r="R12" s="100"/>
      <c r="S12" s="51">
        <f>(R12-Calibration_Curve!$J$4)/Calibration_Curve!$I$4</f>
        <v>0.23858681384480587</v>
      </c>
      <c r="T12" s="101" t="e">
        <f t="shared" si="6"/>
        <v>#DIV/0!</v>
      </c>
      <c r="U12" s="54" t="e">
        <f t="shared" si="7"/>
        <v>#DIV/0!</v>
      </c>
      <c r="V12" s="91"/>
      <c r="W12" s="91"/>
    </row>
    <row r="13" spans="1:23" ht="16.5" customHeight="1" x14ac:dyDescent="0.3">
      <c r="A13" s="326"/>
      <c r="B13" s="187" t="s">
        <v>45</v>
      </c>
      <c r="C13" s="107" t="s">
        <v>72</v>
      </c>
      <c r="D13" s="181">
        <v>0.2</v>
      </c>
      <c r="E13" s="222">
        <v>1.25</v>
      </c>
      <c r="F13" s="223">
        <v>9</v>
      </c>
      <c r="G13" s="224">
        <v>300</v>
      </c>
      <c r="H13" s="119">
        <f t="shared" si="3"/>
        <v>166.66666666666666</v>
      </c>
      <c r="I13" s="153">
        <f t="shared" si="0"/>
        <v>400</v>
      </c>
      <c r="J13" s="116">
        <f t="shared" si="1"/>
        <v>222.22222222222223</v>
      </c>
      <c r="K13" s="116">
        <f t="shared" si="2"/>
        <v>177.77777777777777</v>
      </c>
      <c r="L13" s="122">
        <v>0.23209257140069239</v>
      </c>
      <c r="M13" s="100">
        <v>794677.03056300257</v>
      </c>
      <c r="N13" s="51">
        <f>(M13-Calibration_Curve!$G$4)/Calibration_Curve!$F$4</f>
        <v>4.5689409928666915</v>
      </c>
      <c r="O13" s="101">
        <f t="shared" si="4"/>
        <v>19.685856230955011</v>
      </c>
      <c r="P13" s="54">
        <f t="shared" si="5"/>
        <v>0.3645528931658335</v>
      </c>
      <c r="Q13" s="122"/>
      <c r="R13" s="100"/>
      <c r="S13" s="51">
        <f>(R13-Calibration_Curve!$J$4)/Calibration_Curve!$I$4</f>
        <v>0.23858681384480587</v>
      </c>
      <c r="T13" s="101" t="e">
        <f t="shared" si="6"/>
        <v>#DIV/0!</v>
      </c>
      <c r="U13" s="54" t="e">
        <f t="shared" si="7"/>
        <v>#DIV/0!</v>
      </c>
      <c r="V13" s="91"/>
      <c r="W13" s="91"/>
    </row>
    <row r="14" spans="1:23" ht="16.5" customHeight="1" x14ac:dyDescent="0.3">
      <c r="A14" s="326"/>
      <c r="B14" s="187" t="s">
        <v>46</v>
      </c>
      <c r="C14" s="107" t="s">
        <v>72</v>
      </c>
      <c r="D14" s="181">
        <v>0.2</v>
      </c>
      <c r="E14" s="222">
        <v>1.25</v>
      </c>
      <c r="F14" s="223">
        <v>9</v>
      </c>
      <c r="G14" s="224">
        <v>300</v>
      </c>
      <c r="H14" s="119">
        <f t="shared" si="3"/>
        <v>166.66666666666666</v>
      </c>
      <c r="I14" s="153">
        <f t="shared" si="0"/>
        <v>400</v>
      </c>
      <c r="J14" s="116">
        <f t="shared" si="1"/>
        <v>222.22222222222223</v>
      </c>
      <c r="K14" s="116">
        <f t="shared" si="2"/>
        <v>177.77777777777777</v>
      </c>
      <c r="L14" s="122">
        <v>0.23209257140069239</v>
      </c>
      <c r="M14" s="100">
        <v>991538.4</v>
      </c>
      <c r="N14" s="51">
        <f>(M14-Calibration_Curve!$G$4)/Calibration_Curve!$F$4</f>
        <v>5.6576243676267994</v>
      </c>
      <c r="O14" s="101">
        <f t="shared" si="4"/>
        <v>24.376585314569535</v>
      </c>
      <c r="P14" s="54">
        <f t="shared" si="5"/>
        <v>0.45141824656610247</v>
      </c>
      <c r="Q14" s="122"/>
      <c r="R14" s="100"/>
      <c r="S14" s="51">
        <f>(R14-Calibration_Curve!$J$4)/Calibration_Curve!$I$4</f>
        <v>0.23858681384480587</v>
      </c>
      <c r="T14" s="101" t="e">
        <f t="shared" si="6"/>
        <v>#DIV/0!</v>
      </c>
      <c r="U14" s="54" t="e">
        <f t="shared" si="7"/>
        <v>#DIV/0!</v>
      </c>
      <c r="V14" s="91"/>
      <c r="W14" s="91"/>
    </row>
    <row r="15" spans="1:23" ht="16.5" customHeight="1" x14ac:dyDescent="0.3">
      <c r="A15" s="326"/>
      <c r="B15" s="220" t="s">
        <v>47</v>
      </c>
      <c r="C15" s="202" t="s">
        <v>72</v>
      </c>
      <c r="D15" s="221">
        <v>0.2</v>
      </c>
      <c r="E15" s="204">
        <v>0.72</v>
      </c>
      <c r="F15" s="205">
        <v>6.3000000000000007</v>
      </c>
      <c r="G15" s="206">
        <v>410</v>
      </c>
      <c r="H15" s="207">
        <f t="shared" si="3"/>
        <v>171.62790697674419</v>
      </c>
      <c r="I15" s="208">
        <f t="shared" si="0"/>
        <v>510</v>
      </c>
      <c r="J15" s="209">
        <f t="shared" si="1"/>
        <v>213.48837209302326</v>
      </c>
      <c r="K15" s="209">
        <f t="shared" si="2"/>
        <v>296.51162790697674</v>
      </c>
      <c r="L15" s="210">
        <v>0.16791531853787811</v>
      </c>
      <c r="M15" s="211">
        <v>644165.42716049391</v>
      </c>
      <c r="N15" s="212">
        <f>(M15-Calibration_Curve!$G$4)/Calibration_Curve!$F$4</f>
        <v>3.7365812424422238</v>
      </c>
      <c r="O15" s="213">
        <f t="shared" si="4"/>
        <v>22.252771664780131</v>
      </c>
      <c r="P15" s="214">
        <f>(($H15*0.001)/($F15))*$O15</f>
        <v>0.60622168654882735</v>
      </c>
      <c r="Q15" s="122"/>
      <c r="R15" s="100"/>
      <c r="S15" s="51">
        <f>(R15-Calibration_Curve!$J$4)/Calibration_Curve!$I$4</f>
        <v>0.23858681384480587</v>
      </c>
      <c r="T15" s="101" t="e">
        <f t="shared" si="6"/>
        <v>#DIV/0!</v>
      </c>
      <c r="U15" s="54" t="e">
        <f t="shared" si="7"/>
        <v>#DIV/0!</v>
      </c>
      <c r="V15" s="91"/>
      <c r="W15" s="91"/>
    </row>
    <row r="16" spans="1:23" ht="16.5" customHeight="1" x14ac:dyDescent="0.3">
      <c r="A16" s="326"/>
      <c r="B16" s="216" t="s">
        <v>48</v>
      </c>
      <c r="C16" s="107" t="s">
        <v>72</v>
      </c>
      <c r="D16" s="181">
        <v>0.2</v>
      </c>
      <c r="E16" s="172">
        <v>0.72</v>
      </c>
      <c r="F16" s="173">
        <v>11.7</v>
      </c>
      <c r="G16" s="174">
        <v>190</v>
      </c>
      <c r="H16" s="119">
        <f t="shared" si="3"/>
        <v>79.534883720930225</v>
      </c>
      <c r="I16" s="153">
        <f t="shared" si="0"/>
        <v>290</v>
      </c>
      <c r="J16" s="116">
        <f t="shared" si="1"/>
        <v>121.3953488372093</v>
      </c>
      <c r="K16" s="116">
        <f t="shared" si="2"/>
        <v>168.6046511627907</v>
      </c>
      <c r="L16" s="122">
        <v>0.21303816853999247</v>
      </c>
      <c r="M16" s="100">
        <v>1664955.6</v>
      </c>
      <c r="N16" s="51">
        <f>(M16-Calibration_Curve!$G$4)/Calibration_Curve!$F$4</f>
        <v>9.3817583204393777</v>
      </c>
      <c r="O16" s="101">
        <f t="shared" si="4"/>
        <v>44.037922334458074</v>
      </c>
      <c r="P16" s="54">
        <f t="shared" si="5"/>
        <v>0.29936333608397264</v>
      </c>
      <c r="Q16" s="122"/>
      <c r="R16" s="100"/>
      <c r="S16" s="51">
        <f>(R16-Calibration_Curve!$J$4)/Calibration_Curve!$I$4</f>
        <v>0.23858681384480587</v>
      </c>
      <c r="T16" s="101" t="e">
        <f t="shared" si="6"/>
        <v>#DIV/0!</v>
      </c>
      <c r="U16" s="54" t="e">
        <f t="shared" si="7"/>
        <v>#DIV/0!</v>
      </c>
      <c r="V16" s="91"/>
      <c r="W16" s="91"/>
    </row>
    <row r="17" spans="1:23" ht="16.5" customHeight="1" x14ac:dyDescent="0.3">
      <c r="A17" s="326"/>
      <c r="B17" s="216" t="s">
        <v>49</v>
      </c>
      <c r="C17" s="107" t="s">
        <v>72</v>
      </c>
      <c r="D17" s="181">
        <v>0.2</v>
      </c>
      <c r="E17" s="172">
        <v>1.78</v>
      </c>
      <c r="F17" s="173">
        <v>6.3000000000000007</v>
      </c>
      <c r="G17" s="174">
        <v>190</v>
      </c>
      <c r="H17" s="119">
        <f t="shared" si="3"/>
        <v>121.65467625899279</v>
      </c>
      <c r="I17" s="153">
        <f t="shared" si="0"/>
        <v>290</v>
      </c>
      <c r="J17" s="116">
        <f t="shared" si="1"/>
        <v>185.68345323741008</v>
      </c>
      <c r="K17" s="116">
        <f t="shared" si="2"/>
        <v>104.31654676258992</v>
      </c>
      <c r="L17" s="122">
        <v>0.16791531853787811</v>
      </c>
      <c r="M17" s="100">
        <v>759275.60000000009</v>
      </c>
      <c r="N17" s="51">
        <f>(M17-Calibration_Curve!$G$4)/Calibration_Curve!$F$4</f>
        <v>4.3731638883647355</v>
      </c>
      <c r="O17" s="101">
        <f t="shared" si="4"/>
        <v>26.043865005551851</v>
      </c>
      <c r="P17" s="54">
        <f t="shared" si="5"/>
        <v>0.50291396282274947</v>
      </c>
      <c r="Q17" s="122"/>
      <c r="R17" s="100"/>
      <c r="S17" s="51">
        <f>(R17-Calibration_Curve!$J$4)/Calibration_Curve!$I$4</f>
        <v>0.23858681384480587</v>
      </c>
      <c r="T17" s="101" t="e">
        <f>S17/Q17</f>
        <v>#DIV/0!</v>
      </c>
      <c r="U17" s="54" t="e">
        <f t="shared" si="7"/>
        <v>#DIV/0!</v>
      </c>
    </row>
    <row r="18" spans="1:23" ht="16.5" customHeight="1" x14ac:dyDescent="0.3">
      <c r="A18" s="326"/>
      <c r="B18" s="216" t="s">
        <v>50</v>
      </c>
      <c r="C18" s="107" t="s">
        <v>72</v>
      </c>
      <c r="D18" s="181">
        <v>0.2</v>
      </c>
      <c r="E18" s="172">
        <v>1.78</v>
      </c>
      <c r="F18" s="173">
        <v>11.7</v>
      </c>
      <c r="G18" s="174">
        <v>410</v>
      </c>
      <c r="H18" s="119">
        <f t="shared" si="3"/>
        <v>262.51798561151077</v>
      </c>
      <c r="I18" s="153">
        <f t="shared" si="0"/>
        <v>510</v>
      </c>
      <c r="J18" s="116">
        <f t="shared" si="1"/>
        <v>326.54676258992805</v>
      </c>
      <c r="K18" s="116">
        <f t="shared" si="2"/>
        <v>183.45323741007195</v>
      </c>
      <c r="L18" s="122">
        <v>0.16791531853787811</v>
      </c>
      <c r="M18" s="100">
        <v>543619.20000000007</v>
      </c>
      <c r="N18" s="51">
        <f>(M18-Calibration_Curve!$G$4)/Calibration_Curve!$F$4</f>
        <v>3.1805401754846212</v>
      </c>
      <c r="O18" s="101">
        <f t="shared" si="4"/>
        <v>18.94133425811987</v>
      </c>
      <c r="P18" s="54">
        <f t="shared" si="5"/>
        <v>0.42499494993469478</v>
      </c>
      <c r="Q18" s="122"/>
      <c r="R18" s="100"/>
      <c r="S18" s="51">
        <f>(R18-Calibration_Curve!$J$4)/Calibration_Curve!$I$4</f>
        <v>0.23858681384480587</v>
      </c>
      <c r="T18" s="101" t="e">
        <f>S18/Q18</f>
        <v>#DIV/0!</v>
      </c>
      <c r="U18" s="54" t="e">
        <f t="shared" si="7"/>
        <v>#DIV/0!</v>
      </c>
    </row>
    <row r="19" spans="1:23" ht="16.5" customHeight="1" x14ac:dyDescent="0.3">
      <c r="A19" s="326"/>
      <c r="B19" s="216" t="s">
        <v>51</v>
      </c>
      <c r="C19" s="107" t="s">
        <v>72</v>
      </c>
      <c r="D19" s="181">
        <v>0.2</v>
      </c>
      <c r="E19" s="222">
        <v>1.25</v>
      </c>
      <c r="F19" s="223">
        <v>9</v>
      </c>
      <c r="G19" s="224">
        <v>300</v>
      </c>
      <c r="H19" s="119">
        <f>(G19*E19)/(1+E19)</f>
        <v>166.66666666666666</v>
      </c>
      <c r="I19" s="153">
        <f t="shared" si="0"/>
        <v>400</v>
      </c>
      <c r="J19" s="116">
        <f t="shared" si="1"/>
        <v>222.22222222222223</v>
      </c>
      <c r="K19" s="116">
        <f t="shared" si="2"/>
        <v>177.77777777777777</v>
      </c>
      <c r="L19" s="122">
        <v>0.16791531853787811</v>
      </c>
      <c r="M19" s="100">
        <v>806997.3142857143</v>
      </c>
      <c r="N19" s="51">
        <f>(M19-Calibration_Curve!$G$4)/Calibration_Curve!$F$4</f>
        <v>4.6370746653063541</v>
      </c>
      <c r="O19" s="101">
        <f t="shared" si="4"/>
        <v>27.615554707477919</v>
      </c>
      <c r="P19" s="54">
        <f t="shared" si="5"/>
        <v>0.51139916124959106</v>
      </c>
      <c r="Q19" s="122"/>
      <c r="R19" s="100"/>
      <c r="S19" s="51">
        <f>(R19-Calibration_Curve!$J$4)/Calibration_Curve!$I$4</f>
        <v>0.23858681384480587</v>
      </c>
      <c r="T19" s="101" t="e">
        <f t="shared" si="6"/>
        <v>#DIV/0!</v>
      </c>
      <c r="U19" s="54" t="e">
        <f t="shared" si="7"/>
        <v>#DIV/0!</v>
      </c>
      <c r="V19" s="30"/>
      <c r="W19" s="68"/>
    </row>
    <row r="20" spans="1:23" ht="16.5" customHeight="1" x14ac:dyDescent="0.3">
      <c r="A20" s="326"/>
      <c r="B20" s="218" t="s">
        <v>52</v>
      </c>
      <c r="C20" s="189" t="s">
        <v>72</v>
      </c>
      <c r="D20" s="219">
        <v>0.2</v>
      </c>
      <c r="E20" s="225">
        <v>1.25</v>
      </c>
      <c r="F20" s="226">
        <v>9</v>
      </c>
      <c r="G20" s="227">
        <v>300</v>
      </c>
      <c r="H20" s="194">
        <f t="shared" ref="H20:H29" si="8">(G20*E20)/(1+E20)</f>
        <v>166.66666666666666</v>
      </c>
      <c r="I20" s="195">
        <f t="shared" ref="I20:I29" si="9">100+G20</f>
        <v>400</v>
      </c>
      <c r="J20" s="196">
        <f t="shared" ref="J20:J29" si="10">I20*E20/(1+E20)</f>
        <v>222.22222222222223</v>
      </c>
      <c r="K20" s="196">
        <f t="shared" ref="K20:K29" si="11">I20-J20</f>
        <v>177.77777777777777</v>
      </c>
      <c r="L20" s="197">
        <v>0.16791531853787811</v>
      </c>
      <c r="M20" s="198">
        <v>816005.79999999993</v>
      </c>
      <c r="N20" s="84">
        <f>(M20-Calibration_Curve!$G$4)/Calibration_Curve!$F$4</f>
        <v>4.6868934218097493</v>
      </c>
      <c r="O20" s="199">
        <f t="shared" si="4"/>
        <v>27.912244473112118</v>
      </c>
      <c r="P20" s="200">
        <f t="shared" si="5"/>
        <v>0.51689341616874285</v>
      </c>
      <c r="Q20" s="122"/>
      <c r="R20" s="100"/>
      <c r="S20" s="51">
        <f>(R20-Calibration_Curve!$J$4)/Calibration_Curve!$I$4</f>
        <v>0.23858681384480587</v>
      </c>
      <c r="T20" s="101" t="e">
        <f t="shared" si="6"/>
        <v>#DIV/0!</v>
      </c>
      <c r="U20" s="54" t="e">
        <f t="shared" si="7"/>
        <v>#DIV/0!</v>
      </c>
    </row>
    <row r="21" spans="1:23" ht="16.5" customHeight="1" x14ac:dyDescent="0.3">
      <c r="A21" s="326"/>
      <c r="B21" s="201" t="s">
        <v>53</v>
      </c>
      <c r="C21" s="202" t="s">
        <v>72</v>
      </c>
      <c r="D21" s="221">
        <v>0.2</v>
      </c>
      <c r="E21" s="204">
        <v>0.3586497998310626</v>
      </c>
      <c r="F21" s="205">
        <v>9</v>
      </c>
      <c r="G21" s="206">
        <v>300</v>
      </c>
      <c r="H21" s="207">
        <f t="shared" si="8"/>
        <v>79.19254833931258</v>
      </c>
      <c r="I21" s="208">
        <f t="shared" si="9"/>
        <v>400</v>
      </c>
      <c r="J21" s="209">
        <f t="shared" si="10"/>
        <v>105.59006445241677</v>
      </c>
      <c r="K21" s="209">
        <f t="shared" si="11"/>
        <v>294.40993554758325</v>
      </c>
      <c r="L21" s="210">
        <v>0.21303816853999247</v>
      </c>
      <c r="M21" s="211">
        <v>1701518.0000000005</v>
      </c>
      <c r="N21" s="212">
        <f>(M21-Calibration_Curve!$G$4)/Calibration_Curve!$F$4</f>
        <v>9.5839558218342269</v>
      </c>
      <c r="O21" s="213">
        <f t="shared" si="4"/>
        <v>44.987036302065675</v>
      </c>
      <c r="P21" s="214">
        <f t="shared" si="5"/>
        <v>0.395848671888194</v>
      </c>
      <c r="Q21" s="122"/>
      <c r="R21" s="100"/>
      <c r="S21" s="51">
        <f>(R21-Calibration_Curve!$J$4)/Calibration_Curve!$I$4</f>
        <v>0.23858681384480587</v>
      </c>
      <c r="T21" s="101" t="e">
        <f t="shared" si="6"/>
        <v>#DIV/0!</v>
      </c>
      <c r="U21" s="54" t="e">
        <f t="shared" si="7"/>
        <v>#DIV/0!</v>
      </c>
    </row>
    <row r="22" spans="1:23" ht="16.5" customHeight="1" x14ac:dyDescent="0.3">
      <c r="A22" s="326"/>
      <c r="B22" s="187" t="s">
        <v>54</v>
      </c>
      <c r="C22" s="107" t="s">
        <v>72</v>
      </c>
      <c r="D22" s="181">
        <v>0.2</v>
      </c>
      <c r="E22" s="172">
        <v>2.1413502001689375</v>
      </c>
      <c r="F22" s="173">
        <v>9</v>
      </c>
      <c r="G22" s="174">
        <v>300</v>
      </c>
      <c r="H22" s="119">
        <f t="shared" si="8"/>
        <v>204.49966387578615</v>
      </c>
      <c r="I22" s="153">
        <f t="shared" si="9"/>
        <v>400</v>
      </c>
      <c r="J22" s="116">
        <f t="shared" si="10"/>
        <v>272.66621850104821</v>
      </c>
      <c r="K22" s="116">
        <f t="shared" si="11"/>
        <v>127.33378149895179</v>
      </c>
      <c r="L22" s="122">
        <v>0.22553873270102542</v>
      </c>
      <c r="M22" s="100">
        <v>980990.39999999909</v>
      </c>
      <c r="N22" s="51">
        <f>(M22-Calibration_Curve!$G$4)/Calibration_Curve!$F$4</f>
        <v>5.5992917842976677</v>
      </c>
      <c r="O22" s="101">
        <f t="shared" si="4"/>
        <v>24.826297981021732</v>
      </c>
      <c r="P22" s="54">
        <f t="shared" si="5"/>
        <v>0.56410773248878365</v>
      </c>
      <c r="Q22" s="122"/>
      <c r="R22" s="100"/>
      <c r="S22" s="51">
        <f>(R22-Calibration_Curve!$J$4)/Calibration_Curve!$I$4</f>
        <v>0.23858681384480587</v>
      </c>
      <c r="T22" s="101" t="e">
        <f t="shared" si="6"/>
        <v>#DIV/0!</v>
      </c>
      <c r="U22" s="54" t="e">
        <f t="shared" si="7"/>
        <v>#DIV/0!</v>
      </c>
      <c r="V22" s="30"/>
      <c r="W22" s="68"/>
    </row>
    <row r="23" spans="1:23" ht="16.5" customHeight="1" x14ac:dyDescent="0.3">
      <c r="A23" s="326"/>
      <c r="B23" s="187" t="s">
        <v>55</v>
      </c>
      <c r="C23" s="107" t="s">
        <v>72</v>
      </c>
      <c r="D23" s="181">
        <v>0.2</v>
      </c>
      <c r="E23" s="172">
        <v>1.25</v>
      </c>
      <c r="F23" s="173">
        <v>4.4591593576299431</v>
      </c>
      <c r="G23" s="174">
        <v>300</v>
      </c>
      <c r="H23" s="119">
        <f t="shared" si="8"/>
        <v>166.66666666666666</v>
      </c>
      <c r="I23" s="153">
        <f t="shared" si="9"/>
        <v>400</v>
      </c>
      <c r="J23" s="116">
        <f t="shared" si="10"/>
        <v>222.22222222222223</v>
      </c>
      <c r="K23" s="116">
        <f t="shared" si="11"/>
        <v>177.77777777777777</v>
      </c>
      <c r="L23" s="122">
        <v>0.22553873270102542</v>
      </c>
      <c r="M23" s="100">
        <v>596596.19999999984</v>
      </c>
      <c r="N23" s="51">
        <f>(M23-Calibration_Curve!$G$4)/Calibration_Curve!$F$4</f>
        <v>3.4735137502881028</v>
      </c>
      <c r="O23" s="101">
        <f t="shared" si="4"/>
        <v>15.400963323193801</v>
      </c>
      <c r="P23" s="54">
        <f t="shared" si="5"/>
        <v>0.57563029590774184</v>
      </c>
      <c r="Q23" s="122"/>
      <c r="R23" s="100"/>
      <c r="S23" s="51">
        <f>(R23-Calibration_Curve!$J$4)/Calibration_Curve!$I$4</f>
        <v>0.23858681384480587</v>
      </c>
      <c r="T23" s="101" t="e">
        <f t="shared" si="6"/>
        <v>#DIV/0!</v>
      </c>
      <c r="U23" s="54" t="e">
        <f t="shared" si="7"/>
        <v>#DIV/0!</v>
      </c>
    </row>
    <row r="24" spans="1:23" ht="16.5" customHeight="1" thickBot="1" x14ac:dyDescent="0.35">
      <c r="A24" s="326"/>
      <c r="B24" s="187" t="s">
        <v>56</v>
      </c>
      <c r="C24" s="107" t="s">
        <v>72</v>
      </c>
      <c r="D24" s="181">
        <v>0.2</v>
      </c>
      <c r="E24" s="172">
        <v>1.25</v>
      </c>
      <c r="F24" s="173">
        <v>13.540840642370057</v>
      </c>
      <c r="G24" s="174">
        <v>300</v>
      </c>
      <c r="H24" s="119">
        <f t="shared" si="8"/>
        <v>166.66666666666666</v>
      </c>
      <c r="I24" s="153">
        <f t="shared" si="9"/>
        <v>400</v>
      </c>
      <c r="J24" s="116">
        <f t="shared" si="10"/>
        <v>222.22222222222223</v>
      </c>
      <c r="K24" s="116">
        <f t="shared" si="11"/>
        <v>177.77777777777777</v>
      </c>
      <c r="L24" s="122">
        <v>0.22553873270102542</v>
      </c>
      <c r="M24" s="100">
        <v>690375.39999999991</v>
      </c>
      <c r="N24" s="51">
        <f>(M24-Calibration_Curve!$G$4)/Calibration_Curve!$F$4</f>
        <v>3.9921317820039568</v>
      </c>
      <c r="O24" s="101">
        <f t="shared" si="4"/>
        <v>17.700426592783664</v>
      </c>
      <c r="P24" s="54">
        <f t="shared" si="5"/>
        <v>0.21786469368573305</v>
      </c>
      <c r="Q24" s="124"/>
      <c r="R24" s="102"/>
      <c r="S24" s="52">
        <f>(R24-Calibration_Curve!$J$4)/Calibration_Curve!$I$4</f>
        <v>0.23858681384480587</v>
      </c>
      <c r="T24" s="103" t="e">
        <f t="shared" si="6"/>
        <v>#DIV/0!</v>
      </c>
      <c r="U24" s="55" t="e">
        <f t="shared" si="7"/>
        <v>#DIV/0!</v>
      </c>
    </row>
    <row r="25" spans="1:23" x14ac:dyDescent="0.3">
      <c r="A25" s="326"/>
      <c r="B25" s="187" t="s">
        <v>57</v>
      </c>
      <c r="C25" s="107" t="s">
        <v>72</v>
      </c>
      <c r="D25" s="181">
        <v>0.2</v>
      </c>
      <c r="E25" s="172">
        <v>1.25</v>
      </c>
      <c r="F25" s="173">
        <v>9</v>
      </c>
      <c r="G25" s="174">
        <v>115.0027886441828</v>
      </c>
      <c r="H25" s="119">
        <f t="shared" si="8"/>
        <v>63.890438135657114</v>
      </c>
      <c r="I25" s="153">
        <f t="shared" si="9"/>
        <v>215.0027886441828</v>
      </c>
      <c r="J25" s="116">
        <f t="shared" si="10"/>
        <v>119.44599369121266</v>
      </c>
      <c r="K25" s="116">
        <f t="shared" si="11"/>
        <v>95.556794952970137</v>
      </c>
      <c r="L25" s="122">
        <v>0.21303816853999247</v>
      </c>
      <c r="M25" s="100">
        <v>1639948</v>
      </c>
      <c r="N25" s="51">
        <f>(M25-Calibration_Curve!$G$4)/Calibration_Curve!$F$4</f>
        <v>9.2434612109530789</v>
      </c>
      <c r="O25" s="101">
        <f t="shared" si="4"/>
        <v>43.388756457591569</v>
      </c>
      <c r="P25" s="54">
        <f t="shared" si="5"/>
        <v>0.3080140733596497</v>
      </c>
    </row>
    <row r="26" spans="1:23" x14ac:dyDescent="0.3">
      <c r="A26" s="326"/>
      <c r="B26" s="187" t="s">
        <v>65</v>
      </c>
      <c r="C26" s="107" t="s">
        <v>72</v>
      </c>
      <c r="D26" s="181">
        <v>0.2</v>
      </c>
      <c r="E26" s="172">
        <v>1.25</v>
      </c>
      <c r="F26" s="173">
        <v>9</v>
      </c>
      <c r="G26" s="174">
        <v>484.99721135581717</v>
      </c>
      <c r="H26" s="119">
        <f t="shared" si="8"/>
        <v>269.44289519767619</v>
      </c>
      <c r="I26" s="153">
        <f t="shared" si="9"/>
        <v>584.99721135581717</v>
      </c>
      <c r="J26" s="116">
        <f t="shared" si="10"/>
        <v>324.99845075323174</v>
      </c>
      <c r="K26" s="116">
        <f t="shared" si="11"/>
        <v>259.99876060258543</v>
      </c>
      <c r="L26" s="122">
        <v>0.22553873270102542</v>
      </c>
      <c r="M26" s="100">
        <v>470879.79999999993</v>
      </c>
      <c r="N26" s="51">
        <f>(M26-Calibration_Curve!$G$4)/Calibration_Curve!$F$4</f>
        <v>2.7782765130073104</v>
      </c>
      <c r="O26" s="101">
        <f t="shared" si="4"/>
        <v>12.318400834016387</v>
      </c>
      <c r="P26" s="54">
        <f t="shared" si="5"/>
        <v>0.36878950943587163</v>
      </c>
    </row>
    <row r="27" spans="1:23" x14ac:dyDescent="0.3">
      <c r="A27" s="326"/>
      <c r="B27" s="187" t="s">
        <v>66</v>
      </c>
      <c r="C27" s="107" t="s">
        <v>72</v>
      </c>
      <c r="D27" s="181">
        <v>0.2</v>
      </c>
      <c r="E27" s="222">
        <v>1.25</v>
      </c>
      <c r="F27" s="223">
        <v>9</v>
      </c>
      <c r="G27" s="224">
        <v>300</v>
      </c>
      <c r="H27" s="119">
        <f t="shared" si="8"/>
        <v>166.66666666666666</v>
      </c>
      <c r="I27" s="153">
        <f t="shared" si="9"/>
        <v>400</v>
      </c>
      <c r="J27" s="116">
        <f t="shared" si="10"/>
        <v>222.22222222222223</v>
      </c>
      <c r="K27" s="116">
        <f t="shared" si="11"/>
        <v>177.77777777777777</v>
      </c>
      <c r="L27" s="122">
        <v>0.22553873270102542</v>
      </c>
      <c r="M27" s="100">
        <v>738066.39999999991</v>
      </c>
      <c r="N27" s="51">
        <f>(M27-Calibration_Curve!$G$4)/Calibration_Curve!$F$4</f>
        <v>4.2558727027045036</v>
      </c>
      <c r="O27" s="101">
        <f t="shared" si="4"/>
        <v>18.869808532382315</v>
      </c>
      <c r="P27" s="54">
        <f t="shared" si="5"/>
        <v>0.34944089874782064</v>
      </c>
    </row>
    <row r="28" spans="1:23" x14ac:dyDescent="0.3">
      <c r="A28" s="326"/>
      <c r="B28" s="188" t="s">
        <v>69</v>
      </c>
      <c r="C28" s="189" t="s">
        <v>72</v>
      </c>
      <c r="D28" s="219">
        <v>0.2</v>
      </c>
      <c r="E28" s="225">
        <v>1.25</v>
      </c>
      <c r="F28" s="226">
        <v>9</v>
      </c>
      <c r="G28" s="227">
        <v>300</v>
      </c>
      <c r="H28" s="194">
        <f t="shared" si="8"/>
        <v>166.66666666666666</v>
      </c>
      <c r="I28" s="195">
        <f t="shared" si="9"/>
        <v>400</v>
      </c>
      <c r="J28" s="196">
        <f t="shared" si="10"/>
        <v>222.22222222222223</v>
      </c>
      <c r="K28" s="196">
        <f t="shared" si="11"/>
        <v>177.77777777777777</v>
      </c>
      <c r="L28" s="197">
        <v>0.22553873270102542</v>
      </c>
      <c r="M28" s="198">
        <v>771778.5</v>
      </c>
      <c r="N28" s="84">
        <f>(M28-Calibration_Curve!$G$4)/Calibration_Curve!$F$4</f>
        <v>4.4423074659250057</v>
      </c>
      <c r="O28" s="199">
        <f t="shared" si="4"/>
        <v>19.696428248595939</v>
      </c>
      <c r="P28" s="200">
        <f t="shared" si="5"/>
        <v>0.36474867127029514</v>
      </c>
    </row>
    <row r="29" spans="1:23" ht="15" thickBot="1" x14ac:dyDescent="0.35">
      <c r="A29" s="327"/>
      <c r="B29" s="217" t="s">
        <v>55</v>
      </c>
      <c r="C29" s="108" t="s">
        <v>72</v>
      </c>
      <c r="D29" s="183">
        <v>0.2</v>
      </c>
      <c r="E29" s="178">
        <v>1.25</v>
      </c>
      <c r="F29" s="179">
        <v>4.4591593576299431</v>
      </c>
      <c r="G29" s="180">
        <v>300</v>
      </c>
      <c r="H29" s="120">
        <f t="shared" si="8"/>
        <v>166.66666666666666</v>
      </c>
      <c r="I29" s="163">
        <f t="shared" si="9"/>
        <v>400</v>
      </c>
      <c r="J29" s="117">
        <f t="shared" si="10"/>
        <v>222.22222222222223</v>
      </c>
      <c r="K29" s="117">
        <f t="shared" si="11"/>
        <v>177.77777777777777</v>
      </c>
      <c r="L29" s="124">
        <v>0.21303816853999247</v>
      </c>
      <c r="M29" s="102">
        <v>642240.30000000005</v>
      </c>
      <c r="N29" s="52">
        <f>(M29-Calibration_Curve!$G$4)/Calibration_Curve!$F$4</f>
        <v>3.7259348980633202</v>
      </c>
      <c r="O29" s="103">
        <f t="shared" si="4"/>
        <v>17.489518068983358</v>
      </c>
      <c r="P29" s="55">
        <f t="shared" si="5"/>
        <v>0.65369264571723706</v>
      </c>
    </row>
  </sheetData>
  <mergeCells count="6">
    <mergeCell ref="Q1:U1"/>
    <mergeCell ref="A5:A8"/>
    <mergeCell ref="A9:A29"/>
    <mergeCell ref="E1:G1"/>
    <mergeCell ref="H1:K1"/>
    <mergeCell ref="L1:P1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F260-8F67-43AB-9A4B-B3EA46241271}">
  <dimension ref="A1:R25"/>
  <sheetViews>
    <sheetView tabSelected="1" topLeftCell="G1" zoomScale="115" zoomScaleNormal="115" workbookViewId="0">
      <selection activeCell="L7" sqref="L7"/>
    </sheetView>
  </sheetViews>
  <sheetFormatPr baseColWidth="10" defaultRowHeight="14.4" x14ac:dyDescent="0.3"/>
  <cols>
    <col min="2" max="2" width="15.44140625" customWidth="1"/>
    <col min="3" max="3" width="14" customWidth="1"/>
    <col min="4" max="4" width="16.44140625" customWidth="1"/>
    <col min="5" max="7" width="13.88671875" customWidth="1"/>
    <col min="8" max="8" width="13.5546875" bestFit="1" customWidth="1"/>
    <col min="9" max="11" width="13.5546875" customWidth="1"/>
    <col min="12" max="12" width="18" customWidth="1"/>
    <col min="13" max="13" width="18.33203125" bestFit="1" customWidth="1"/>
    <col min="14" max="14" width="16" customWidth="1"/>
    <col min="15" max="16" width="12.5546875" customWidth="1"/>
  </cols>
  <sheetData>
    <row r="1" spans="1:18" ht="15" thickBot="1" x14ac:dyDescent="0.35">
      <c r="A1" s="3"/>
      <c r="B1" s="3"/>
      <c r="C1" s="3"/>
      <c r="D1" s="3"/>
      <c r="E1" s="317" t="s">
        <v>12</v>
      </c>
      <c r="F1" s="318"/>
      <c r="G1" s="319"/>
      <c r="H1" s="320" t="s">
        <v>116</v>
      </c>
      <c r="I1" s="321"/>
      <c r="J1" s="321"/>
      <c r="K1" s="322"/>
      <c r="L1" s="309" t="s">
        <v>109</v>
      </c>
      <c r="M1" s="310"/>
      <c r="N1" s="310"/>
      <c r="O1" s="310"/>
      <c r="P1" s="311"/>
    </row>
    <row r="2" spans="1:18" ht="43.2" x14ac:dyDescent="0.3">
      <c r="A2" s="47"/>
      <c r="B2" s="109" t="s">
        <v>6</v>
      </c>
      <c r="C2" s="126" t="s">
        <v>119</v>
      </c>
      <c r="D2" s="126" t="s">
        <v>106</v>
      </c>
      <c r="E2" s="142" t="s">
        <v>91</v>
      </c>
      <c r="F2" s="127" t="s">
        <v>90</v>
      </c>
      <c r="G2" s="143" t="s">
        <v>89</v>
      </c>
      <c r="H2" s="126" t="s">
        <v>8</v>
      </c>
      <c r="I2" s="128" t="s">
        <v>27</v>
      </c>
      <c r="J2" s="128" t="s">
        <v>7</v>
      </c>
      <c r="K2" s="128" t="s">
        <v>28</v>
      </c>
      <c r="L2" s="139" t="s">
        <v>107</v>
      </c>
      <c r="M2" s="129" t="s">
        <v>5</v>
      </c>
      <c r="N2" s="129" t="s">
        <v>9</v>
      </c>
      <c r="O2" s="130" t="s">
        <v>127</v>
      </c>
      <c r="P2" s="131" t="s">
        <v>92</v>
      </c>
    </row>
    <row r="3" spans="1:18" ht="16.5" customHeight="1" x14ac:dyDescent="0.3">
      <c r="A3" s="168" t="s">
        <v>37</v>
      </c>
      <c r="B3" s="110" t="s">
        <v>31</v>
      </c>
      <c r="C3" s="125" t="s">
        <v>70</v>
      </c>
      <c r="D3" s="125" t="s">
        <v>31</v>
      </c>
      <c r="E3" s="98" t="s">
        <v>38</v>
      </c>
      <c r="F3" s="48" t="s">
        <v>39</v>
      </c>
      <c r="G3" s="99" t="s">
        <v>40</v>
      </c>
      <c r="H3" s="125" t="s">
        <v>58</v>
      </c>
      <c r="I3" s="49" t="s">
        <v>31</v>
      </c>
      <c r="J3" s="49" t="s">
        <v>31</v>
      </c>
      <c r="K3" s="49" t="s">
        <v>31</v>
      </c>
      <c r="L3" s="140" t="s">
        <v>71</v>
      </c>
      <c r="M3" s="69"/>
      <c r="N3" s="69" t="s">
        <v>31</v>
      </c>
      <c r="O3" s="50" t="s">
        <v>31</v>
      </c>
      <c r="P3" s="97" t="s">
        <v>31</v>
      </c>
    </row>
    <row r="4" spans="1:18" ht="16.5" customHeight="1" thickBot="1" x14ac:dyDescent="0.35">
      <c r="A4" s="46" t="s">
        <v>30</v>
      </c>
      <c r="B4" s="132" t="s">
        <v>31</v>
      </c>
      <c r="C4" s="133" t="s">
        <v>31</v>
      </c>
      <c r="D4" s="133" t="s">
        <v>32</v>
      </c>
      <c r="E4" s="144" t="s">
        <v>31</v>
      </c>
      <c r="F4" s="134" t="s">
        <v>33</v>
      </c>
      <c r="G4" s="145" t="s">
        <v>34</v>
      </c>
      <c r="H4" s="133" t="s">
        <v>34</v>
      </c>
      <c r="I4" s="135" t="s">
        <v>34</v>
      </c>
      <c r="J4" s="135" t="s">
        <v>34</v>
      </c>
      <c r="K4" s="135" t="s">
        <v>34</v>
      </c>
      <c r="L4" s="141" t="s">
        <v>32</v>
      </c>
      <c r="M4" s="136" t="s">
        <v>31</v>
      </c>
      <c r="N4" s="136" t="s">
        <v>32</v>
      </c>
      <c r="O4" s="137"/>
      <c r="P4" s="138" t="s">
        <v>35</v>
      </c>
    </row>
    <row r="5" spans="1:18" ht="16.5" customHeight="1" x14ac:dyDescent="0.3">
      <c r="A5" s="325" t="s">
        <v>86</v>
      </c>
      <c r="B5" s="114" t="s">
        <v>123</v>
      </c>
      <c r="C5" s="107" t="s">
        <v>74</v>
      </c>
      <c r="D5" s="149">
        <v>0.2</v>
      </c>
      <c r="E5" s="150">
        <v>1.25</v>
      </c>
      <c r="F5" s="151">
        <v>9</v>
      </c>
      <c r="G5" s="152">
        <v>300</v>
      </c>
      <c r="H5" s="119">
        <f t="shared" ref="H5:H25" si="0">(G5*E5)/(1+E5)</f>
        <v>166.66666666666666</v>
      </c>
      <c r="I5" s="153">
        <f t="shared" ref="I5:I25" si="1">100+G5</f>
        <v>400</v>
      </c>
      <c r="J5" s="116">
        <f t="shared" ref="J5:J25" si="2">I5*E5/(1+E5)</f>
        <v>222.22222222222223</v>
      </c>
      <c r="K5" s="116">
        <f t="shared" ref="K5:K25" si="3">I5-J5</f>
        <v>177.77777777777777</v>
      </c>
      <c r="L5" s="122">
        <v>0.2</v>
      </c>
      <c r="M5" s="100">
        <v>821037.6</v>
      </c>
      <c r="N5" s="51">
        <f>(M5-Calibration_Curve!$J$4)/Calibration_Curve!$I$4</f>
        <v>8.1601944899572736</v>
      </c>
      <c r="O5" s="101">
        <f>N5/L5</f>
        <v>40.800972449786364</v>
      </c>
      <c r="P5" s="54">
        <f t="shared" ref="P5:P25" si="4">((H5*0.001)/(F5))*O5</f>
        <v>0.75557356388493269</v>
      </c>
    </row>
    <row r="6" spans="1:18" ht="16.5" customHeight="1" x14ac:dyDescent="0.3">
      <c r="A6" s="326"/>
      <c r="B6" s="114" t="s">
        <v>123</v>
      </c>
      <c r="C6" s="107" t="s">
        <v>74</v>
      </c>
      <c r="D6" s="149">
        <v>0.2</v>
      </c>
      <c r="E6" s="150">
        <v>1.25</v>
      </c>
      <c r="F6" s="151">
        <v>9</v>
      </c>
      <c r="G6" s="152">
        <v>300</v>
      </c>
      <c r="H6" s="119">
        <f t="shared" si="0"/>
        <v>166.66666666666666</v>
      </c>
      <c r="I6" s="153">
        <f t="shared" si="1"/>
        <v>400</v>
      </c>
      <c r="J6" s="116">
        <f t="shared" si="2"/>
        <v>222.22222222222223</v>
      </c>
      <c r="K6" s="116">
        <f t="shared" si="3"/>
        <v>177.77777777777777</v>
      </c>
      <c r="L6" s="122">
        <v>0.2</v>
      </c>
      <c r="M6" s="100">
        <v>766949.00000000023</v>
      </c>
      <c r="N6" s="51">
        <f>(M6-Calibration_Curve!$J$4)/Calibration_Curve!$I$4</f>
        <v>7.6383320698316002</v>
      </c>
      <c r="O6" s="101">
        <f t="shared" ref="O6:O25" si="5">N6/L6</f>
        <v>38.191660349157999</v>
      </c>
      <c r="P6" s="54">
        <f t="shared" si="4"/>
        <v>0.70725296942885174</v>
      </c>
    </row>
    <row r="7" spans="1:18" ht="16.5" customHeight="1" x14ac:dyDescent="0.3">
      <c r="A7" s="326"/>
      <c r="B7" s="114" t="s">
        <v>123</v>
      </c>
      <c r="C7" s="107" t="s">
        <v>74</v>
      </c>
      <c r="D7" s="149">
        <v>0.2</v>
      </c>
      <c r="E7" s="150">
        <v>1.25</v>
      </c>
      <c r="F7" s="151">
        <v>9</v>
      </c>
      <c r="G7" s="152">
        <v>300</v>
      </c>
      <c r="H7" s="119">
        <f t="shared" si="0"/>
        <v>166.66666666666666</v>
      </c>
      <c r="I7" s="153">
        <f t="shared" si="1"/>
        <v>400</v>
      </c>
      <c r="J7" s="116">
        <f t="shared" si="2"/>
        <v>222.22222222222223</v>
      </c>
      <c r="K7" s="116">
        <f t="shared" si="3"/>
        <v>177.77777777777777</v>
      </c>
      <c r="L7" s="123">
        <v>0.2</v>
      </c>
      <c r="M7" s="100">
        <v>839317.80000000028</v>
      </c>
      <c r="N7" s="51">
        <f>(M7-Calibration_Curve!$J$4)/Calibration_Curve!$I$4</f>
        <v>8.3365671343293144</v>
      </c>
      <c r="O7" s="101">
        <f t="shared" si="5"/>
        <v>41.682835671646572</v>
      </c>
      <c r="P7" s="54">
        <f t="shared" si="4"/>
        <v>0.77190436428975129</v>
      </c>
      <c r="Q7" s="91"/>
      <c r="R7" s="91"/>
    </row>
    <row r="8" spans="1:18" ht="16.5" customHeight="1" x14ac:dyDescent="0.3">
      <c r="A8" s="326"/>
      <c r="B8" s="114" t="s">
        <v>124</v>
      </c>
      <c r="C8" s="107" t="s">
        <v>75</v>
      </c>
      <c r="D8" s="149">
        <v>0.2</v>
      </c>
      <c r="E8" s="150">
        <v>1.25</v>
      </c>
      <c r="F8" s="151">
        <v>9</v>
      </c>
      <c r="G8" s="152">
        <v>300</v>
      </c>
      <c r="H8" s="119">
        <f t="shared" si="0"/>
        <v>166.66666666666666</v>
      </c>
      <c r="I8" s="153">
        <f t="shared" si="1"/>
        <v>400</v>
      </c>
      <c r="J8" s="116">
        <f t="shared" si="2"/>
        <v>222.22222222222223</v>
      </c>
      <c r="K8" s="116">
        <f t="shared" si="3"/>
        <v>177.77777777777777</v>
      </c>
      <c r="L8" s="122">
        <v>0.2</v>
      </c>
      <c r="M8" s="100">
        <v>831336.60000000009</v>
      </c>
      <c r="N8" s="51">
        <f>(M8-Calibration_Curve!$J$4)/Calibration_Curve!$I$4</f>
        <v>8.259562213745177</v>
      </c>
      <c r="O8" s="101">
        <f t="shared" si="5"/>
        <v>41.297811068725885</v>
      </c>
      <c r="P8" s="54">
        <f t="shared" si="4"/>
        <v>0.76477427905047934</v>
      </c>
      <c r="Q8" s="91"/>
      <c r="R8" s="91"/>
    </row>
    <row r="9" spans="1:18" ht="16.5" customHeight="1" x14ac:dyDescent="0.3">
      <c r="A9" s="326"/>
      <c r="B9" s="114" t="s">
        <v>124</v>
      </c>
      <c r="C9" s="107" t="s">
        <v>75</v>
      </c>
      <c r="D9" s="149">
        <v>0.2</v>
      </c>
      <c r="E9" s="150">
        <v>1.25</v>
      </c>
      <c r="F9" s="151">
        <v>9</v>
      </c>
      <c r="G9" s="152">
        <v>300</v>
      </c>
      <c r="H9" s="119">
        <f t="shared" si="0"/>
        <v>166.66666666666666</v>
      </c>
      <c r="I9" s="153">
        <f t="shared" si="1"/>
        <v>400</v>
      </c>
      <c r="J9" s="116">
        <f t="shared" si="2"/>
        <v>222.22222222222223</v>
      </c>
      <c r="K9" s="116">
        <f t="shared" si="3"/>
        <v>177.77777777777777</v>
      </c>
      <c r="L9" s="122">
        <v>0.2</v>
      </c>
      <c r="M9" s="100">
        <v>882838</v>
      </c>
      <c r="N9" s="51">
        <f>(M9-Calibration_Curve!$J$4)/Calibration_Curve!$I$4</f>
        <v>8.7564625817314159</v>
      </c>
      <c r="O9" s="101">
        <f t="shared" si="5"/>
        <v>43.782312908657076</v>
      </c>
      <c r="P9" s="54">
        <f t="shared" si="4"/>
        <v>0.8107835723825384</v>
      </c>
      <c r="Q9" s="91"/>
      <c r="R9" s="91"/>
    </row>
    <row r="10" spans="1:18" ht="16.5" customHeight="1" x14ac:dyDescent="0.3">
      <c r="A10" s="326"/>
      <c r="B10" s="114" t="s">
        <v>124</v>
      </c>
      <c r="C10" s="107" t="s">
        <v>75</v>
      </c>
      <c r="D10" s="149">
        <v>0.2</v>
      </c>
      <c r="E10" s="150">
        <v>1.25</v>
      </c>
      <c r="F10" s="151">
        <v>9</v>
      </c>
      <c r="G10" s="152">
        <v>300</v>
      </c>
      <c r="H10" s="119">
        <f t="shared" si="0"/>
        <v>166.66666666666666</v>
      </c>
      <c r="I10" s="153">
        <f t="shared" si="1"/>
        <v>400</v>
      </c>
      <c r="J10" s="116">
        <f t="shared" si="2"/>
        <v>222.22222222222223</v>
      </c>
      <c r="K10" s="116">
        <f t="shared" si="3"/>
        <v>177.77777777777777</v>
      </c>
      <c r="L10" s="122">
        <v>0.2</v>
      </c>
      <c r="M10" s="100">
        <v>841540.4</v>
      </c>
      <c r="N10" s="51">
        <f>(M10-Calibration_Curve!$J$4)/Calibration_Curve!$I$4</f>
        <v>8.3580114204630132</v>
      </c>
      <c r="O10" s="101">
        <f t="shared" si="5"/>
        <v>41.79005710231506</v>
      </c>
      <c r="P10" s="54">
        <f t="shared" si="4"/>
        <v>0.77388994633916774</v>
      </c>
      <c r="Q10" s="91"/>
      <c r="R10" s="91"/>
    </row>
    <row r="11" spans="1:18" ht="16.5" customHeight="1" x14ac:dyDescent="0.3">
      <c r="A11" s="326"/>
      <c r="B11" s="114" t="s">
        <v>125</v>
      </c>
      <c r="C11" s="107" t="s">
        <v>72</v>
      </c>
      <c r="D11" s="149">
        <v>0.2</v>
      </c>
      <c r="E11" s="150">
        <v>1.25</v>
      </c>
      <c r="F11" s="151">
        <v>9</v>
      </c>
      <c r="G11" s="152">
        <v>300</v>
      </c>
      <c r="H11" s="119">
        <f t="shared" si="0"/>
        <v>166.66666666666666</v>
      </c>
      <c r="I11" s="153">
        <f t="shared" si="1"/>
        <v>400</v>
      </c>
      <c r="J11" s="116">
        <f t="shared" si="2"/>
        <v>222.22222222222223</v>
      </c>
      <c r="K11" s="116">
        <f t="shared" si="3"/>
        <v>177.77777777777777</v>
      </c>
      <c r="L11" s="122">
        <v>0.2</v>
      </c>
      <c r="M11" s="100">
        <v>901158.5</v>
      </c>
      <c r="N11" s="51">
        <f>(M11-Calibration_Curve!$J$4)/Calibration_Curve!$I$4</f>
        <v>8.9332240521320632</v>
      </c>
      <c r="O11" s="101">
        <f t="shared" si="5"/>
        <v>44.666120260660314</v>
      </c>
      <c r="P11" s="54">
        <f t="shared" si="4"/>
        <v>0.82715037519741319</v>
      </c>
      <c r="Q11" s="91"/>
      <c r="R11" s="91"/>
    </row>
    <row r="12" spans="1:18" ht="16.5" customHeight="1" x14ac:dyDescent="0.3">
      <c r="A12" s="326"/>
      <c r="B12" s="114" t="s">
        <v>125</v>
      </c>
      <c r="C12" s="169" t="s">
        <v>72</v>
      </c>
      <c r="D12" s="149">
        <v>0.2</v>
      </c>
      <c r="E12" s="150">
        <v>1.25</v>
      </c>
      <c r="F12" s="151">
        <v>9</v>
      </c>
      <c r="G12" s="152">
        <v>300</v>
      </c>
      <c r="H12" s="119">
        <f t="shared" si="0"/>
        <v>166.66666666666666</v>
      </c>
      <c r="I12" s="153">
        <f t="shared" si="1"/>
        <v>400</v>
      </c>
      <c r="J12" s="116">
        <f t="shared" si="2"/>
        <v>222.22222222222223</v>
      </c>
      <c r="K12" s="116">
        <f t="shared" si="3"/>
        <v>177.77777777777777</v>
      </c>
      <c r="L12" s="122">
        <v>0.2</v>
      </c>
      <c r="M12" s="100">
        <v>996737.60000000009</v>
      </c>
      <c r="N12" s="51">
        <f>(M12-Calibration_Curve!$J$4)/Calibration_Curve!$I$4</f>
        <v>9.8553987883876513</v>
      </c>
      <c r="O12" s="101">
        <f t="shared" si="5"/>
        <v>49.276993941938251</v>
      </c>
      <c r="P12" s="54">
        <f t="shared" si="4"/>
        <v>0.91253692485070825</v>
      </c>
      <c r="Q12" s="91"/>
      <c r="R12" s="91"/>
    </row>
    <row r="13" spans="1:18" ht="16.5" customHeight="1" x14ac:dyDescent="0.3">
      <c r="A13" s="326"/>
      <c r="B13" s="114" t="s">
        <v>125</v>
      </c>
      <c r="C13" s="107" t="s">
        <v>72</v>
      </c>
      <c r="D13" s="149">
        <v>0.2</v>
      </c>
      <c r="E13" s="150">
        <v>1.25</v>
      </c>
      <c r="F13" s="151">
        <v>9</v>
      </c>
      <c r="G13" s="152">
        <v>300</v>
      </c>
      <c r="H13" s="119">
        <f t="shared" si="0"/>
        <v>166.66666666666666</v>
      </c>
      <c r="I13" s="153">
        <f t="shared" si="1"/>
        <v>400</v>
      </c>
      <c r="J13" s="116">
        <f t="shared" si="2"/>
        <v>222.22222222222223</v>
      </c>
      <c r="K13" s="116">
        <f t="shared" si="3"/>
        <v>177.77777777777777</v>
      </c>
      <c r="L13" s="122">
        <v>0.2</v>
      </c>
      <c r="M13" s="100">
        <v>936476</v>
      </c>
      <c r="N13" s="51">
        <f>(M13-Calibration_Curve!$J$4)/Calibration_Curve!$I$4</f>
        <v>9.27397748303596</v>
      </c>
      <c r="O13" s="101">
        <f t="shared" si="5"/>
        <v>46.369887415179797</v>
      </c>
      <c r="P13" s="54">
        <f t="shared" si="4"/>
        <v>0.85870161879962581</v>
      </c>
      <c r="Q13" s="91"/>
      <c r="R13" s="91"/>
    </row>
    <row r="14" spans="1:18" ht="16.5" customHeight="1" x14ac:dyDescent="0.3">
      <c r="A14" s="326"/>
      <c r="B14" s="114" t="s">
        <v>126</v>
      </c>
      <c r="C14" s="107" t="s">
        <v>73</v>
      </c>
      <c r="D14" s="149">
        <v>0.2</v>
      </c>
      <c r="E14" s="150">
        <v>1.25</v>
      </c>
      <c r="F14" s="151">
        <v>9</v>
      </c>
      <c r="G14" s="152">
        <v>300</v>
      </c>
      <c r="H14" s="119">
        <f t="shared" si="0"/>
        <v>166.66666666666666</v>
      </c>
      <c r="I14" s="153">
        <f t="shared" si="1"/>
        <v>400</v>
      </c>
      <c r="J14" s="116">
        <f t="shared" si="2"/>
        <v>222.22222222222223</v>
      </c>
      <c r="K14" s="116">
        <f t="shared" si="3"/>
        <v>177.77777777777777</v>
      </c>
      <c r="L14" s="122">
        <v>0.2</v>
      </c>
      <c r="M14" s="100">
        <v>850771.60000000009</v>
      </c>
      <c r="N14" s="51">
        <f>(M14-Calibration_Curve!$J$4)/Calibration_Curve!$I$4</f>
        <v>8.4470767017360391</v>
      </c>
      <c r="O14" s="101">
        <f t="shared" si="5"/>
        <v>42.235383508680194</v>
      </c>
      <c r="P14" s="54">
        <f t="shared" si="4"/>
        <v>0.78213673164222575</v>
      </c>
      <c r="Q14" s="91"/>
      <c r="R14" s="91"/>
    </row>
    <row r="15" spans="1:18" ht="16.5" customHeight="1" x14ac:dyDescent="0.3">
      <c r="A15" s="326"/>
      <c r="B15" s="114" t="s">
        <v>126</v>
      </c>
      <c r="C15" s="107" t="s">
        <v>73</v>
      </c>
      <c r="D15" s="149">
        <v>0.2</v>
      </c>
      <c r="E15" s="150">
        <v>1.25</v>
      </c>
      <c r="F15" s="151">
        <v>9</v>
      </c>
      <c r="G15" s="152">
        <v>300</v>
      </c>
      <c r="H15" s="119">
        <f t="shared" si="0"/>
        <v>166.66666666666666</v>
      </c>
      <c r="I15" s="153">
        <f t="shared" si="1"/>
        <v>400</v>
      </c>
      <c r="J15" s="116">
        <f t="shared" si="2"/>
        <v>222.22222222222223</v>
      </c>
      <c r="K15" s="116">
        <f t="shared" si="3"/>
        <v>177.77777777777777</v>
      </c>
      <c r="L15" s="122">
        <v>0.2</v>
      </c>
      <c r="M15" s="100">
        <v>811851.09999999951</v>
      </c>
      <c r="N15" s="51">
        <f>(M15-Calibration_Curve!$J$4)/Calibration_Curve!$I$4</f>
        <v>8.0715604871824791</v>
      </c>
      <c r="O15" s="101">
        <f t="shared" si="5"/>
        <v>40.35780243591239</v>
      </c>
      <c r="P15" s="54">
        <f t="shared" si="4"/>
        <v>0.74736671177615532</v>
      </c>
      <c r="Q15" s="91"/>
      <c r="R15" s="91"/>
    </row>
    <row r="16" spans="1:18" ht="16.5" customHeight="1" thickBot="1" x14ac:dyDescent="0.35">
      <c r="A16" s="326"/>
      <c r="B16" s="114" t="s">
        <v>126</v>
      </c>
      <c r="C16" s="107" t="s">
        <v>73</v>
      </c>
      <c r="D16" s="149">
        <v>0.2</v>
      </c>
      <c r="E16" s="150">
        <v>1.25</v>
      </c>
      <c r="F16" s="151">
        <v>9</v>
      </c>
      <c r="G16" s="152">
        <v>300</v>
      </c>
      <c r="H16" s="119">
        <f t="shared" si="0"/>
        <v>166.66666666666666</v>
      </c>
      <c r="I16" s="153">
        <f t="shared" si="1"/>
        <v>400</v>
      </c>
      <c r="J16" s="116">
        <f t="shared" si="2"/>
        <v>222.22222222222223</v>
      </c>
      <c r="K16" s="116">
        <f t="shared" si="3"/>
        <v>177.77777777777777</v>
      </c>
      <c r="L16" s="122">
        <v>0.2</v>
      </c>
      <c r="M16" s="100">
        <v>762805.60000000009</v>
      </c>
      <c r="N16" s="51">
        <f>(M16-Calibration_Curve!$J$4)/Calibration_Curve!$I$4</f>
        <v>7.5983553510489212</v>
      </c>
      <c r="O16" s="101">
        <f t="shared" si="5"/>
        <v>37.991776755244601</v>
      </c>
      <c r="P16" s="54">
        <f t="shared" si="4"/>
        <v>0.70355142139341853</v>
      </c>
      <c r="Q16" s="91"/>
      <c r="R16" s="91"/>
    </row>
    <row r="17" spans="1:18" ht="16.5" customHeight="1" x14ac:dyDescent="0.3">
      <c r="A17" s="325" t="s">
        <v>87</v>
      </c>
      <c r="B17" s="111" t="s">
        <v>120</v>
      </c>
      <c r="C17" s="106" t="s">
        <v>72</v>
      </c>
      <c r="D17" s="154">
        <v>0.2</v>
      </c>
      <c r="E17" s="155">
        <v>1.25</v>
      </c>
      <c r="F17" s="156">
        <v>9</v>
      </c>
      <c r="G17" s="157">
        <v>300</v>
      </c>
      <c r="H17" s="118">
        <f t="shared" si="0"/>
        <v>166.66666666666666</v>
      </c>
      <c r="I17" s="158">
        <f t="shared" si="1"/>
        <v>400</v>
      </c>
      <c r="J17" s="115">
        <f t="shared" si="2"/>
        <v>222.22222222222223</v>
      </c>
      <c r="K17" s="115">
        <f t="shared" si="3"/>
        <v>177.77777777777777</v>
      </c>
      <c r="L17" s="121">
        <v>0.2</v>
      </c>
      <c r="M17" s="104">
        <v>737646</v>
      </c>
      <c r="N17" s="56">
        <f>(M17-Calibration_Curve!$J$4)/Calibration_Curve!$I$4</f>
        <v>7.3556082704183625</v>
      </c>
      <c r="O17" s="105">
        <f>N17/L17</f>
        <v>36.778041352091812</v>
      </c>
      <c r="P17" s="53">
        <f t="shared" si="4"/>
        <v>0.68107483985355199</v>
      </c>
    </row>
    <row r="18" spans="1:18" ht="16.5" customHeight="1" x14ac:dyDescent="0.3">
      <c r="A18" s="326"/>
      <c r="B18" s="112" t="s">
        <v>120</v>
      </c>
      <c r="C18" s="107" t="s">
        <v>72</v>
      </c>
      <c r="D18" s="149">
        <v>0.2</v>
      </c>
      <c r="E18" s="150">
        <v>1.25</v>
      </c>
      <c r="F18" s="151">
        <v>9</v>
      </c>
      <c r="G18" s="152">
        <v>300</v>
      </c>
      <c r="H18" s="119">
        <f t="shared" si="0"/>
        <v>166.66666666666666</v>
      </c>
      <c r="I18" s="153">
        <f t="shared" si="1"/>
        <v>400</v>
      </c>
      <c r="J18" s="116">
        <f t="shared" si="2"/>
        <v>222.22222222222223</v>
      </c>
      <c r="K18" s="116">
        <f t="shared" si="3"/>
        <v>177.77777777777777</v>
      </c>
      <c r="L18" s="123">
        <v>0.2</v>
      </c>
      <c r="M18" s="100">
        <v>671609</v>
      </c>
      <c r="N18" s="51">
        <f>(M18-Calibration_Curve!$J$4)/Calibration_Curve!$I$4</f>
        <v>6.7184642393685801</v>
      </c>
      <c r="O18" s="101">
        <f>N18/L18</f>
        <v>33.592321196842896</v>
      </c>
      <c r="P18" s="54">
        <f t="shared" si="4"/>
        <v>0.62208002216375735</v>
      </c>
    </row>
    <row r="19" spans="1:18" ht="16.5" customHeight="1" x14ac:dyDescent="0.3">
      <c r="A19" s="326"/>
      <c r="B19" s="112" t="s">
        <v>120</v>
      </c>
      <c r="C19" s="107" t="s">
        <v>72</v>
      </c>
      <c r="D19" s="149">
        <v>0.2</v>
      </c>
      <c r="E19" s="150">
        <v>1.25</v>
      </c>
      <c r="F19" s="151">
        <v>9</v>
      </c>
      <c r="G19" s="152">
        <v>300</v>
      </c>
      <c r="H19" s="119">
        <f t="shared" si="0"/>
        <v>166.66666666666666</v>
      </c>
      <c r="I19" s="153">
        <f t="shared" si="1"/>
        <v>400</v>
      </c>
      <c r="J19" s="116">
        <f t="shared" si="2"/>
        <v>222.22222222222223</v>
      </c>
      <c r="K19" s="116">
        <f t="shared" si="3"/>
        <v>177.77777777777777</v>
      </c>
      <c r="L19" s="122">
        <v>0.2</v>
      </c>
      <c r="M19" s="100">
        <v>662727</v>
      </c>
      <c r="N19" s="51">
        <f>(M19-Calibration_Curve!$J$4)/Calibration_Curve!$I$4</f>
        <v>6.6327681404576033</v>
      </c>
      <c r="O19" s="101">
        <f t="shared" si="5"/>
        <v>33.163840702288013</v>
      </c>
      <c r="P19" s="54">
        <f t="shared" si="4"/>
        <v>0.61414519819051872</v>
      </c>
      <c r="Q19" s="30"/>
      <c r="R19" s="68"/>
    </row>
    <row r="20" spans="1:18" ht="16.5" customHeight="1" x14ac:dyDescent="0.3">
      <c r="A20" s="326"/>
      <c r="B20" s="112" t="s">
        <v>121</v>
      </c>
      <c r="C20" s="107" t="s">
        <v>72</v>
      </c>
      <c r="D20" s="149">
        <v>0.2</v>
      </c>
      <c r="E20" s="150">
        <v>1.25</v>
      </c>
      <c r="F20" s="151">
        <v>9</v>
      </c>
      <c r="G20" s="152">
        <v>300</v>
      </c>
      <c r="H20" s="119">
        <f t="shared" si="0"/>
        <v>166.66666666666666</v>
      </c>
      <c r="I20" s="153">
        <f t="shared" si="1"/>
        <v>400</v>
      </c>
      <c r="J20" s="116">
        <f t="shared" si="2"/>
        <v>222.22222222222223</v>
      </c>
      <c r="K20" s="116">
        <f t="shared" si="3"/>
        <v>177.77777777777777</v>
      </c>
      <c r="L20" s="122">
        <v>0.2</v>
      </c>
      <c r="M20" s="100">
        <v>717774</v>
      </c>
      <c r="N20" s="51">
        <f>(M20-Calibration_Curve!$J$4)/Calibration_Curve!$I$4</f>
        <v>7.1638774803306653</v>
      </c>
      <c r="O20" s="101">
        <f t="shared" si="5"/>
        <v>35.819387401653323</v>
      </c>
      <c r="P20" s="54">
        <f t="shared" si="4"/>
        <v>0.66332198891950589</v>
      </c>
    </row>
    <row r="21" spans="1:18" ht="16.5" customHeight="1" x14ac:dyDescent="0.3">
      <c r="A21" s="326"/>
      <c r="B21" s="112" t="s">
        <v>121</v>
      </c>
      <c r="C21" s="107" t="s">
        <v>72</v>
      </c>
      <c r="D21" s="149">
        <v>0.2</v>
      </c>
      <c r="E21" s="150">
        <v>1.25</v>
      </c>
      <c r="F21" s="151">
        <v>9</v>
      </c>
      <c r="G21" s="152">
        <v>300</v>
      </c>
      <c r="H21" s="119">
        <f t="shared" si="0"/>
        <v>166.66666666666666</v>
      </c>
      <c r="I21" s="153">
        <f t="shared" si="1"/>
        <v>400</v>
      </c>
      <c r="J21" s="116">
        <f t="shared" si="2"/>
        <v>222.22222222222223</v>
      </c>
      <c r="K21" s="116">
        <f t="shared" si="3"/>
        <v>177.77777777777777</v>
      </c>
      <c r="L21" s="122">
        <v>0.2</v>
      </c>
      <c r="M21" s="100">
        <v>683553</v>
      </c>
      <c r="N21" s="51">
        <f>(M21-Calibration_Curve!$J$4)/Calibration_Curve!$I$4</f>
        <v>6.8337033978230615</v>
      </c>
      <c r="O21" s="101">
        <f t="shared" si="5"/>
        <v>34.168516989115304</v>
      </c>
      <c r="P21" s="54">
        <f t="shared" si="4"/>
        <v>0.63275031461324638</v>
      </c>
    </row>
    <row r="22" spans="1:18" ht="16.5" customHeight="1" x14ac:dyDescent="0.3">
      <c r="A22" s="326"/>
      <c r="B22" s="112" t="s">
        <v>121</v>
      </c>
      <c r="C22" s="107" t="s">
        <v>72</v>
      </c>
      <c r="D22" s="149">
        <v>0.2</v>
      </c>
      <c r="E22" s="150">
        <v>1.25</v>
      </c>
      <c r="F22" s="151">
        <v>9</v>
      </c>
      <c r="G22" s="152">
        <v>300</v>
      </c>
      <c r="H22" s="119">
        <f t="shared" si="0"/>
        <v>166.66666666666666</v>
      </c>
      <c r="I22" s="153">
        <f t="shared" si="1"/>
        <v>400</v>
      </c>
      <c r="J22" s="116">
        <f t="shared" si="2"/>
        <v>222.22222222222223</v>
      </c>
      <c r="K22" s="116">
        <f t="shared" si="3"/>
        <v>177.77777777777777</v>
      </c>
      <c r="L22" s="122">
        <v>0.2</v>
      </c>
      <c r="M22" s="100">
        <v>770319</v>
      </c>
      <c r="N22" s="51">
        <f>(M22-Calibration_Curve!$J$4)/Calibration_Curve!$I$4</f>
        <v>7.6708468022488452</v>
      </c>
      <c r="O22" s="101">
        <f t="shared" si="5"/>
        <v>38.354234011244223</v>
      </c>
      <c r="P22" s="54">
        <f t="shared" si="4"/>
        <v>0.71026359280081885</v>
      </c>
      <c r="Q22" s="30"/>
      <c r="R22" s="68"/>
    </row>
    <row r="23" spans="1:18" ht="16.5" customHeight="1" x14ac:dyDescent="0.3">
      <c r="A23" s="326"/>
      <c r="B23" s="112" t="s">
        <v>122</v>
      </c>
      <c r="C23" s="107" t="s">
        <v>72</v>
      </c>
      <c r="D23" s="149">
        <v>0.2</v>
      </c>
      <c r="E23" s="150">
        <v>1.25</v>
      </c>
      <c r="F23" s="151">
        <v>9</v>
      </c>
      <c r="G23" s="152">
        <v>300</v>
      </c>
      <c r="H23" s="119">
        <f t="shared" si="0"/>
        <v>166.66666666666666</v>
      </c>
      <c r="I23" s="153">
        <f t="shared" si="1"/>
        <v>400</v>
      </c>
      <c r="J23" s="116">
        <f t="shared" si="2"/>
        <v>222.22222222222223</v>
      </c>
      <c r="K23" s="116">
        <f t="shared" si="3"/>
        <v>177.77777777777777</v>
      </c>
      <c r="L23" s="122">
        <v>0.2</v>
      </c>
      <c r="M23" s="100">
        <v>680236</v>
      </c>
      <c r="N23" s="51">
        <f>(M23-Calibration_Curve!$J$4)/Calibration_Curve!$I$4</f>
        <v>6.8017000246990236</v>
      </c>
      <c r="O23" s="101">
        <f t="shared" si="5"/>
        <v>34.008500123495118</v>
      </c>
      <c r="P23" s="54">
        <f t="shared" si="4"/>
        <v>0.62978703932398361</v>
      </c>
    </row>
    <row r="24" spans="1:18" ht="16.5" customHeight="1" x14ac:dyDescent="0.3">
      <c r="A24" s="326"/>
      <c r="B24" s="112" t="s">
        <v>122</v>
      </c>
      <c r="C24" s="107" t="s">
        <v>72</v>
      </c>
      <c r="D24" s="149">
        <v>0.2</v>
      </c>
      <c r="E24" s="150">
        <v>1.25</v>
      </c>
      <c r="F24" s="151">
        <v>9</v>
      </c>
      <c r="G24" s="152">
        <v>300</v>
      </c>
      <c r="H24" s="119">
        <f t="shared" si="0"/>
        <v>166.66666666666666</v>
      </c>
      <c r="I24" s="153">
        <f t="shared" si="1"/>
        <v>400</v>
      </c>
      <c r="J24" s="116">
        <f t="shared" si="2"/>
        <v>222.22222222222223</v>
      </c>
      <c r="K24" s="116">
        <f t="shared" si="3"/>
        <v>177.77777777777777</v>
      </c>
      <c r="L24" s="122">
        <v>0.2</v>
      </c>
      <c r="M24" s="100">
        <v>646540</v>
      </c>
      <c r="N24" s="51">
        <f>(M24-Calibration_Curve!$J$4)/Calibration_Curve!$I$4</f>
        <v>6.4765912936807535</v>
      </c>
      <c r="O24" s="101">
        <f t="shared" si="5"/>
        <v>32.382956468403762</v>
      </c>
      <c r="P24" s="54">
        <f t="shared" si="4"/>
        <v>0.5996843790445141</v>
      </c>
    </row>
    <row r="25" spans="1:18" ht="15" thickBot="1" x14ac:dyDescent="0.35">
      <c r="A25" s="327"/>
      <c r="B25" s="113" t="s">
        <v>122</v>
      </c>
      <c r="C25" s="108" t="s">
        <v>72</v>
      </c>
      <c r="D25" s="159">
        <v>0.2</v>
      </c>
      <c r="E25" s="160">
        <v>1.25</v>
      </c>
      <c r="F25" s="161">
        <v>9</v>
      </c>
      <c r="G25" s="162">
        <v>300</v>
      </c>
      <c r="H25" s="120">
        <f t="shared" si="0"/>
        <v>166.66666666666666</v>
      </c>
      <c r="I25" s="163">
        <f t="shared" si="1"/>
        <v>400</v>
      </c>
      <c r="J25" s="117">
        <f t="shared" si="2"/>
        <v>222.22222222222223</v>
      </c>
      <c r="K25" s="117">
        <f t="shared" si="3"/>
        <v>177.77777777777777</v>
      </c>
      <c r="L25" s="124">
        <v>0.2</v>
      </c>
      <c r="M25" s="102">
        <v>683878</v>
      </c>
      <c r="N25" s="52">
        <f>(M25-Calibration_Curve!$J$4)/Calibration_Curve!$I$4</f>
        <v>6.8368390916021733</v>
      </c>
      <c r="O25" s="103">
        <f t="shared" si="5"/>
        <v>34.184195458010862</v>
      </c>
      <c r="P25" s="55">
        <f t="shared" si="4"/>
        <v>0.63304065662983078</v>
      </c>
      <c r="Q25" s="30"/>
      <c r="R25" s="68"/>
    </row>
  </sheetData>
  <mergeCells count="5">
    <mergeCell ref="E1:G1"/>
    <mergeCell ref="H1:K1"/>
    <mergeCell ref="L1:P1"/>
    <mergeCell ref="A5:A16"/>
    <mergeCell ref="A17:A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24F7-4C65-42D4-B298-3FFC10D03FDE}">
  <dimension ref="A1:P23"/>
  <sheetViews>
    <sheetView topLeftCell="C1" zoomScaleNormal="100" workbookViewId="0">
      <selection activeCell="G6" sqref="G6"/>
    </sheetView>
  </sheetViews>
  <sheetFormatPr baseColWidth="10" defaultRowHeight="14.4" x14ac:dyDescent="0.3"/>
  <cols>
    <col min="2" max="2" width="15.44140625" customWidth="1"/>
    <col min="3" max="3" width="14" customWidth="1"/>
    <col min="4" max="4" width="16.44140625" customWidth="1"/>
    <col min="5" max="7" width="13.88671875" customWidth="1"/>
    <col min="8" max="8" width="13.5546875" bestFit="1" customWidth="1"/>
    <col min="9" max="11" width="13.5546875" customWidth="1"/>
    <col min="12" max="12" width="18" customWidth="1"/>
    <col min="13" max="13" width="18.33203125" bestFit="1" customWidth="1"/>
    <col min="14" max="14" width="16" customWidth="1"/>
    <col min="15" max="16" width="12.5546875" customWidth="1"/>
  </cols>
  <sheetData>
    <row r="1" spans="1:16" ht="15" thickBot="1" x14ac:dyDescent="0.35">
      <c r="A1" s="3"/>
      <c r="B1" s="3"/>
      <c r="C1" s="3"/>
      <c r="D1" s="3"/>
      <c r="E1" s="317" t="s">
        <v>12</v>
      </c>
      <c r="F1" s="318"/>
      <c r="G1" s="319"/>
      <c r="H1" s="320" t="s">
        <v>116</v>
      </c>
      <c r="I1" s="321"/>
      <c r="J1" s="321"/>
      <c r="K1" s="322"/>
      <c r="L1" s="309" t="s">
        <v>109</v>
      </c>
      <c r="M1" s="310"/>
      <c r="N1" s="310"/>
      <c r="O1" s="310"/>
      <c r="P1" s="311"/>
    </row>
    <row r="2" spans="1:16" ht="43.2" x14ac:dyDescent="0.3">
      <c r="A2" s="47"/>
      <c r="B2" s="109" t="s">
        <v>6</v>
      </c>
      <c r="C2" s="126" t="s">
        <v>119</v>
      </c>
      <c r="D2" s="126" t="s">
        <v>106</v>
      </c>
      <c r="E2" s="142" t="s">
        <v>144</v>
      </c>
      <c r="F2" s="127" t="s">
        <v>90</v>
      </c>
      <c r="G2" s="143" t="s">
        <v>145</v>
      </c>
      <c r="H2" s="126" t="s">
        <v>8</v>
      </c>
      <c r="I2" s="128" t="s">
        <v>27</v>
      </c>
      <c r="J2" s="128" t="s">
        <v>7</v>
      </c>
      <c r="K2" s="128" t="s">
        <v>28</v>
      </c>
      <c r="L2" s="139" t="s">
        <v>107</v>
      </c>
      <c r="M2" s="129" t="s">
        <v>5</v>
      </c>
      <c r="N2" s="129" t="s">
        <v>9</v>
      </c>
      <c r="O2" s="130" t="s">
        <v>128</v>
      </c>
      <c r="P2" s="131" t="s">
        <v>92</v>
      </c>
    </row>
    <row r="3" spans="1:16" ht="16.5" customHeight="1" x14ac:dyDescent="0.3">
      <c r="A3" s="168" t="s">
        <v>37</v>
      </c>
      <c r="B3" s="110" t="s">
        <v>31</v>
      </c>
      <c r="C3" s="125" t="s">
        <v>70</v>
      </c>
      <c r="D3" s="125" t="s">
        <v>31</v>
      </c>
      <c r="E3" s="98" t="s">
        <v>38</v>
      </c>
      <c r="F3" s="48" t="s">
        <v>39</v>
      </c>
      <c r="G3" s="99" t="s">
        <v>40</v>
      </c>
      <c r="H3" s="125" t="s">
        <v>58</v>
      </c>
      <c r="I3" s="49" t="s">
        <v>31</v>
      </c>
      <c r="J3" s="49" t="s">
        <v>31</v>
      </c>
      <c r="K3" s="49" t="s">
        <v>31</v>
      </c>
      <c r="L3" s="140" t="s">
        <v>71</v>
      </c>
      <c r="M3" s="69"/>
      <c r="N3" s="69" t="s">
        <v>31</v>
      </c>
      <c r="O3" s="50" t="s">
        <v>31</v>
      </c>
      <c r="P3" s="97" t="s">
        <v>31</v>
      </c>
    </row>
    <row r="4" spans="1:16" ht="16.5" customHeight="1" thickBot="1" x14ac:dyDescent="0.35">
      <c r="A4" s="46" t="s">
        <v>30</v>
      </c>
      <c r="B4" s="132" t="s">
        <v>31</v>
      </c>
      <c r="C4" s="133" t="s">
        <v>31</v>
      </c>
      <c r="D4" s="133" t="s">
        <v>32</v>
      </c>
      <c r="E4" s="144" t="s">
        <v>31</v>
      </c>
      <c r="F4" s="134" t="s">
        <v>33</v>
      </c>
      <c r="G4" s="145" t="s">
        <v>34</v>
      </c>
      <c r="H4" s="133" t="s">
        <v>34</v>
      </c>
      <c r="I4" s="135" t="s">
        <v>34</v>
      </c>
      <c r="J4" s="135" t="s">
        <v>34</v>
      </c>
      <c r="K4" s="135" t="s">
        <v>34</v>
      </c>
      <c r="L4" s="141" t="s">
        <v>32</v>
      </c>
      <c r="M4" s="136" t="s">
        <v>31</v>
      </c>
      <c r="N4" s="136" t="s">
        <v>32</v>
      </c>
      <c r="O4" s="137"/>
      <c r="P4" s="138" t="s">
        <v>35</v>
      </c>
    </row>
    <row r="5" spans="1:16" x14ac:dyDescent="0.3">
      <c r="A5" s="328" t="s">
        <v>36</v>
      </c>
      <c r="B5" s="111" t="s">
        <v>41</v>
      </c>
      <c r="C5" s="106" t="s">
        <v>72</v>
      </c>
      <c r="D5" s="154">
        <v>0.2</v>
      </c>
      <c r="E5" s="155">
        <v>0.72</v>
      </c>
      <c r="F5" s="156">
        <v>6.3000000000000007</v>
      </c>
      <c r="G5" s="157">
        <v>190</v>
      </c>
      <c r="H5" s="118">
        <f t="shared" ref="H5:H23" si="0">(G5*E5)/(1+E5)</f>
        <v>79.534883720930225</v>
      </c>
      <c r="I5" s="158">
        <f t="shared" ref="I5:I23" si="1">100+G5</f>
        <v>290</v>
      </c>
      <c r="J5" s="115">
        <f t="shared" ref="J5:J23" si="2">I5*E5/(1+E5)</f>
        <v>121.3953488372093</v>
      </c>
      <c r="K5" s="115">
        <f t="shared" ref="K5:K23" si="3">I5-J5</f>
        <v>168.6046511627907</v>
      </c>
      <c r="L5" s="121">
        <v>0.2</v>
      </c>
      <c r="M5" s="104">
        <v>854942.50000000023</v>
      </c>
      <c r="N5" s="56">
        <f>(M5-Calibration_Curve!$J$4)/Calibration_Curve!$I$4</f>
        <v>8.4873187484538732</v>
      </c>
      <c r="O5" s="105">
        <f t="shared" ref="O5:O23" si="4">N5/L5</f>
        <v>42.436593742269366</v>
      </c>
      <c r="P5" s="53">
        <f t="shared" ref="P5:P23" si="5">((H5*0.001)/(F5))*O5</f>
        <v>0.53574437282599197</v>
      </c>
    </row>
    <row r="6" spans="1:16" x14ac:dyDescent="0.3">
      <c r="A6" s="329"/>
      <c r="B6" s="112" t="s">
        <v>42</v>
      </c>
      <c r="C6" s="107" t="s">
        <v>72</v>
      </c>
      <c r="D6" s="149">
        <v>0.2</v>
      </c>
      <c r="E6" s="150">
        <v>1.78</v>
      </c>
      <c r="F6" s="151">
        <v>6.3000000000000007</v>
      </c>
      <c r="G6" s="348">
        <v>190</v>
      </c>
      <c r="H6" s="119">
        <f t="shared" si="0"/>
        <v>121.65467625899279</v>
      </c>
      <c r="I6" s="153">
        <f t="shared" si="1"/>
        <v>290</v>
      </c>
      <c r="J6" s="116">
        <f t="shared" si="2"/>
        <v>185.68345323741008</v>
      </c>
      <c r="K6" s="116">
        <f t="shared" si="3"/>
        <v>104.31654676258992</v>
      </c>
      <c r="L6" s="122">
        <v>0.2</v>
      </c>
      <c r="M6" s="100">
        <v>382687.8</v>
      </c>
      <c r="N6" s="51">
        <f>(M6-Calibration_Curve!$J$4)/Calibration_Curve!$I$4</f>
        <v>3.9308691332350421</v>
      </c>
      <c r="O6" s="101">
        <f t="shared" si="4"/>
        <v>19.65434566617521</v>
      </c>
      <c r="P6" s="54">
        <f t="shared" si="5"/>
        <v>0.3795306443017275</v>
      </c>
    </row>
    <row r="7" spans="1:16" x14ac:dyDescent="0.3">
      <c r="A7" s="329"/>
      <c r="B7" s="112" t="s">
        <v>43</v>
      </c>
      <c r="C7" s="107" t="s">
        <v>72</v>
      </c>
      <c r="D7" s="149">
        <v>0.2</v>
      </c>
      <c r="E7" s="150">
        <v>0.72</v>
      </c>
      <c r="F7" s="151">
        <v>11.7</v>
      </c>
      <c r="G7" s="152">
        <v>190</v>
      </c>
      <c r="H7" s="119">
        <f t="shared" si="0"/>
        <v>79.534883720930225</v>
      </c>
      <c r="I7" s="153">
        <f t="shared" si="1"/>
        <v>290</v>
      </c>
      <c r="J7" s="116">
        <f t="shared" si="2"/>
        <v>121.3953488372093</v>
      </c>
      <c r="K7" s="116">
        <f t="shared" si="3"/>
        <v>168.6046511627907</v>
      </c>
      <c r="L7" s="122">
        <v>0.2</v>
      </c>
      <c r="M7" s="100">
        <v>652977.99999999988</v>
      </c>
      <c r="N7" s="51">
        <f>(M7-Calibration_Curve!$J$4)/Calibration_Curve!$I$4</f>
        <v>6.5387069753728113</v>
      </c>
      <c r="O7" s="101">
        <f t="shared" si="4"/>
        <v>32.693534876864057</v>
      </c>
      <c r="P7" s="54">
        <f t="shared" si="5"/>
        <v>0.22224585426132992</v>
      </c>
    </row>
    <row r="8" spans="1:16" x14ac:dyDescent="0.3">
      <c r="A8" s="329"/>
      <c r="B8" s="112" t="s">
        <v>44</v>
      </c>
      <c r="C8" s="107" t="s">
        <v>72</v>
      </c>
      <c r="D8" s="149">
        <v>0.2</v>
      </c>
      <c r="E8" s="150">
        <v>1.78</v>
      </c>
      <c r="F8" s="151">
        <v>11.7</v>
      </c>
      <c r="G8" s="152">
        <v>190</v>
      </c>
      <c r="H8" s="119">
        <f t="shared" si="0"/>
        <v>121.65467625899279</v>
      </c>
      <c r="I8" s="153">
        <f t="shared" si="1"/>
        <v>290</v>
      </c>
      <c r="J8" s="116">
        <f t="shared" si="2"/>
        <v>185.68345323741008</v>
      </c>
      <c r="K8" s="116">
        <f t="shared" si="3"/>
        <v>104.31654676258992</v>
      </c>
      <c r="L8" s="122">
        <v>0.2</v>
      </c>
      <c r="M8" s="100">
        <v>646831.60000000009</v>
      </c>
      <c r="N8" s="51">
        <f>(M8-Calibration_Curve!$J$4)/Calibration_Curve!$I$4</f>
        <v>6.4794047346222587</v>
      </c>
      <c r="O8" s="101">
        <f t="shared" si="4"/>
        <v>32.397023673111292</v>
      </c>
      <c r="P8" s="54">
        <f t="shared" si="5"/>
        <v>0.33685892535959661</v>
      </c>
    </row>
    <row r="9" spans="1:16" x14ac:dyDescent="0.3">
      <c r="A9" s="329"/>
      <c r="B9" s="112" t="s">
        <v>45</v>
      </c>
      <c r="C9" s="107" t="s">
        <v>72</v>
      </c>
      <c r="D9" s="149">
        <v>0.2</v>
      </c>
      <c r="E9" s="150">
        <v>0.72</v>
      </c>
      <c r="F9" s="151">
        <v>6.3000000000000007</v>
      </c>
      <c r="G9" s="152">
        <v>410</v>
      </c>
      <c r="H9" s="119">
        <f t="shared" si="0"/>
        <v>171.62790697674419</v>
      </c>
      <c r="I9" s="153">
        <f t="shared" si="1"/>
        <v>510</v>
      </c>
      <c r="J9" s="116">
        <f t="shared" si="2"/>
        <v>213.48837209302326</v>
      </c>
      <c r="K9" s="116">
        <f t="shared" si="3"/>
        <v>296.51162790697674</v>
      </c>
      <c r="L9" s="122">
        <v>0.2</v>
      </c>
      <c r="M9" s="100">
        <v>472601.59999999992</v>
      </c>
      <c r="N9" s="51">
        <f>(M9-Calibration_Curve!$J$4)/Calibration_Curve!$I$4</f>
        <v>4.7983834203620148</v>
      </c>
      <c r="O9" s="101">
        <f t="shared" si="4"/>
        <v>23.991917101810074</v>
      </c>
      <c r="P9" s="54">
        <f t="shared" si="5"/>
        <v>0.65360039945130421</v>
      </c>
    </row>
    <row r="10" spans="1:16" x14ac:dyDescent="0.3">
      <c r="A10" s="329"/>
      <c r="B10" s="112" t="s">
        <v>46</v>
      </c>
      <c r="C10" s="107" t="s">
        <v>72</v>
      </c>
      <c r="D10" s="149">
        <v>0.2</v>
      </c>
      <c r="E10" s="150">
        <v>1.78</v>
      </c>
      <c r="F10" s="151">
        <v>6.3000000000000007</v>
      </c>
      <c r="G10" s="152">
        <v>410</v>
      </c>
      <c r="H10" s="119">
        <f t="shared" si="0"/>
        <v>262.51798561151077</v>
      </c>
      <c r="I10" s="153">
        <f t="shared" si="1"/>
        <v>510</v>
      </c>
      <c r="J10" s="116">
        <f t="shared" si="2"/>
        <v>326.54676258992805</v>
      </c>
      <c r="K10" s="116">
        <f t="shared" si="3"/>
        <v>183.45323741007195</v>
      </c>
      <c r="L10" s="122">
        <v>0.2</v>
      </c>
      <c r="M10" s="100">
        <v>309910</v>
      </c>
      <c r="N10" s="51">
        <f>(M10-Calibration_Curve!$J$4)/Calibration_Curve!$I$4</f>
        <v>3.2286879187199236</v>
      </c>
      <c r="O10" s="101">
        <f t="shared" si="4"/>
        <v>16.143439593599616</v>
      </c>
      <c r="P10" s="54">
        <f t="shared" si="5"/>
        <v>0.67268940364331387</v>
      </c>
    </row>
    <row r="11" spans="1:16" x14ac:dyDescent="0.3">
      <c r="A11" s="329"/>
      <c r="B11" s="112" t="s">
        <v>47</v>
      </c>
      <c r="C11" s="107" t="s">
        <v>72</v>
      </c>
      <c r="D11" s="149">
        <v>0.2</v>
      </c>
      <c r="E11" s="150">
        <v>0.72</v>
      </c>
      <c r="F11" s="151">
        <v>11.7</v>
      </c>
      <c r="G11" s="152">
        <v>410</v>
      </c>
      <c r="H11" s="119">
        <f t="shared" si="0"/>
        <v>171.62790697674419</v>
      </c>
      <c r="I11" s="153">
        <f t="shared" si="1"/>
        <v>510</v>
      </c>
      <c r="J11" s="116">
        <f t="shared" si="2"/>
        <v>213.48837209302326</v>
      </c>
      <c r="K11" s="116">
        <f t="shared" si="3"/>
        <v>296.51162790697674</v>
      </c>
      <c r="L11" s="122">
        <v>0.2</v>
      </c>
      <c r="M11" s="100">
        <v>638755.10000000009</v>
      </c>
      <c r="N11" s="51">
        <f>(M11-Calibration_Curve!$J$4)/Calibration_Curve!$I$4</f>
        <v>6.4014803321392026</v>
      </c>
      <c r="O11" s="101">
        <f t="shared" si="4"/>
        <v>32.007401660696011</v>
      </c>
      <c r="P11" s="54">
        <f t="shared" si="5"/>
        <v>0.46951823545207028</v>
      </c>
    </row>
    <row r="12" spans="1:16" x14ac:dyDescent="0.3">
      <c r="A12" s="329"/>
      <c r="B12" s="112" t="s">
        <v>48</v>
      </c>
      <c r="C12" s="107" t="s">
        <v>72</v>
      </c>
      <c r="D12" s="149">
        <v>0.2</v>
      </c>
      <c r="E12" s="150">
        <v>1.78</v>
      </c>
      <c r="F12" s="151">
        <v>11.7</v>
      </c>
      <c r="G12" s="152">
        <v>410</v>
      </c>
      <c r="H12" s="119">
        <f t="shared" si="0"/>
        <v>262.51798561151077</v>
      </c>
      <c r="I12" s="153">
        <f t="shared" si="1"/>
        <v>510</v>
      </c>
      <c r="J12" s="116">
        <f t="shared" si="2"/>
        <v>326.54676258992805</v>
      </c>
      <c r="K12" s="116">
        <f t="shared" si="3"/>
        <v>183.45323741007195</v>
      </c>
      <c r="L12" s="122">
        <v>0.2</v>
      </c>
      <c r="M12" s="100">
        <v>362839.40000000014</v>
      </c>
      <c r="N12" s="51">
        <f>(M12-Calibration_Curve!$J$4)/Calibration_Curve!$I$4</f>
        <v>3.739366042757152</v>
      </c>
      <c r="O12" s="101">
        <f t="shared" si="4"/>
        <v>18.696830213785759</v>
      </c>
      <c r="P12" s="54">
        <f t="shared" si="5"/>
        <v>0.41950890641397182</v>
      </c>
    </row>
    <row r="13" spans="1:16" x14ac:dyDescent="0.3">
      <c r="A13" s="329"/>
      <c r="B13" s="112" t="s">
        <v>49</v>
      </c>
      <c r="C13" s="107" t="s">
        <v>72</v>
      </c>
      <c r="D13" s="149">
        <v>0.2</v>
      </c>
      <c r="E13" s="150">
        <v>0.3586497998310626</v>
      </c>
      <c r="F13" s="151">
        <v>9</v>
      </c>
      <c r="G13" s="152">
        <v>300</v>
      </c>
      <c r="H13" s="119">
        <f t="shared" si="0"/>
        <v>79.19254833931258</v>
      </c>
      <c r="I13" s="153">
        <f t="shared" si="1"/>
        <v>400</v>
      </c>
      <c r="J13" s="116">
        <f t="shared" si="2"/>
        <v>105.59006445241677</v>
      </c>
      <c r="K13" s="116">
        <f t="shared" si="3"/>
        <v>294.40993554758325</v>
      </c>
      <c r="L13" s="122">
        <v>0.2</v>
      </c>
      <c r="M13" s="100">
        <v>1052077.9999999998</v>
      </c>
      <c r="N13" s="51">
        <f>(M13-Calibration_Curve!$J$4)/Calibration_Curve!$I$4</f>
        <v>10.389338936121607</v>
      </c>
      <c r="O13" s="101">
        <f t="shared" si="4"/>
        <v>51.946694680608033</v>
      </c>
      <c r="P13" s="54">
        <f t="shared" si="5"/>
        <v>0.45708790328461818</v>
      </c>
    </row>
    <row r="14" spans="1:16" x14ac:dyDescent="0.3">
      <c r="A14" s="329"/>
      <c r="B14" s="112" t="s">
        <v>50</v>
      </c>
      <c r="C14" s="107" t="s">
        <v>72</v>
      </c>
      <c r="D14" s="149">
        <v>0.2</v>
      </c>
      <c r="E14" s="150">
        <v>2.1413502001689375</v>
      </c>
      <c r="F14" s="151">
        <v>9</v>
      </c>
      <c r="G14" s="152">
        <v>300</v>
      </c>
      <c r="H14" s="119">
        <f t="shared" si="0"/>
        <v>204.49966387578615</v>
      </c>
      <c r="I14" s="153">
        <f t="shared" si="1"/>
        <v>400</v>
      </c>
      <c r="J14" s="116">
        <f t="shared" si="2"/>
        <v>272.66621850104821</v>
      </c>
      <c r="K14" s="116">
        <f t="shared" si="3"/>
        <v>127.33378149895179</v>
      </c>
      <c r="L14" s="122">
        <v>0.2</v>
      </c>
      <c r="M14" s="100">
        <v>446304.5</v>
      </c>
      <c r="N14" s="51">
        <f>(M14-Calibration_Curve!$J$4)/Calibration_Curve!$I$4</f>
        <v>4.5446614115045687</v>
      </c>
      <c r="O14" s="101">
        <f t="shared" si="4"/>
        <v>22.723307057522842</v>
      </c>
      <c r="P14" s="54">
        <f t="shared" si="5"/>
        <v>0.51632318393441123</v>
      </c>
    </row>
    <row r="15" spans="1:16" x14ac:dyDescent="0.3">
      <c r="A15" s="329"/>
      <c r="B15" s="112" t="s">
        <v>51</v>
      </c>
      <c r="C15" s="107" t="s">
        <v>72</v>
      </c>
      <c r="D15" s="149">
        <v>0.2</v>
      </c>
      <c r="E15" s="150">
        <v>1.25</v>
      </c>
      <c r="F15" s="151">
        <v>4.4591593576299431</v>
      </c>
      <c r="G15" s="152">
        <v>300</v>
      </c>
      <c r="H15" s="119">
        <f t="shared" si="0"/>
        <v>166.66666666666666</v>
      </c>
      <c r="I15" s="153">
        <f t="shared" si="1"/>
        <v>400</v>
      </c>
      <c r="J15" s="116">
        <f t="shared" si="2"/>
        <v>222.22222222222223</v>
      </c>
      <c r="K15" s="116">
        <f t="shared" si="3"/>
        <v>177.77777777777777</v>
      </c>
      <c r="L15" s="122">
        <v>0.2</v>
      </c>
      <c r="M15" s="100">
        <v>355159.10000000009</v>
      </c>
      <c r="N15" s="51">
        <f>(M15-Calibration_Curve!$J$4)/Calibration_Curve!$I$4</f>
        <v>3.6652642921980463</v>
      </c>
      <c r="O15" s="101">
        <f t="shared" si="4"/>
        <v>18.326321460990229</v>
      </c>
      <c r="P15" s="54">
        <f t="shared" si="5"/>
        <v>0.68496922069823807</v>
      </c>
    </row>
    <row r="16" spans="1:16" x14ac:dyDescent="0.3">
      <c r="A16" s="329"/>
      <c r="B16" s="112" t="s">
        <v>52</v>
      </c>
      <c r="C16" s="107" t="s">
        <v>72</v>
      </c>
      <c r="D16" s="149">
        <v>0.2</v>
      </c>
      <c r="E16" s="150">
        <v>1.25</v>
      </c>
      <c r="F16" s="151">
        <v>13.540840642370057</v>
      </c>
      <c r="G16" s="152">
        <v>300</v>
      </c>
      <c r="H16" s="119">
        <f t="shared" si="0"/>
        <v>166.66666666666666</v>
      </c>
      <c r="I16" s="153">
        <f t="shared" si="1"/>
        <v>400</v>
      </c>
      <c r="J16" s="116">
        <f t="shared" si="2"/>
        <v>222.22222222222223</v>
      </c>
      <c r="K16" s="116">
        <f t="shared" si="3"/>
        <v>177.77777777777777</v>
      </c>
      <c r="L16" s="122">
        <v>0.2</v>
      </c>
      <c r="M16" s="100">
        <v>463700.9</v>
      </c>
      <c r="N16" s="51">
        <f>(M16-Calibration_Curve!$J$4)/Calibration_Curve!$I$4</f>
        <v>4.7125068984551328</v>
      </c>
      <c r="O16" s="101">
        <f t="shared" si="4"/>
        <v>23.562534492275663</v>
      </c>
      <c r="P16" s="54">
        <f t="shared" si="5"/>
        <v>0.29001811525333659</v>
      </c>
    </row>
    <row r="17" spans="1:16" x14ac:dyDescent="0.3">
      <c r="A17" s="329"/>
      <c r="B17" s="112" t="s">
        <v>53</v>
      </c>
      <c r="C17" s="107" t="s">
        <v>72</v>
      </c>
      <c r="D17" s="149">
        <v>0.2</v>
      </c>
      <c r="E17" s="150">
        <v>1.25</v>
      </c>
      <c r="F17" s="151">
        <v>9</v>
      </c>
      <c r="G17" s="152">
        <v>115.0027886441828</v>
      </c>
      <c r="H17" s="119">
        <f t="shared" si="0"/>
        <v>63.890438135657114</v>
      </c>
      <c r="I17" s="153">
        <f t="shared" si="1"/>
        <v>215.0027886441828</v>
      </c>
      <c r="J17" s="116">
        <f t="shared" si="2"/>
        <v>119.44599369121266</v>
      </c>
      <c r="K17" s="116">
        <f t="shared" si="3"/>
        <v>95.556794952970137</v>
      </c>
      <c r="L17" s="122">
        <v>0.2</v>
      </c>
      <c r="M17" s="100">
        <v>740086.14636015322</v>
      </c>
      <c r="N17" s="51">
        <f>(M17-Calibration_Curve!$J$4)/Calibration_Curve!$I$4</f>
        <v>7.3791515066080668</v>
      </c>
      <c r="O17" s="101">
        <f t="shared" si="4"/>
        <v>36.895757533040332</v>
      </c>
      <c r="P17" s="54">
        <f t="shared" si="5"/>
        <v>0.26192067934810204</v>
      </c>
    </row>
    <row r="18" spans="1:16" x14ac:dyDescent="0.3">
      <c r="A18" s="329"/>
      <c r="B18" s="112" t="s">
        <v>54</v>
      </c>
      <c r="C18" s="107" t="s">
        <v>72</v>
      </c>
      <c r="D18" s="149">
        <v>0.2</v>
      </c>
      <c r="E18" s="150">
        <v>1.25</v>
      </c>
      <c r="F18" s="151">
        <v>9</v>
      </c>
      <c r="G18" s="152">
        <v>484.99721135581717</v>
      </c>
      <c r="H18" s="119">
        <f t="shared" si="0"/>
        <v>269.44289519767619</v>
      </c>
      <c r="I18" s="153">
        <f t="shared" si="1"/>
        <v>584.99721135581717</v>
      </c>
      <c r="J18" s="116">
        <f t="shared" si="2"/>
        <v>324.99845075323174</v>
      </c>
      <c r="K18" s="116">
        <f t="shared" si="3"/>
        <v>259.99876060258543</v>
      </c>
      <c r="L18" s="122">
        <v>0.2</v>
      </c>
      <c r="M18" s="100">
        <v>268270.60000000003</v>
      </c>
      <c r="N18" s="51">
        <f>(M18-Calibration_Curve!$J$4)/Calibration_Curve!$I$4</f>
        <v>2.8269389724247511</v>
      </c>
      <c r="O18" s="101">
        <f t="shared" si="4"/>
        <v>14.134694862123755</v>
      </c>
      <c r="P18" s="54">
        <f t="shared" si="5"/>
        <v>0.42316590070959376</v>
      </c>
    </row>
    <row r="19" spans="1:16" x14ac:dyDescent="0.3">
      <c r="A19" s="329"/>
      <c r="B19" s="112" t="s">
        <v>55</v>
      </c>
      <c r="C19" s="107" t="s">
        <v>72</v>
      </c>
      <c r="D19" s="149">
        <v>0.2</v>
      </c>
      <c r="E19" s="231">
        <v>1.25</v>
      </c>
      <c r="F19" s="232">
        <v>9</v>
      </c>
      <c r="G19" s="233">
        <v>300</v>
      </c>
      <c r="H19" s="119">
        <f t="shared" si="0"/>
        <v>166.66666666666666</v>
      </c>
      <c r="I19" s="153">
        <f t="shared" si="1"/>
        <v>400</v>
      </c>
      <c r="J19" s="116">
        <f t="shared" si="2"/>
        <v>222.22222222222223</v>
      </c>
      <c r="K19" s="116">
        <f t="shared" si="3"/>
        <v>177.77777777777777</v>
      </c>
      <c r="L19" s="122">
        <v>0.2</v>
      </c>
      <c r="M19" s="100">
        <v>555202.5</v>
      </c>
      <c r="N19" s="51">
        <f>(M19-Calibration_Curve!$J$4)/Calibration_Curve!$I$4</f>
        <v>5.5953407381435625</v>
      </c>
      <c r="O19" s="101">
        <f t="shared" si="4"/>
        <v>27.976703690717812</v>
      </c>
      <c r="P19" s="54">
        <f t="shared" si="5"/>
        <v>0.5180871053836632</v>
      </c>
    </row>
    <row r="20" spans="1:16" x14ac:dyDescent="0.3">
      <c r="A20" s="329"/>
      <c r="B20" s="112" t="s">
        <v>56</v>
      </c>
      <c r="C20" s="107" t="s">
        <v>72</v>
      </c>
      <c r="D20" s="149">
        <v>0.2</v>
      </c>
      <c r="E20" s="231">
        <v>1.25</v>
      </c>
      <c r="F20" s="232">
        <v>9</v>
      </c>
      <c r="G20" s="233">
        <v>300</v>
      </c>
      <c r="H20" s="119">
        <f t="shared" si="0"/>
        <v>166.66666666666666</v>
      </c>
      <c r="I20" s="153">
        <f t="shared" si="1"/>
        <v>400</v>
      </c>
      <c r="J20" s="116">
        <f t="shared" si="2"/>
        <v>222.22222222222223</v>
      </c>
      <c r="K20" s="116">
        <f t="shared" si="3"/>
        <v>177.77777777777777</v>
      </c>
      <c r="L20" s="122">
        <v>0.2</v>
      </c>
      <c r="M20" s="100">
        <v>536360</v>
      </c>
      <c r="N20" s="51">
        <f>(M20-Calibration_Curve!$J$4)/Calibration_Curve!$I$4</f>
        <v>5.4135428611192342</v>
      </c>
      <c r="O20" s="101">
        <f t="shared" si="4"/>
        <v>27.067714305596169</v>
      </c>
      <c r="P20" s="54">
        <f t="shared" si="5"/>
        <v>0.50125396862215121</v>
      </c>
    </row>
    <row r="21" spans="1:16" x14ac:dyDescent="0.3">
      <c r="A21" s="329"/>
      <c r="B21" s="112" t="s">
        <v>57</v>
      </c>
      <c r="C21" s="107" t="s">
        <v>72</v>
      </c>
      <c r="D21" s="149">
        <v>0.2</v>
      </c>
      <c r="E21" s="231">
        <v>1.25</v>
      </c>
      <c r="F21" s="232">
        <v>9</v>
      </c>
      <c r="G21" s="233">
        <v>300</v>
      </c>
      <c r="H21" s="119">
        <f t="shared" si="0"/>
        <v>166.66666666666666</v>
      </c>
      <c r="I21" s="153">
        <f t="shared" si="1"/>
        <v>400</v>
      </c>
      <c r="J21" s="116">
        <f t="shared" si="2"/>
        <v>222.22222222222223</v>
      </c>
      <c r="K21" s="116">
        <f t="shared" si="3"/>
        <v>177.77777777777777</v>
      </c>
      <c r="L21" s="122">
        <v>0.2</v>
      </c>
      <c r="M21" s="100">
        <v>538101.80000000016</v>
      </c>
      <c r="N21" s="51">
        <f>(M21-Calibration_Curve!$J$4)/Calibration_Curve!$I$4</f>
        <v>5.4303482501175626</v>
      </c>
      <c r="O21" s="101">
        <f t="shared" si="4"/>
        <v>27.151741250587811</v>
      </c>
      <c r="P21" s="54">
        <f t="shared" si="5"/>
        <v>0.50281002315903356</v>
      </c>
    </row>
    <row r="22" spans="1:16" x14ac:dyDescent="0.3">
      <c r="A22" s="329"/>
      <c r="B22" s="112" t="s">
        <v>65</v>
      </c>
      <c r="C22" s="107" t="s">
        <v>72</v>
      </c>
      <c r="D22" s="149">
        <v>0.2</v>
      </c>
      <c r="E22" s="231">
        <v>1.25</v>
      </c>
      <c r="F22" s="232">
        <v>9</v>
      </c>
      <c r="G22" s="233">
        <v>300</v>
      </c>
      <c r="H22" s="119">
        <f t="shared" si="0"/>
        <v>166.66666666666666</v>
      </c>
      <c r="I22" s="153">
        <f t="shared" si="1"/>
        <v>400</v>
      </c>
      <c r="J22" s="116">
        <f t="shared" si="2"/>
        <v>222.22222222222223</v>
      </c>
      <c r="K22" s="116">
        <f t="shared" si="3"/>
        <v>177.77777777777777</v>
      </c>
      <c r="L22" s="122">
        <v>0.2</v>
      </c>
      <c r="M22" s="100">
        <v>523354.7</v>
      </c>
      <c r="N22" s="51">
        <f>(M22-Calibration_Curve!$J$4)/Calibration_Curve!$I$4</f>
        <v>5.2880639740254569</v>
      </c>
      <c r="O22" s="101">
        <f t="shared" si="4"/>
        <v>26.440319870127283</v>
      </c>
      <c r="P22" s="54">
        <f t="shared" si="5"/>
        <v>0.48963555315050522</v>
      </c>
    </row>
    <row r="23" spans="1:16" ht="15" thickBot="1" x14ac:dyDescent="0.35">
      <c r="A23" s="330"/>
      <c r="B23" s="113" t="s">
        <v>66</v>
      </c>
      <c r="C23" s="108" t="s">
        <v>72</v>
      </c>
      <c r="D23" s="159">
        <v>0.2</v>
      </c>
      <c r="E23" s="234">
        <v>1.25</v>
      </c>
      <c r="F23" s="235">
        <v>9</v>
      </c>
      <c r="G23" s="236">
        <v>300</v>
      </c>
      <c r="H23" s="120">
        <f t="shared" si="0"/>
        <v>166.66666666666666</v>
      </c>
      <c r="I23" s="163">
        <f t="shared" si="1"/>
        <v>400</v>
      </c>
      <c r="J23" s="117">
        <f t="shared" si="2"/>
        <v>222.22222222222223</v>
      </c>
      <c r="K23" s="117">
        <f t="shared" si="3"/>
        <v>177.77777777777777</v>
      </c>
      <c r="L23" s="124">
        <v>0.2</v>
      </c>
      <c r="M23" s="102">
        <v>539997.00000000012</v>
      </c>
      <c r="N23" s="52">
        <f>(M23-Calibration_Curve!$J$4)/Calibration_Curve!$I$4</f>
        <v>5.4486336865796297</v>
      </c>
      <c r="O23" s="103">
        <f t="shared" si="4"/>
        <v>27.243168432898148</v>
      </c>
      <c r="P23" s="55">
        <f t="shared" si="5"/>
        <v>0.50450311912774348</v>
      </c>
    </row>
  </sheetData>
  <mergeCells count="4">
    <mergeCell ref="L1:P1"/>
    <mergeCell ref="H1:K1"/>
    <mergeCell ref="A5:A23"/>
    <mergeCell ref="E1:G1"/>
  </mergeCells>
  <phoneticPr fontId="7" type="noConversion"/>
  <conditionalFormatting sqref="O5:O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D889-4F37-4678-B4DE-61E2EDBD13B5}">
  <dimension ref="A1:R50"/>
  <sheetViews>
    <sheetView zoomScale="70" zoomScaleNormal="70" workbookViewId="0">
      <selection activeCell="K32" sqref="K32"/>
    </sheetView>
  </sheetViews>
  <sheetFormatPr baseColWidth="10" defaultRowHeight="14.4" x14ac:dyDescent="0.3"/>
  <cols>
    <col min="2" max="2" width="15.44140625" customWidth="1"/>
    <col min="3" max="3" width="14" customWidth="1"/>
    <col min="4" max="4" width="16.44140625" customWidth="1"/>
    <col min="5" max="7" width="13.88671875" customWidth="1"/>
    <col min="8" max="8" width="13.5546875" bestFit="1" customWidth="1"/>
    <col min="9" max="11" width="13.5546875" customWidth="1"/>
    <col min="12" max="12" width="18" customWidth="1"/>
    <col min="13" max="13" width="18.33203125" bestFit="1" customWidth="1"/>
    <col min="14" max="14" width="16" customWidth="1"/>
    <col min="15" max="16" width="12.5546875" customWidth="1"/>
  </cols>
  <sheetData>
    <row r="1" spans="1:18" ht="15" thickBot="1" x14ac:dyDescent="0.35">
      <c r="A1" s="3"/>
      <c r="B1" s="3"/>
      <c r="C1" s="3"/>
      <c r="D1" s="3"/>
      <c r="E1" s="317" t="s">
        <v>12</v>
      </c>
      <c r="F1" s="318"/>
      <c r="G1" s="319"/>
      <c r="H1" s="320" t="s">
        <v>116</v>
      </c>
      <c r="I1" s="321"/>
      <c r="J1" s="321"/>
      <c r="K1" s="322"/>
      <c r="L1" s="309" t="s">
        <v>109</v>
      </c>
      <c r="M1" s="310"/>
      <c r="N1" s="310"/>
      <c r="O1" s="310"/>
      <c r="P1" s="311"/>
    </row>
    <row r="2" spans="1:18" ht="43.2" x14ac:dyDescent="0.3">
      <c r="A2" s="47"/>
      <c r="B2" s="109" t="s">
        <v>6</v>
      </c>
      <c r="C2" s="126" t="s">
        <v>119</v>
      </c>
      <c r="D2" s="126" t="s">
        <v>106</v>
      </c>
      <c r="E2" s="142" t="s">
        <v>91</v>
      </c>
      <c r="F2" s="127" t="s">
        <v>90</v>
      </c>
      <c r="G2" s="143" t="s">
        <v>89</v>
      </c>
      <c r="H2" s="126" t="s">
        <v>8</v>
      </c>
      <c r="I2" s="128" t="s">
        <v>27</v>
      </c>
      <c r="J2" s="128" t="s">
        <v>7</v>
      </c>
      <c r="K2" s="128" t="s">
        <v>28</v>
      </c>
      <c r="L2" s="139" t="s">
        <v>107</v>
      </c>
      <c r="M2" s="129" t="s">
        <v>5</v>
      </c>
      <c r="N2" s="129" t="s">
        <v>9</v>
      </c>
      <c r="O2" s="130" t="s">
        <v>127</v>
      </c>
      <c r="P2" s="131" t="s">
        <v>92</v>
      </c>
    </row>
    <row r="3" spans="1:18" ht="16.5" customHeight="1" x14ac:dyDescent="0.3">
      <c r="A3" s="168" t="s">
        <v>37</v>
      </c>
      <c r="B3" s="110" t="s">
        <v>31</v>
      </c>
      <c r="C3" s="125" t="s">
        <v>70</v>
      </c>
      <c r="D3" s="125" t="s">
        <v>31</v>
      </c>
      <c r="E3" s="98" t="s">
        <v>38</v>
      </c>
      <c r="F3" s="48" t="s">
        <v>39</v>
      </c>
      <c r="G3" s="99" t="s">
        <v>40</v>
      </c>
      <c r="H3" s="125" t="s">
        <v>58</v>
      </c>
      <c r="I3" s="49" t="s">
        <v>31</v>
      </c>
      <c r="J3" s="49" t="s">
        <v>31</v>
      </c>
      <c r="K3" s="49" t="s">
        <v>31</v>
      </c>
      <c r="L3" s="140" t="s">
        <v>71</v>
      </c>
      <c r="M3" s="69"/>
      <c r="N3" s="69" t="s">
        <v>31</v>
      </c>
      <c r="O3" s="50" t="s">
        <v>31</v>
      </c>
      <c r="P3" s="97" t="s">
        <v>31</v>
      </c>
    </row>
    <row r="4" spans="1:18" ht="16.5" customHeight="1" thickBot="1" x14ac:dyDescent="0.35">
      <c r="A4" s="46" t="s">
        <v>30</v>
      </c>
      <c r="B4" s="132" t="s">
        <v>31</v>
      </c>
      <c r="C4" s="133" t="s">
        <v>31</v>
      </c>
      <c r="D4" s="133" t="s">
        <v>32</v>
      </c>
      <c r="E4" s="144" t="s">
        <v>31</v>
      </c>
      <c r="F4" s="134" t="s">
        <v>33</v>
      </c>
      <c r="G4" s="145" t="s">
        <v>34</v>
      </c>
      <c r="H4" s="133" t="s">
        <v>34</v>
      </c>
      <c r="I4" s="135" t="s">
        <v>34</v>
      </c>
      <c r="J4" s="135" t="s">
        <v>34</v>
      </c>
      <c r="K4" s="135" t="s">
        <v>34</v>
      </c>
      <c r="L4" s="141" t="s">
        <v>32</v>
      </c>
      <c r="M4" s="136" t="s">
        <v>31</v>
      </c>
      <c r="N4" s="136" t="s">
        <v>32</v>
      </c>
      <c r="O4" s="137"/>
      <c r="P4" s="138" t="s">
        <v>35</v>
      </c>
    </row>
    <row r="5" spans="1:18" ht="16.5" customHeight="1" x14ac:dyDescent="0.3">
      <c r="A5" s="314" t="s">
        <v>92</v>
      </c>
      <c r="B5" s="114" t="s">
        <v>135</v>
      </c>
      <c r="C5" s="107" t="s">
        <v>75</v>
      </c>
      <c r="D5" s="149">
        <v>0.2</v>
      </c>
      <c r="E5" s="150">
        <v>1.25</v>
      </c>
      <c r="F5" s="151">
        <v>4.54</v>
      </c>
      <c r="G5" s="152">
        <v>334.46</v>
      </c>
      <c r="H5" s="119">
        <f t="shared" ref="H5:H15" si="0">(G5*E5)/(1+E5)</f>
        <v>185.8111111111111</v>
      </c>
      <c r="I5" s="153">
        <f t="shared" ref="I5:I15" si="1">100+G5</f>
        <v>434.46</v>
      </c>
      <c r="J5" s="116">
        <f t="shared" ref="J5:J15" si="2">I5*E5/(1+E5)</f>
        <v>241.36666666666665</v>
      </c>
      <c r="K5" s="116">
        <f t="shared" ref="K5:K15" si="3">I5-J5</f>
        <v>193.09333333333333</v>
      </c>
      <c r="L5" s="122">
        <v>0.2</v>
      </c>
      <c r="M5" s="100">
        <v>257205</v>
      </c>
      <c r="N5" s="51">
        <f>(M5-Calibration_Curve!$J$4)/Calibration_Curve!$I$4</f>
        <v>2.7201748706335658</v>
      </c>
      <c r="O5" s="101">
        <f>N5/L5</f>
        <v>13.600874353167828</v>
      </c>
      <c r="P5" s="54">
        <f t="shared" ref="P5:P16" si="4">((H5*0.001)/(F5))*O5</f>
        <v>0.55665056732262741</v>
      </c>
    </row>
    <row r="6" spans="1:18" ht="16.5" customHeight="1" x14ac:dyDescent="0.3">
      <c r="A6" s="315"/>
      <c r="B6" s="114" t="s">
        <v>135</v>
      </c>
      <c r="C6" s="107" t="s">
        <v>72</v>
      </c>
      <c r="D6" s="149">
        <v>0.2</v>
      </c>
      <c r="E6" s="150">
        <v>1.25</v>
      </c>
      <c r="F6" s="151">
        <v>4.54</v>
      </c>
      <c r="G6" s="152">
        <v>334.46</v>
      </c>
      <c r="H6" s="119">
        <f t="shared" si="0"/>
        <v>185.8111111111111</v>
      </c>
      <c r="I6" s="153">
        <f t="shared" si="1"/>
        <v>434.46</v>
      </c>
      <c r="J6" s="116">
        <f t="shared" si="2"/>
        <v>241.36666666666665</v>
      </c>
      <c r="K6" s="116">
        <f t="shared" si="3"/>
        <v>193.09333333333333</v>
      </c>
      <c r="L6" s="122">
        <v>0.2</v>
      </c>
      <c r="M6" s="100">
        <v>310079</v>
      </c>
      <c r="N6" s="51">
        <f>(M6-Calibration_Curve!$J$4)/Calibration_Curve!$I$4</f>
        <v>3.2303184794850615</v>
      </c>
      <c r="O6" s="101">
        <f t="shared" ref="O6:O14" si="5">N6/L6</f>
        <v>16.151592397425308</v>
      </c>
      <c r="P6" s="54">
        <f t="shared" si="4"/>
        <v>0.66104522677959709</v>
      </c>
    </row>
    <row r="7" spans="1:18" ht="16.5" customHeight="1" x14ac:dyDescent="0.3">
      <c r="A7" s="315"/>
      <c r="B7" s="114" t="s">
        <v>135</v>
      </c>
      <c r="C7" s="107" t="s">
        <v>73</v>
      </c>
      <c r="D7" s="149">
        <v>0.2</v>
      </c>
      <c r="E7" s="150">
        <v>1.25</v>
      </c>
      <c r="F7" s="151">
        <v>4.54</v>
      </c>
      <c r="G7" s="152">
        <v>334.46</v>
      </c>
      <c r="H7" s="119">
        <f t="shared" si="0"/>
        <v>185.8111111111111</v>
      </c>
      <c r="I7" s="153">
        <f t="shared" si="1"/>
        <v>434.46</v>
      </c>
      <c r="J7" s="116">
        <f t="shared" si="2"/>
        <v>241.36666666666665</v>
      </c>
      <c r="K7" s="116">
        <f t="shared" si="3"/>
        <v>193.09333333333333</v>
      </c>
      <c r="L7" s="122">
        <v>0.2</v>
      </c>
      <c r="M7" s="100">
        <v>296997</v>
      </c>
      <c r="N7" s="51">
        <f>(M7-Calibration_Curve!$J$4)/Calibration_Curve!$I$4</f>
        <v>3.1040995686594144</v>
      </c>
      <c r="O7" s="101">
        <f t="shared" si="5"/>
        <v>15.520497843297072</v>
      </c>
      <c r="P7" s="54">
        <f t="shared" si="4"/>
        <v>0.63521606811908193</v>
      </c>
      <c r="Q7" s="91"/>
      <c r="R7" s="91"/>
    </row>
    <row r="8" spans="1:18" ht="16.5" customHeight="1" x14ac:dyDescent="0.3">
      <c r="A8" s="315"/>
      <c r="B8" s="114" t="s">
        <v>135</v>
      </c>
      <c r="C8" s="107" t="s">
        <v>74</v>
      </c>
      <c r="D8" s="149">
        <v>0.2</v>
      </c>
      <c r="E8" s="150">
        <v>1.25</v>
      </c>
      <c r="F8" s="151">
        <v>4.54</v>
      </c>
      <c r="G8" s="152">
        <v>334.46</v>
      </c>
      <c r="H8" s="119">
        <f t="shared" si="0"/>
        <v>185.8111111111111</v>
      </c>
      <c r="I8" s="153">
        <f t="shared" si="1"/>
        <v>434.46</v>
      </c>
      <c r="J8" s="116">
        <f t="shared" si="2"/>
        <v>241.36666666666665</v>
      </c>
      <c r="K8" s="116">
        <f t="shared" si="3"/>
        <v>193.09333333333333</v>
      </c>
      <c r="L8" s="122">
        <v>0.2</v>
      </c>
      <c r="M8" s="100">
        <v>293004</v>
      </c>
      <c r="N8" s="51">
        <f>(M8-Calibration_Curve!$J$4)/Calibration_Curve!$I$4</f>
        <v>3.065573952474824</v>
      </c>
      <c r="O8" s="101">
        <f t="shared" si="5"/>
        <v>15.327869762374119</v>
      </c>
      <c r="P8" s="54">
        <f t="shared" si="4"/>
        <v>0.6273322712584003</v>
      </c>
      <c r="Q8" s="91"/>
      <c r="R8" s="91"/>
    </row>
    <row r="9" spans="1:18" ht="16.5" customHeight="1" x14ac:dyDescent="0.3">
      <c r="A9" s="315"/>
      <c r="B9" s="114" t="s">
        <v>135</v>
      </c>
      <c r="C9" s="107" t="s">
        <v>72</v>
      </c>
      <c r="D9" s="149">
        <v>0.2</v>
      </c>
      <c r="E9" s="150">
        <v>1.25</v>
      </c>
      <c r="F9" s="151">
        <v>4.54</v>
      </c>
      <c r="G9" s="152">
        <v>334.46</v>
      </c>
      <c r="H9" s="119">
        <f t="shared" si="0"/>
        <v>185.8111111111111</v>
      </c>
      <c r="I9" s="153">
        <f t="shared" si="1"/>
        <v>434.46</v>
      </c>
      <c r="J9" s="116">
        <f t="shared" si="2"/>
        <v>241.36666666666665</v>
      </c>
      <c r="K9" s="116">
        <f t="shared" si="3"/>
        <v>193.09333333333333</v>
      </c>
      <c r="L9" s="122">
        <v>0.2</v>
      </c>
      <c r="M9" s="100">
        <v>278822</v>
      </c>
      <c r="N9" s="51">
        <f>(M9-Calibration_Curve!$J$4)/Calibration_Curve!$I$4</f>
        <v>2.9287419242429538</v>
      </c>
      <c r="O9" s="101">
        <f t="shared" si="5"/>
        <v>14.643709621214768</v>
      </c>
      <c r="P9" s="54">
        <f t="shared" si="4"/>
        <v>0.59933126773268364</v>
      </c>
      <c r="Q9" s="91"/>
      <c r="R9" s="91"/>
    </row>
    <row r="10" spans="1:18" ht="16.5" customHeight="1" thickBot="1" x14ac:dyDescent="0.35">
      <c r="A10" s="315"/>
      <c r="B10" s="114" t="s">
        <v>135</v>
      </c>
      <c r="C10" s="107" t="s">
        <v>72</v>
      </c>
      <c r="D10" s="149">
        <v>0.2</v>
      </c>
      <c r="E10" s="150">
        <v>1.25</v>
      </c>
      <c r="F10" s="151">
        <v>4.54</v>
      </c>
      <c r="G10" s="152">
        <v>334.46</v>
      </c>
      <c r="H10" s="119">
        <f t="shared" si="0"/>
        <v>185.8111111111111</v>
      </c>
      <c r="I10" s="153">
        <f t="shared" si="1"/>
        <v>434.46</v>
      </c>
      <c r="J10" s="116">
        <f t="shared" si="2"/>
        <v>241.36666666666665</v>
      </c>
      <c r="K10" s="116">
        <f t="shared" si="3"/>
        <v>193.09333333333333</v>
      </c>
      <c r="L10" s="122">
        <v>0.2</v>
      </c>
      <c r="M10" s="100">
        <v>276314</v>
      </c>
      <c r="N10" s="51">
        <f>(M10-Calibration_Curve!$J$4)/Calibration_Curve!$I$4</f>
        <v>2.9045440165567649</v>
      </c>
      <c r="O10" s="101">
        <f t="shared" si="5"/>
        <v>14.522720082783824</v>
      </c>
      <c r="P10" s="54">
        <f t="shared" si="4"/>
        <v>0.59437946144002407</v>
      </c>
      <c r="Q10" s="91"/>
      <c r="R10" s="91"/>
    </row>
    <row r="11" spans="1:18" ht="16.5" customHeight="1" x14ac:dyDescent="0.3">
      <c r="A11" s="314" t="s">
        <v>128</v>
      </c>
      <c r="B11" s="170" t="s">
        <v>134</v>
      </c>
      <c r="C11" s="106" t="s">
        <v>72</v>
      </c>
      <c r="D11" s="154">
        <v>0.2</v>
      </c>
      <c r="E11" s="155">
        <v>0.36</v>
      </c>
      <c r="F11" s="156">
        <v>9</v>
      </c>
      <c r="G11" s="157">
        <v>299.75</v>
      </c>
      <c r="H11" s="118">
        <f t="shared" si="0"/>
        <v>79.345588235294116</v>
      </c>
      <c r="I11" s="158">
        <f t="shared" si="1"/>
        <v>399.75</v>
      </c>
      <c r="J11" s="115">
        <f t="shared" si="2"/>
        <v>105.81617647058825</v>
      </c>
      <c r="K11" s="115">
        <f t="shared" si="3"/>
        <v>293.93382352941177</v>
      </c>
      <c r="L11" s="121">
        <v>0.2</v>
      </c>
      <c r="M11" s="104">
        <v>1064013</v>
      </c>
      <c r="N11" s="56">
        <f>(M11-Calibration_Curve!$J$4)/Calibration_Curve!$I$4</f>
        <v>10.504491259979131</v>
      </c>
      <c r="O11" s="105">
        <f t="shared" si="5"/>
        <v>52.522456299895651</v>
      </c>
      <c r="P11" s="53">
        <f t="shared" si="4"/>
        <v>0.46304724340863884</v>
      </c>
      <c r="Q11" s="91"/>
      <c r="R11" s="91"/>
    </row>
    <row r="12" spans="1:18" ht="16.5" customHeight="1" x14ac:dyDescent="0.3">
      <c r="A12" s="315"/>
      <c r="B12" s="114" t="s">
        <v>134</v>
      </c>
      <c r="C12" s="169" t="s">
        <v>72</v>
      </c>
      <c r="D12" s="149">
        <v>0.2</v>
      </c>
      <c r="E12" s="150">
        <v>0.36</v>
      </c>
      <c r="F12" s="151">
        <v>9</v>
      </c>
      <c r="G12" s="152">
        <v>299.75</v>
      </c>
      <c r="H12" s="119">
        <f t="shared" si="0"/>
        <v>79.345588235294116</v>
      </c>
      <c r="I12" s="153">
        <f t="shared" si="1"/>
        <v>399.75</v>
      </c>
      <c r="J12" s="116">
        <f t="shared" si="2"/>
        <v>105.81617647058825</v>
      </c>
      <c r="K12" s="116">
        <f t="shared" si="3"/>
        <v>293.93382352941177</v>
      </c>
      <c r="L12" s="122">
        <v>0.2</v>
      </c>
      <c r="M12" s="100">
        <v>1051553</v>
      </c>
      <c r="N12" s="51">
        <f>(M12-Calibration_Curve!$J$4)/Calibration_Curve!$I$4</f>
        <v>10.384273584632275</v>
      </c>
      <c r="O12" s="101">
        <f t="shared" si="5"/>
        <v>51.921367923161377</v>
      </c>
      <c r="P12" s="54">
        <f t="shared" si="4"/>
        <v>0.45774794220493009</v>
      </c>
      <c r="Q12" s="91"/>
      <c r="R12" s="91"/>
    </row>
    <row r="13" spans="1:18" ht="16.5" customHeight="1" x14ac:dyDescent="0.3">
      <c r="A13" s="315"/>
      <c r="B13" s="114" t="s">
        <v>134</v>
      </c>
      <c r="C13" s="107" t="s">
        <v>72</v>
      </c>
      <c r="D13" s="149">
        <v>0.2</v>
      </c>
      <c r="E13" s="150">
        <v>0.36</v>
      </c>
      <c r="F13" s="151">
        <v>9</v>
      </c>
      <c r="G13" s="152">
        <v>299.75</v>
      </c>
      <c r="H13" s="119">
        <f t="shared" si="0"/>
        <v>79.345588235294116</v>
      </c>
      <c r="I13" s="153">
        <f t="shared" si="1"/>
        <v>399.75</v>
      </c>
      <c r="J13" s="116">
        <f t="shared" si="2"/>
        <v>105.81617647058825</v>
      </c>
      <c r="K13" s="116">
        <f t="shared" si="3"/>
        <v>293.93382352941177</v>
      </c>
      <c r="L13" s="122">
        <v>0.2</v>
      </c>
      <c r="M13" s="100">
        <v>1092773</v>
      </c>
      <c r="N13" s="51">
        <f>(M13-Calibration_Curve!$J$4)/Calibration_Curve!$I$4</f>
        <v>10.781976038709111</v>
      </c>
      <c r="O13" s="101">
        <f t="shared" si="5"/>
        <v>53.909880193545554</v>
      </c>
      <c r="P13" s="54">
        <f t="shared" si="4"/>
        <v>0.47527901729456706</v>
      </c>
      <c r="Q13" s="91"/>
      <c r="R13" s="91"/>
    </row>
    <row r="14" spans="1:18" ht="16.5" customHeight="1" x14ac:dyDescent="0.3">
      <c r="A14" s="315"/>
      <c r="B14" s="114" t="s">
        <v>134</v>
      </c>
      <c r="C14" s="107" t="s">
        <v>72</v>
      </c>
      <c r="D14" s="149">
        <v>0.2</v>
      </c>
      <c r="E14" s="150">
        <v>0.36</v>
      </c>
      <c r="F14" s="151">
        <v>9</v>
      </c>
      <c r="G14" s="152">
        <v>299.75</v>
      </c>
      <c r="H14" s="119">
        <f t="shared" si="0"/>
        <v>79.345588235294116</v>
      </c>
      <c r="I14" s="153">
        <f t="shared" si="1"/>
        <v>399.75</v>
      </c>
      <c r="J14" s="116">
        <f t="shared" si="2"/>
        <v>105.81617647058825</v>
      </c>
      <c r="K14" s="116">
        <f t="shared" si="3"/>
        <v>293.93382352941177</v>
      </c>
      <c r="L14" s="122">
        <v>0.2</v>
      </c>
      <c r="M14" s="100">
        <v>1015983</v>
      </c>
      <c r="N14" s="51">
        <f>(M14-Calibration_Curve!$J$4)/Calibration_Curve!$I$4</f>
        <v>10.041083960869221</v>
      </c>
      <c r="O14" s="101">
        <f t="shared" si="5"/>
        <v>50.2054198043461</v>
      </c>
      <c r="P14" s="54">
        <f t="shared" si="4"/>
        <v>0.44261984077508071</v>
      </c>
      <c r="Q14" s="91"/>
      <c r="R14" s="91"/>
    </row>
    <row r="15" spans="1:18" ht="16.5" customHeight="1" x14ac:dyDescent="0.3">
      <c r="A15" s="315"/>
      <c r="B15" s="114" t="s">
        <v>134</v>
      </c>
      <c r="C15" s="107" t="s">
        <v>72</v>
      </c>
      <c r="D15" s="149">
        <v>0.2</v>
      </c>
      <c r="E15" s="150">
        <v>0.36</v>
      </c>
      <c r="F15" s="151">
        <v>9</v>
      </c>
      <c r="G15" s="152">
        <v>299.75</v>
      </c>
      <c r="H15" s="119">
        <f t="shared" si="0"/>
        <v>79.345588235294116</v>
      </c>
      <c r="I15" s="153">
        <f t="shared" si="1"/>
        <v>399.75</v>
      </c>
      <c r="J15" s="116">
        <f t="shared" si="2"/>
        <v>105.81617647058825</v>
      </c>
      <c r="K15" s="116">
        <f t="shared" si="3"/>
        <v>293.93382352941177</v>
      </c>
      <c r="L15" s="122">
        <v>0.2</v>
      </c>
      <c r="M15" s="100">
        <v>997352</v>
      </c>
      <c r="N15" s="51">
        <f>(M15-Calibration_Curve!$J$4)/Calibration_Curve!$I$4</f>
        <v>9.861326696873455</v>
      </c>
      <c r="O15" s="101">
        <f t="shared" ref="O15:O16" si="6">N15/L15</f>
        <v>49.306633484367275</v>
      </c>
      <c r="P15" s="54">
        <f t="shared" si="4"/>
        <v>0.43469598196879677</v>
      </c>
      <c r="Q15" s="91"/>
      <c r="R15" s="91"/>
    </row>
    <row r="16" spans="1:18" ht="16.5" customHeight="1" thickBot="1" x14ac:dyDescent="0.35">
      <c r="A16" s="316"/>
      <c r="B16" s="171" t="s">
        <v>134</v>
      </c>
      <c r="C16" s="108" t="s">
        <v>72</v>
      </c>
      <c r="D16" s="159">
        <v>0.2</v>
      </c>
      <c r="E16" s="160">
        <v>0.36</v>
      </c>
      <c r="F16" s="161">
        <v>9</v>
      </c>
      <c r="G16" s="162">
        <v>299.75</v>
      </c>
      <c r="H16" s="120">
        <f t="shared" ref="H16" si="7">(G16*E16)/(1+E16)</f>
        <v>79.345588235294116</v>
      </c>
      <c r="I16" s="163">
        <f t="shared" ref="I16" si="8">100+G16</f>
        <v>399.75</v>
      </c>
      <c r="J16" s="117">
        <f t="shared" ref="J16" si="9">I16*E16/(1+E16)</f>
        <v>105.81617647058825</v>
      </c>
      <c r="K16" s="117">
        <f t="shared" ref="K16" si="10">I16-J16</f>
        <v>293.93382352941177</v>
      </c>
      <c r="L16" s="124">
        <v>0.2</v>
      </c>
      <c r="M16" s="102">
        <v>1041066</v>
      </c>
      <c r="N16" s="52">
        <f>(M16-Calibration_Curve!$J$4)/Calibration_Curve!$I$4</f>
        <v>10.283091982596764</v>
      </c>
      <c r="O16" s="103">
        <f t="shared" si="6"/>
        <v>51.415459912983813</v>
      </c>
      <c r="P16" s="55">
        <f t="shared" si="4"/>
        <v>0.45328776790932052</v>
      </c>
      <c r="Q16" s="91"/>
      <c r="R16" s="91"/>
    </row>
    <row r="17" spans="2:2" x14ac:dyDescent="0.3">
      <c r="B17" s="286"/>
    </row>
    <row r="18" spans="2:2" x14ac:dyDescent="0.3">
      <c r="B18" s="286"/>
    </row>
    <row r="19" spans="2:2" x14ac:dyDescent="0.3">
      <c r="B19" s="286"/>
    </row>
    <row r="20" spans="2:2" x14ac:dyDescent="0.3">
      <c r="B20" s="286"/>
    </row>
    <row r="21" spans="2:2" x14ac:dyDescent="0.3">
      <c r="B21" s="286"/>
    </row>
    <row r="22" spans="2:2" x14ac:dyDescent="0.3">
      <c r="B22" s="286"/>
    </row>
    <row r="23" spans="2:2" x14ac:dyDescent="0.3">
      <c r="B23" s="286"/>
    </row>
    <row r="24" spans="2:2" x14ac:dyDescent="0.3">
      <c r="B24" s="286"/>
    </row>
    <row r="50" spans="2:2" x14ac:dyDescent="0.3">
      <c r="B50" t="s">
        <v>130</v>
      </c>
    </row>
  </sheetData>
  <mergeCells count="5">
    <mergeCell ref="L1:P1"/>
    <mergeCell ref="A5:A10"/>
    <mergeCell ref="A11:A16"/>
    <mergeCell ref="E1:G1"/>
    <mergeCell ref="H1:K1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25B1-6761-4D21-BEA9-B81FAB4890D6}">
  <dimension ref="A1:P54"/>
  <sheetViews>
    <sheetView zoomScale="70" zoomScaleNormal="70" workbookViewId="0">
      <selection activeCell="A2" sqref="A2:P20"/>
    </sheetView>
  </sheetViews>
  <sheetFormatPr baseColWidth="10" defaultRowHeight="14.4" x14ac:dyDescent="0.3"/>
  <cols>
    <col min="2" max="2" width="15.44140625" customWidth="1"/>
    <col min="3" max="3" width="14" customWidth="1"/>
    <col min="4" max="4" width="16.44140625" customWidth="1"/>
    <col min="5" max="7" width="13.88671875" customWidth="1"/>
    <col min="8" max="8" width="13.5546875" bestFit="1" customWidth="1"/>
    <col min="9" max="11" width="13.5546875" customWidth="1"/>
    <col min="12" max="12" width="18" customWidth="1"/>
    <col min="13" max="13" width="18.33203125" bestFit="1" customWidth="1"/>
    <col min="14" max="14" width="16" customWidth="1"/>
    <col min="15" max="16" width="12.5546875" customWidth="1"/>
  </cols>
  <sheetData>
    <row r="1" spans="1:16" ht="15" thickBot="1" x14ac:dyDescent="0.35">
      <c r="A1" s="3"/>
      <c r="B1" s="3"/>
      <c r="C1" s="3"/>
      <c r="D1" s="3"/>
      <c r="E1" s="317" t="s">
        <v>12</v>
      </c>
      <c r="F1" s="318"/>
      <c r="G1" s="319"/>
      <c r="H1" s="320" t="s">
        <v>116</v>
      </c>
      <c r="I1" s="321"/>
      <c r="J1" s="321"/>
      <c r="K1" s="322"/>
      <c r="L1" s="309" t="s">
        <v>109</v>
      </c>
      <c r="M1" s="310"/>
      <c r="N1" s="310"/>
      <c r="O1" s="310"/>
      <c r="P1" s="311"/>
    </row>
    <row r="2" spans="1:16" ht="43.2" x14ac:dyDescent="0.3">
      <c r="A2" s="47"/>
      <c r="B2" s="109" t="s">
        <v>6</v>
      </c>
      <c r="C2" s="126" t="s">
        <v>119</v>
      </c>
      <c r="D2" s="126" t="s">
        <v>106</v>
      </c>
      <c r="E2" s="142" t="s">
        <v>91</v>
      </c>
      <c r="F2" s="127" t="s">
        <v>90</v>
      </c>
      <c r="G2" s="143" t="s">
        <v>89</v>
      </c>
      <c r="H2" s="126" t="s">
        <v>8</v>
      </c>
      <c r="I2" s="128" t="s">
        <v>27</v>
      </c>
      <c r="J2" s="128" t="s">
        <v>7</v>
      </c>
      <c r="K2" s="128" t="s">
        <v>28</v>
      </c>
      <c r="L2" s="139" t="s">
        <v>107</v>
      </c>
      <c r="M2" s="129" t="s">
        <v>5</v>
      </c>
      <c r="N2" s="129" t="s">
        <v>9</v>
      </c>
      <c r="O2" s="130" t="s">
        <v>127</v>
      </c>
      <c r="P2" s="131" t="s">
        <v>92</v>
      </c>
    </row>
    <row r="3" spans="1:16" ht="16.5" customHeight="1" x14ac:dyDescent="0.3">
      <c r="A3" s="168" t="s">
        <v>37</v>
      </c>
      <c r="B3" s="110" t="s">
        <v>31</v>
      </c>
      <c r="C3" s="125" t="s">
        <v>70</v>
      </c>
      <c r="D3" s="125" t="s">
        <v>31</v>
      </c>
      <c r="E3" s="98" t="s">
        <v>38</v>
      </c>
      <c r="F3" s="48" t="s">
        <v>39</v>
      </c>
      <c r="G3" s="99" t="s">
        <v>40</v>
      </c>
      <c r="H3" s="125" t="s">
        <v>58</v>
      </c>
      <c r="I3" s="49" t="s">
        <v>31</v>
      </c>
      <c r="J3" s="49" t="s">
        <v>31</v>
      </c>
      <c r="K3" s="49" t="s">
        <v>31</v>
      </c>
      <c r="L3" s="140" t="s">
        <v>71</v>
      </c>
      <c r="M3" s="69"/>
      <c r="N3" s="69" t="s">
        <v>31</v>
      </c>
      <c r="O3" s="50" t="s">
        <v>31</v>
      </c>
      <c r="P3" s="97" t="s">
        <v>31</v>
      </c>
    </row>
    <row r="4" spans="1:16" ht="16.5" customHeight="1" thickBot="1" x14ac:dyDescent="0.35">
      <c r="A4" s="46" t="s">
        <v>30</v>
      </c>
      <c r="B4" s="132" t="s">
        <v>31</v>
      </c>
      <c r="C4" s="133" t="s">
        <v>31</v>
      </c>
      <c r="D4" s="133" t="s">
        <v>32</v>
      </c>
      <c r="E4" s="144" t="s">
        <v>31</v>
      </c>
      <c r="F4" s="134" t="s">
        <v>33</v>
      </c>
      <c r="G4" s="145" t="s">
        <v>34</v>
      </c>
      <c r="H4" s="133" t="s">
        <v>34</v>
      </c>
      <c r="I4" s="135" t="s">
        <v>34</v>
      </c>
      <c r="J4" s="135" t="s">
        <v>34</v>
      </c>
      <c r="K4" s="135" t="s">
        <v>34</v>
      </c>
      <c r="L4" s="141" t="s">
        <v>32</v>
      </c>
      <c r="M4" s="136" t="s">
        <v>31</v>
      </c>
      <c r="N4" s="136" t="s">
        <v>32</v>
      </c>
      <c r="O4" s="137"/>
      <c r="P4" s="138" t="s">
        <v>35</v>
      </c>
    </row>
    <row r="5" spans="1:16" x14ac:dyDescent="0.3">
      <c r="A5" s="331" t="s">
        <v>136</v>
      </c>
      <c r="B5" s="290" t="s">
        <v>133</v>
      </c>
      <c r="C5" s="106" t="s">
        <v>72</v>
      </c>
      <c r="D5" s="154">
        <v>0.2</v>
      </c>
      <c r="E5" s="155">
        <v>1.25</v>
      </c>
      <c r="F5" s="156">
        <v>4.54</v>
      </c>
      <c r="G5" s="157">
        <v>334.46</v>
      </c>
      <c r="H5" s="118">
        <f t="shared" ref="H5:H20" si="0">(G5*E5)/(1+E5)</f>
        <v>185.8111111111111</v>
      </c>
      <c r="I5" s="158">
        <f t="shared" ref="I5:I20" si="1">100+G5</f>
        <v>434.46</v>
      </c>
      <c r="J5" s="115">
        <f t="shared" ref="J5:J20" si="2">I5*E5/(1+E5)</f>
        <v>241.36666666666665</v>
      </c>
      <c r="K5" s="115">
        <f t="shared" ref="K5:K20" si="3">I5-J5</f>
        <v>193.09333333333333</v>
      </c>
      <c r="L5" s="121">
        <v>0.2</v>
      </c>
      <c r="M5" s="104">
        <v>192145.2</v>
      </c>
      <c r="N5" s="56">
        <f>(M5-Calibration_Curve!$J$4)/Calibration_Curve!$I$4</f>
        <v>2.09245914715593</v>
      </c>
      <c r="O5" s="105">
        <f t="shared" ref="O5:O20" si="4">N5/L5</f>
        <v>10.46229573577965</v>
      </c>
      <c r="P5" s="53">
        <f t="shared" ref="P5:P20" si="5">((H5*0.001)/(F5))*O5</f>
        <v>0.42819621044895512</v>
      </c>
    </row>
    <row r="6" spans="1:16" x14ac:dyDescent="0.3">
      <c r="A6" s="332"/>
      <c r="B6" s="291" t="s">
        <v>133</v>
      </c>
      <c r="C6" s="107" t="s">
        <v>137</v>
      </c>
      <c r="D6" s="149">
        <v>0.2</v>
      </c>
      <c r="E6" s="150">
        <v>1.25</v>
      </c>
      <c r="F6" s="151">
        <v>4.54</v>
      </c>
      <c r="G6" s="152">
        <v>334.46</v>
      </c>
      <c r="H6" s="119">
        <f t="shared" si="0"/>
        <v>185.8111111111111</v>
      </c>
      <c r="I6" s="153">
        <f t="shared" si="1"/>
        <v>434.46</v>
      </c>
      <c r="J6" s="116">
        <f t="shared" si="2"/>
        <v>241.36666666666665</v>
      </c>
      <c r="K6" s="116">
        <f t="shared" si="3"/>
        <v>193.09333333333333</v>
      </c>
      <c r="L6" s="122">
        <v>0.2</v>
      </c>
      <c r="M6" s="100">
        <v>193860.40000000002</v>
      </c>
      <c r="N6" s="51">
        <f>(M6-Calibration_Curve!$J$4)/Calibration_Curve!$I$4</f>
        <v>2.1090078916787975</v>
      </c>
      <c r="O6" s="101">
        <f t="shared" si="4"/>
        <v>10.545039458393987</v>
      </c>
      <c r="P6" s="54">
        <f t="shared" si="5"/>
        <v>0.43158270891513123</v>
      </c>
    </row>
    <row r="7" spans="1:16" x14ac:dyDescent="0.3">
      <c r="A7" s="332"/>
      <c r="B7" s="291" t="s">
        <v>133</v>
      </c>
      <c r="C7" s="107" t="s">
        <v>138</v>
      </c>
      <c r="D7" s="149">
        <v>0.2</v>
      </c>
      <c r="E7" s="150">
        <v>1.25</v>
      </c>
      <c r="F7" s="151">
        <v>4.54</v>
      </c>
      <c r="G7" s="152">
        <v>334.46</v>
      </c>
      <c r="H7" s="119">
        <f t="shared" si="0"/>
        <v>185.8111111111111</v>
      </c>
      <c r="I7" s="153">
        <f t="shared" si="1"/>
        <v>434.46</v>
      </c>
      <c r="J7" s="116">
        <f t="shared" si="2"/>
        <v>241.36666666666665</v>
      </c>
      <c r="K7" s="116">
        <f t="shared" si="3"/>
        <v>193.09333333333333</v>
      </c>
      <c r="L7" s="122">
        <v>0.2</v>
      </c>
      <c r="M7" s="100">
        <v>172889.80000000005</v>
      </c>
      <c r="N7" s="51">
        <f>(M7-Calibration_Curve!$J$4)/Calibration_Curve!$I$4</f>
        <v>1.9066774917888485</v>
      </c>
      <c r="O7" s="101">
        <f t="shared" si="4"/>
        <v>9.533387458944242</v>
      </c>
      <c r="P7" s="54">
        <f t="shared" si="5"/>
        <v>0.39017826352404439</v>
      </c>
    </row>
    <row r="8" spans="1:16" x14ac:dyDescent="0.3">
      <c r="A8" s="332"/>
      <c r="B8" s="291" t="s">
        <v>133</v>
      </c>
      <c r="C8" s="107" t="s">
        <v>139</v>
      </c>
      <c r="D8" s="149">
        <v>0.2</v>
      </c>
      <c r="E8" s="150">
        <v>1.25</v>
      </c>
      <c r="F8" s="151">
        <v>4.54</v>
      </c>
      <c r="G8" s="152">
        <v>334.46</v>
      </c>
      <c r="H8" s="119">
        <f t="shared" si="0"/>
        <v>185.8111111111111</v>
      </c>
      <c r="I8" s="153">
        <f t="shared" si="1"/>
        <v>434.46</v>
      </c>
      <c r="J8" s="116">
        <f t="shared" si="2"/>
        <v>241.36666666666665</v>
      </c>
      <c r="K8" s="116">
        <f t="shared" si="3"/>
        <v>193.09333333333333</v>
      </c>
      <c r="L8" s="122">
        <v>0.2</v>
      </c>
      <c r="M8" s="100">
        <v>387997.30000000005</v>
      </c>
      <c r="N8" s="51">
        <f>(M8-Calibration_Curve!$J$4)/Calibration_Curve!$I$4</f>
        <v>3.9820967212971716</v>
      </c>
      <c r="O8" s="101">
        <f t="shared" si="4"/>
        <v>19.910483606485858</v>
      </c>
      <c r="P8" s="54">
        <f t="shared" si="5"/>
        <v>0.81488746292526415</v>
      </c>
    </row>
    <row r="9" spans="1:16" x14ac:dyDescent="0.3">
      <c r="A9" s="332"/>
      <c r="B9" s="291" t="s">
        <v>131</v>
      </c>
      <c r="C9" s="107" t="s">
        <v>140</v>
      </c>
      <c r="D9" s="149">
        <v>0.2</v>
      </c>
      <c r="E9" s="150">
        <v>1.25</v>
      </c>
      <c r="F9" s="151">
        <v>4.54</v>
      </c>
      <c r="G9" s="152">
        <v>334.46</v>
      </c>
      <c r="H9" s="119">
        <f t="shared" si="0"/>
        <v>185.8111111111111</v>
      </c>
      <c r="I9" s="153">
        <f t="shared" si="1"/>
        <v>434.46</v>
      </c>
      <c r="J9" s="116">
        <f t="shared" si="2"/>
        <v>241.36666666666665</v>
      </c>
      <c r="K9" s="116">
        <f t="shared" si="3"/>
        <v>193.09333333333333</v>
      </c>
      <c r="L9" s="122">
        <v>0.2</v>
      </c>
      <c r="M9" s="100">
        <v>372268.99999999994</v>
      </c>
      <c r="N9" s="51">
        <f>(M9-Calibration_Curve!$J$4)/Calibration_Curve!$I$4</f>
        <v>3.8303455444787158</v>
      </c>
      <c r="O9" s="101">
        <f t="shared" ref="O9:O16" si="6">N9/L9</f>
        <v>19.151727722393577</v>
      </c>
      <c r="P9" s="54">
        <f t="shared" si="5"/>
        <v>0.78383343784040072</v>
      </c>
    </row>
    <row r="10" spans="1:16" x14ac:dyDescent="0.3">
      <c r="A10" s="332"/>
      <c r="B10" s="291" t="s">
        <v>131</v>
      </c>
      <c r="C10" s="107" t="s">
        <v>141</v>
      </c>
      <c r="D10" s="149">
        <v>0.2</v>
      </c>
      <c r="E10" s="150">
        <v>1.25</v>
      </c>
      <c r="F10" s="151">
        <v>4.54</v>
      </c>
      <c r="G10" s="152">
        <v>334.46</v>
      </c>
      <c r="H10" s="119">
        <f t="shared" si="0"/>
        <v>185.8111111111111</v>
      </c>
      <c r="I10" s="153">
        <f t="shared" si="1"/>
        <v>434.46</v>
      </c>
      <c r="J10" s="116">
        <f t="shared" si="2"/>
        <v>241.36666666666665</v>
      </c>
      <c r="K10" s="116">
        <f t="shared" si="3"/>
        <v>193.09333333333333</v>
      </c>
      <c r="L10" s="122">
        <v>0.2</v>
      </c>
      <c r="M10" s="100">
        <v>423467</v>
      </c>
      <c r="N10" s="51">
        <f>(M10-Calibration_Curve!$J$4)/Calibration_Curve!$I$4</f>
        <v>4.3243186217185485</v>
      </c>
      <c r="O10" s="101">
        <f t="shared" si="6"/>
        <v>21.621593108592741</v>
      </c>
      <c r="P10" s="54">
        <f t="shared" si="5"/>
        <v>0.88491899548457253</v>
      </c>
    </row>
    <row r="11" spans="1:16" x14ac:dyDescent="0.3">
      <c r="A11" s="332"/>
      <c r="B11" s="291" t="s">
        <v>131</v>
      </c>
      <c r="C11" s="107" t="s">
        <v>142</v>
      </c>
      <c r="D11" s="149">
        <v>0.2</v>
      </c>
      <c r="E11" s="150">
        <v>1.25</v>
      </c>
      <c r="F11" s="151">
        <v>4.54</v>
      </c>
      <c r="G11" s="152">
        <v>334.46</v>
      </c>
      <c r="H11" s="119">
        <f t="shared" si="0"/>
        <v>185.8111111111111</v>
      </c>
      <c r="I11" s="153">
        <f t="shared" si="1"/>
        <v>434.46</v>
      </c>
      <c r="J11" s="116">
        <f t="shared" si="2"/>
        <v>241.36666666666665</v>
      </c>
      <c r="K11" s="116">
        <f t="shared" si="3"/>
        <v>193.09333333333333</v>
      </c>
      <c r="L11" s="122">
        <v>0.2</v>
      </c>
      <c r="M11" s="100">
        <v>471031.17041420127</v>
      </c>
      <c r="N11" s="51">
        <f>(M11-Calibration_Curve!$J$4)/Calibration_Curve!$I$4</f>
        <v>4.7832314625690264</v>
      </c>
      <c r="O11" s="101">
        <f t="shared" si="6"/>
        <v>23.916157312845129</v>
      </c>
      <c r="P11" s="54">
        <f t="shared" si="5"/>
        <v>0.97882990392244007</v>
      </c>
    </row>
    <row r="12" spans="1:16" x14ac:dyDescent="0.3">
      <c r="A12" s="332"/>
      <c r="B12" s="292" t="s">
        <v>131</v>
      </c>
      <c r="C12" s="189" t="s">
        <v>143</v>
      </c>
      <c r="D12" s="190">
        <v>0.2</v>
      </c>
      <c r="E12" s="287">
        <v>1.25</v>
      </c>
      <c r="F12" s="288">
        <v>4.54</v>
      </c>
      <c r="G12" s="289">
        <v>334.46</v>
      </c>
      <c r="H12" s="194">
        <f t="shared" si="0"/>
        <v>185.8111111111111</v>
      </c>
      <c r="I12" s="195">
        <f t="shared" si="1"/>
        <v>434.46</v>
      </c>
      <c r="J12" s="196">
        <f t="shared" si="2"/>
        <v>241.36666666666665</v>
      </c>
      <c r="K12" s="196">
        <f t="shared" si="3"/>
        <v>193.09333333333333</v>
      </c>
      <c r="L12" s="197">
        <v>0.2</v>
      </c>
      <c r="M12" s="198">
        <v>438870.02479784371</v>
      </c>
      <c r="N12" s="84">
        <f>(M12-Calibration_Curve!$J$4)/Calibration_Curve!$I$4</f>
        <v>4.4729314495280779</v>
      </c>
      <c r="O12" s="199">
        <f t="shared" si="6"/>
        <v>22.364657247640388</v>
      </c>
      <c r="P12" s="200">
        <f t="shared" si="5"/>
        <v>0.91533079577163523</v>
      </c>
    </row>
    <row r="13" spans="1:16" x14ac:dyDescent="0.3">
      <c r="A13" s="332"/>
      <c r="B13" s="291" t="s">
        <v>132</v>
      </c>
      <c r="C13" s="107" t="s">
        <v>72</v>
      </c>
      <c r="D13" s="149">
        <v>0.2</v>
      </c>
      <c r="E13" s="150">
        <v>0.36</v>
      </c>
      <c r="F13" s="151">
        <v>9</v>
      </c>
      <c r="G13" s="152">
        <v>299.75</v>
      </c>
      <c r="H13" s="119">
        <f t="shared" si="0"/>
        <v>79.345588235294116</v>
      </c>
      <c r="I13" s="153">
        <f t="shared" si="1"/>
        <v>399.75</v>
      </c>
      <c r="J13" s="116">
        <f t="shared" si="2"/>
        <v>105.81617647058825</v>
      </c>
      <c r="K13" s="116">
        <f t="shared" si="3"/>
        <v>293.93382352941177</v>
      </c>
      <c r="L13" s="122">
        <v>0.2</v>
      </c>
      <c r="M13" s="100">
        <v>885383.39999999991</v>
      </c>
      <c r="N13" s="51">
        <f>(M13-Calibration_Curve!$J$4)/Calibration_Curve!$I$4</f>
        <v>8.7810213354094149</v>
      </c>
      <c r="O13" s="101">
        <f t="shared" si="6"/>
        <v>43.905106677047073</v>
      </c>
      <c r="P13" s="54">
        <f t="shared" si="5"/>
        <v>0.38707516842484885</v>
      </c>
    </row>
    <row r="14" spans="1:16" x14ac:dyDescent="0.3">
      <c r="A14" s="332"/>
      <c r="B14" s="291" t="s">
        <v>132</v>
      </c>
      <c r="C14" s="107" t="s">
        <v>137</v>
      </c>
      <c r="D14" s="149">
        <v>0.2</v>
      </c>
      <c r="E14" s="150">
        <v>0.36</v>
      </c>
      <c r="F14" s="151">
        <v>9</v>
      </c>
      <c r="G14" s="152">
        <v>299.75</v>
      </c>
      <c r="H14" s="119">
        <f t="shared" si="0"/>
        <v>79.345588235294116</v>
      </c>
      <c r="I14" s="153">
        <f t="shared" si="1"/>
        <v>399.75</v>
      </c>
      <c r="J14" s="116">
        <f t="shared" si="2"/>
        <v>105.81617647058825</v>
      </c>
      <c r="K14" s="116">
        <f t="shared" si="3"/>
        <v>293.93382352941177</v>
      </c>
      <c r="L14" s="122">
        <v>0.2</v>
      </c>
      <c r="M14" s="100">
        <v>898930.79999999981</v>
      </c>
      <c r="N14" s="51">
        <f>(M14-Calibration_Curve!$J$4)/Calibration_Curve!$I$4</f>
        <v>8.9117305597267489</v>
      </c>
      <c r="O14" s="101">
        <f t="shared" si="6"/>
        <v>44.558652798633744</v>
      </c>
      <c r="P14" s="54">
        <f t="shared" si="5"/>
        <v>0.39283694636442545</v>
      </c>
    </row>
    <row r="15" spans="1:16" x14ac:dyDescent="0.3">
      <c r="A15" s="332"/>
      <c r="B15" s="291" t="s">
        <v>132</v>
      </c>
      <c r="C15" s="107" t="s">
        <v>138</v>
      </c>
      <c r="D15" s="149">
        <v>0.2</v>
      </c>
      <c r="E15" s="150">
        <v>0.36</v>
      </c>
      <c r="F15" s="151">
        <v>9</v>
      </c>
      <c r="G15" s="152">
        <v>299.75</v>
      </c>
      <c r="H15" s="119">
        <f t="shared" si="0"/>
        <v>79.345588235294116</v>
      </c>
      <c r="I15" s="153">
        <f t="shared" si="1"/>
        <v>399.75</v>
      </c>
      <c r="J15" s="116">
        <f t="shared" si="2"/>
        <v>105.81617647058825</v>
      </c>
      <c r="K15" s="116">
        <f t="shared" si="3"/>
        <v>293.93382352941177</v>
      </c>
      <c r="L15" s="122">
        <v>0.2</v>
      </c>
      <c r="M15" s="100">
        <v>789180.3</v>
      </c>
      <c r="N15" s="51">
        <f>(M15-Calibration_Curve!$J$4)/Calibration_Curve!$I$4</f>
        <v>7.8528260670979337</v>
      </c>
      <c r="O15" s="101">
        <f t="shared" si="6"/>
        <v>39.264130335489668</v>
      </c>
      <c r="P15" s="54">
        <f t="shared" si="5"/>
        <v>0.34615950200185375</v>
      </c>
    </row>
    <row r="16" spans="1:16" x14ac:dyDescent="0.3">
      <c r="A16" s="332"/>
      <c r="B16" s="291" t="s">
        <v>132</v>
      </c>
      <c r="C16" s="107" t="s">
        <v>139</v>
      </c>
      <c r="D16" s="149">
        <v>0.2</v>
      </c>
      <c r="E16" s="150">
        <v>0.36</v>
      </c>
      <c r="F16" s="151">
        <v>9</v>
      </c>
      <c r="G16" s="152">
        <v>299.75</v>
      </c>
      <c r="H16" s="119">
        <f t="shared" si="0"/>
        <v>79.345588235294116</v>
      </c>
      <c r="I16" s="153">
        <f t="shared" si="1"/>
        <v>399.75</v>
      </c>
      <c r="J16" s="116">
        <f t="shared" si="2"/>
        <v>105.81617647058825</v>
      </c>
      <c r="K16" s="116">
        <f t="shared" si="3"/>
        <v>293.93382352941177</v>
      </c>
      <c r="L16" s="122">
        <v>0.2</v>
      </c>
      <c r="M16" s="100">
        <v>732726.60000000009</v>
      </c>
      <c r="N16" s="51">
        <f>(M16-Calibration_Curve!$J$4)/Calibration_Curve!$I$4</f>
        <v>7.3081444797200232</v>
      </c>
      <c r="O16" s="101">
        <f t="shared" si="6"/>
        <v>36.540722398600117</v>
      </c>
      <c r="P16" s="54">
        <f t="shared" si="5"/>
        <v>0.32214945702883485</v>
      </c>
    </row>
    <row r="17" spans="1:16" x14ac:dyDescent="0.3">
      <c r="A17" s="332"/>
      <c r="B17" s="291" t="s">
        <v>129</v>
      </c>
      <c r="C17" s="107" t="s">
        <v>140</v>
      </c>
      <c r="D17" s="149">
        <v>0.2</v>
      </c>
      <c r="E17" s="150">
        <v>0.36</v>
      </c>
      <c r="F17" s="151">
        <v>9</v>
      </c>
      <c r="G17" s="152">
        <v>299.75</v>
      </c>
      <c r="H17" s="119">
        <f t="shared" si="0"/>
        <v>79.345588235294116</v>
      </c>
      <c r="I17" s="153">
        <f t="shared" si="1"/>
        <v>399.75</v>
      </c>
      <c r="J17" s="116">
        <f t="shared" si="2"/>
        <v>105.81617647058825</v>
      </c>
      <c r="K17" s="116">
        <f t="shared" si="3"/>
        <v>293.93382352941177</v>
      </c>
      <c r="L17" s="122">
        <v>0.2</v>
      </c>
      <c r="M17" s="100">
        <v>1821159.8000000012</v>
      </c>
      <c r="N17" s="51">
        <f>(M17-Calibration_Curve!$J$4)/Calibration_Curve!$I$4</f>
        <v>17.809662061930226</v>
      </c>
      <c r="O17" s="101">
        <f t="shared" si="4"/>
        <v>89.048310309651129</v>
      </c>
      <c r="P17" s="54">
        <f t="shared" si="5"/>
        <v>0.78506561809758602</v>
      </c>
    </row>
    <row r="18" spans="1:16" x14ac:dyDescent="0.3">
      <c r="A18" s="332"/>
      <c r="B18" s="291" t="s">
        <v>129</v>
      </c>
      <c r="C18" s="107" t="s">
        <v>141</v>
      </c>
      <c r="D18" s="149">
        <v>0.2</v>
      </c>
      <c r="E18" s="150">
        <v>0.36</v>
      </c>
      <c r="F18" s="151">
        <v>9</v>
      </c>
      <c r="G18" s="152">
        <v>299.75</v>
      </c>
      <c r="H18" s="119">
        <f t="shared" si="0"/>
        <v>79.345588235294116</v>
      </c>
      <c r="I18" s="153">
        <f t="shared" si="1"/>
        <v>399.75</v>
      </c>
      <c r="J18" s="116">
        <f t="shared" si="2"/>
        <v>105.81617647058825</v>
      </c>
      <c r="K18" s="116">
        <f t="shared" si="3"/>
        <v>293.93382352941177</v>
      </c>
      <c r="L18" s="122">
        <v>0.2</v>
      </c>
      <c r="M18" s="100">
        <v>1562945.0000000028</v>
      </c>
      <c r="N18" s="51">
        <f>(M18-Calibration_Curve!$J$4)/Calibration_Curve!$I$4</f>
        <v>15.318331163362567</v>
      </c>
      <c r="O18" s="101">
        <f t="shared" si="4"/>
        <v>76.591655816812832</v>
      </c>
      <c r="P18" s="54">
        <f t="shared" si="5"/>
        <v>0.67524555385557783</v>
      </c>
    </row>
    <row r="19" spans="1:16" x14ac:dyDescent="0.3">
      <c r="A19" s="332"/>
      <c r="B19" s="291" t="s">
        <v>129</v>
      </c>
      <c r="C19" s="107" t="s">
        <v>142</v>
      </c>
      <c r="D19" s="149">
        <v>0.2</v>
      </c>
      <c r="E19" s="150">
        <v>0.36</v>
      </c>
      <c r="F19" s="151">
        <v>9</v>
      </c>
      <c r="G19" s="152">
        <v>299.75</v>
      </c>
      <c r="H19" s="119">
        <f t="shared" si="0"/>
        <v>79.345588235294116</v>
      </c>
      <c r="I19" s="153">
        <f t="shared" si="1"/>
        <v>399.75</v>
      </c>
      <c r="J19" s="116">
        <f t="shared" si="2"/>
        <v>105.81617647058825</v>
      </c>
      <c r="K19" s="116">
        <f t="shared" si="3"/>
        <v>293.93382352941177</v>
      </c>
      <c r="L19" s="122">
        <v>0.2</v>
      </c>
      <c r="M19" s="100">
        <v>1741513.4000000022</v>
      </c>
      <c r="N19" s="51">
        <f>(M19-Calibration_Curve!$J$4)/Calibration_Curve!$I$4</f>
        <v>17.041210612672948</v>
      </c>
      <c r="O19" s="101">
        <f t="shared" si="4"/>
        <v>85.206053063364735</v>
      </c>
      <c r="P19" s="54">
        <f t="shared" si="5"/>
        <v>0.75119160016892883</v>
      </c>
    </row>
    <row r="20" spans="1:16" ht="15" thickBot="1" x14ac:dyDescent="0.35">
      <c r="A20" s="333"/>
      <c r="B20" s="293" t="s">
        <v>129</v>
      </c>
      <c r="C20" s="108" t="s">
        <v>143</v>
      </c>
      <c r="D20" s="159">
        <v>0.2</v>
      </c>
      <c r="E20" s="160">
        <v>0.36</v>
      </c>
      <c r="F20" s="161">
        <v>9</v>
      </c>
      <c r="G20" s="162">
        <v>299.75</v>
      </c>
      <c r="H20" s="120">
        <f t="shared" si="0"/>
        <v>79.345588235294116</v>
      </c>
      <c r="I20" s="163">
        <f t="shared" si="1"/>
        <v>399.75</v>
      </c>
      <c r="J20" s="117">
        <f t="shared" si="2"/>
        <v>105.81617647058825</v>
      </c>
      <c r="K20" s="117">
        <f t="shared" si="3"/>
        <v>293.93382352941177</v>
      </c>
      <c r="L20" s="124">
        <v>0.2</v>
      </c>
      <c r="M20" s="102">
        <v>1461280.6</v>
      </c>
      <c r="N20" s="52">
        <f>(M20-Calibration_Curve!$J$4)/Calibration_Curve!$I$4</f>
        <v>14.33744369678687</v>
      </c>
      <c r="O20" s="103">
        <f t="shared" si="4"/>
        <v>71.687218483934345</v>
      </c>
      <c r="P20" s="55">
        <f t="shared" si="5"/>
        <v>0.63200716883997998</v>
      </c>
    </row>
    <row r="21" spans="1:16" x14ac:dyDescent="0.3">
      <c r="B21" s="286"/>
    </row>
    <row r="22" spans="1:16" x14ac:dyDescent="0.3">
      <c r="B22" s="286"/>
    </row>
    <row r="23" spans="1:16" x14ac:dyDescent="0.3">
      <c r="B23" s="286"/>
    </row>
    <row r="24" spans="1:16" x14ac:dyDescent="0.3">
      <c r="B24" s="286"/>
    </row>
    <row r="25" spans="1:16" x14ac:dyDescent="0.3">
      <c r="B25" s="286"/>
    </row>
    <row r="26" spans="1:16" x14ac:dyDescent="0.3">
      <c r="B26" s="286"/>
    </row>
    <row r="27" spans="1:16" x14ac:dyDescent="0.3">
      <c r="B27" s="286"/>
    </row>
    <row r="28" spans="1:16" x14ac:dyDescent="0.3">
      <c r="B28" s="286"/>
    </row>
    <row r="54" spans="2:2" x14ac:dyDescent="0.3">
      <c r="B54" t="s">
        <v>130</v>
      </c>
    </row>
  </sheetData>
  <mergeCells count="4">
    <mergeCell ref="E1:G1"/>
    <mergeCell ref="H1:K1"/>
    <mergeCell ref="L1:P1"/>
    <mergeCell ref="A5:A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4BED-9ACC-4209-9F11-565BEE743501}">
  <dimension ref="A1:L28"/>
  <sheetViews>
    <sheetView workbookViewId="0">
      <selection activeCell="J26" sqref="J26:J28"/>
    </sheetView>
  </sheetViews>
  <sheetFormatPr baseColWidth="10" defaultRowHeight="14.4" x14ac:dyDescent="0.3"/>
  <cols>
    <col min="2" max="2" width="13.6640625" customWidth="1"/>
    <col min="4" max="4" width="39.109375" customWidth="1"/>
    <col min="6" max="6" width="13.33203125" customWidth="1"/>
  </cols>
  <sheetData>
    <row r="1" spans="1:12" x14ac:dyDescent="0.3">
      <c r="E1" s="334" t="s">
        <v>102</v>
      </c>
      <c r="F1" s="335"/>
      <c r="G1" s="335"/>
      <c r="H1" s="336"/>
      <c r="I1" s="334" t="s">
        <v>95</v>
      </c>
      <c r="J1" s="335"/>
      <c r="K1" s="335"/>
      <c r="L1" s="336"/>
    </row>
    <row r="2" spans="1:12" x14ac:dyDescent="0.3">
      <c r="A2" s="83" t="s">
        <v>77</v>
      </c>
      <c r="B2" s="83" t="s">
        <v>80</v>
      </c>
      <c r="C2" s="83" t="s">
        <v>79</v>
      </c>
      <c r="D2" s="83" t="s">
        <v>78</v>
      </c>
      <c r="E2" s="85" t="s">
        <v>5</v>
      </c>
      <c r="F2" s="83" t="s">
        <v>9</v>
      </c>
      <c r="G2" s="83" t="s">
        <v>0</v>
      </c>
      <c r="H2" s="86" t="s">
        <v>1</v>
      </c>
      <c r="I2" s="85" t="s">
        <v>5</v>
      </c>
      <c r="J2" s="83" t="s">
        <v>9</v>
      </c>
      <c r="K2" s="83" t="s">
        <v>0</v>
      </c>
      <c r="L2" s="86" t="s">
        <v>1</v>
      </c>
    </row>
    <row r="3" spans="1:12" x14ac:dyDescent="0.3">
      <c r="A3" s="342">
        <v>45240</v>
      </c>
      <c r="B3" s="345" t="s">
        <v>81</v>
      </c>
      <c r="C3" s="337" t="s">
        <v>31</v>
      </c>
      <c r="D3" s="340" t="s">
        <v>82</v>
      </c>
      <c r="E3" s="87">
        <v>10079</v>
      </c>
      <c r="F3" s="92">
        <f>(E3-Calibration_Curve!$G$4)/Calibration_Curve!$F$4</f>
        <v>0.22995445535390022</v>
      </c>
      <c r="G3" s="92"/>
      <c r="H3" s="95"/>
      <c r="I3" s="87"/>
      <c r="J3" s="92">
        <f>(I3-Calibration_Curve!$J$4)/Calibration_Curve!$I$4</f>
        <v>0.23858681384480587</v>
      </c>
      <c r="K3" s="92"/>
      <c r="L3" s="95"/>
    </row>
    <row r="4" spans="1:12" x14ac:dyDescent="0.3">
      <c r="A4" s="343"/>
      <c r="B4" s="346"/>
      <c r="C4" s="338"/>
      <c r="D4" s="313"/>
      <c r="E4" s="76">
        <v>13540</v>
      </c>
      <c r="F4" s="146">
        <f>(E4-Calibration_Curve!$G$4)/Calibration_Curve!$F$4</f>
        <v>0.24909448862107</v>
      </c>
      <c r="G4" s="146"/>
      <c r="H4" s="96"/>
      <c r="I4" s="76"/>
      <c r="J4" s="146">
        <f>(I4-Calibration_Curve!$J$4)/Calibration_Curve!$I$4</f>
        <v>0.23858681384480587</v>
      </c>
      <c r="K4" s="146"/>
      <c r="L4" s="96"/>
    </row>
    <row r="5" spans="1:12" x14ac:dyDescent="0.3">
      <c r="A5" s="344"/>
      <c r="B5" s="347"/>
      <c r="C5" s="339"/>
      <c r="D5" s="341"/>
      <c r="E5" s="82">
        <v>13631</v>
      </c>
      <c r="F5" s="93">
        <f>(E5-Calibration_Curve!$G$4)/Calibration_Curve!$F$4</f>
        <v>0.24959773711205888</v>
      </c>
      <c r="G5" s="93">
        <f>AVERAGE(F3:F5)</f>
        <v>0.24288222702900972</v>
      </c>
      <c r="H5" s="94">
        <f>_xlfn.STDEV.S(F3:F5)</f>
        <v>1.1198605945551568E-2</v>
      </c>
      <c r="I5" s="82"/>
      <c r="J5" s="93">
        <f>(I5-Calibration_Curve!$J$4)/Calibration_Curve!$I$4</f>
        <v>0.23858681384480587</v>
      </c>
      <c r="K5" s="93">
        <f>AVERAGE(J3:J5)</f>
        <v>0.23858681384480587</v>
      </c>
      <c r="L5" s="94">
        <f>_xlfn.STDEV.S(J3:J5)</f>
        <v>0</v>
      </c>
    </row>
    <row r="6" spans="1:12" x14ac:dyDescent="0.3">
      <c r="A6" s="342">
        <v>45240</v>
      </c>
      <c r="B6" s="345" t="s">
        <v>83</v>
      </c>
      <c r="C6" s="337" t="s">
        <v>31</v>
      </c>
      <c r="D6" s="340" t="s">
        <v>82</v>
      </c>
      <c r="E6" s="87">
        <v>7760</v>
      </c>
      <c r="F6" s="92">
        <f>(E6-Calibration_Curve!$G$4)/Calibration_Curve!$F$4</f>
        <v>0.21712991413848076</v>
      </c>
      <c r="G6" s="92"/>
      <c r="H6" s="95"/>
      <c r="I6" s="87"/>
      <c r="J6" s="92">
        <f>(I6-Calibration_Curve!$J$4)/Calibration_Curve!$I$4</f>
        <v>0.23858681384480587</v>
      </c>
      <c r="K6" s="92"/>
      <c r="L6" s="95"/>
    </row>
    <row r="7" spans="1:12" x14ac:dyDescent="0.3">
      <c r="A7" s="344"/>
      <c r="B7" s="347"/>
      <c r="C7" s="339"/>
      <c r="D7" s="341"/>
      <c r="E7" s="82">
        <v>4126</v>
      </c>
      <c r="F7" s="93">
        <f>(E7-Calibration_Curve!$G$4)/Calibration_Curve!$F$4</f>
        <v>0.19703315571811236</v>
      </c>
      <c r="G7" s="93">
        <f>AVERAGE(F6:F7)</f>
        <v>0.20708153492829656</v>
      </c>
      <c r="H7" s="94">
        <f>_xlfn.STDEV.S(F6:F7)</f>
        <v>1.4210554158910343E-2</v>
      </c>
      <c r="I7" s="82"/>
      <c r="J7" s="93">
        <f>(I7-Calibration_Curve!$J$4)/Calibration_Curve!$I$4</f>
        <v>0.23858681384480587</v>
      </c>
      <c r="K7" s="93">
        <f>AVERAGE(J6:J7)</f>
        <v>0.23858681384480587</v>
      </c>
      <c r="L7" s="94">
        <f>_xlfn.STDEV.S(J6:J7)</f>
        <v>0</v>
      </c>
    </row>
    <row r="8" spans="1:12" x14ac:dyDescent="0.3">
      <c r="A8" s="342">
        <v>45240</v>
      </c>
      <c r="B8" s="345" t="s">
        <v>84</v>
      </c>
      <c r="C8" s="337" t="s">
        <v>31</v>
      </c>
      <c r="D8" s="340" t="s">
        <v>85</v>
      </c>
      <c r="E8" s="87">
        <v>6271</v>
      </c>
      <c r="F8" s="92">
        <f>(E8-Calibration_Curve!$G$4)/Calibration_Curve!$F$4</f>
        <v>0.20889544157713552</v>
      </c>
      <c r="G8" s="92"/>
      <c r="H8" s="95"/>
      <c r="I8" s="87"/>
      <c r="J8" s="92">
        <f>(I8-Calibration_Curve!$J$4)/Calibration_Curve!$I$4</f>
        <v>0.23858681384480587</v>
      </c>
      <c r="K8" s="92"/>
      <c r="L8" s="95"/>
    </row>
    <row r="9" spans="1:12" x14ac:dyDescent="0.3">
      <c r="A9" s="343"/>
      <c r="B9" s="346"/>
      <c r="C9" s="338"/>
      <c r="D9" s="313"/>
      <c r="E9" s="76">
        <v>5560</v>
      </c>
      <c r="F9" s="146">
        <f>(E9-Calibration_Curve!$G$4)/Calibration_Curve!$F$4</f>
        <v>0.20496346710358518</v>
      </c>
      <c r="G9" s="146"/>
      <c r="H9" s="96"/>
      <c r="I9" s="76"/>
      <c r="J9" s="146">
        <f>(I9-Calibration_Curve!$J$4)/Calibration_Curve!$I$4</f>
        <v>0.23858681384480587</v>
      </c>
      <c r="K9" s="146"/>
      <c r="L9" s="96"/>
    </row>
    <row r="10" spans="1:12" x14ac:dyDescent="0.3">
      <c r="A10" s="344"/>
      <c r="B10" s="347"/>
      <c r="C10" s="339"/>
      <c r="D10" s="341"/>
      <c r="E10" s="82">
        <v>3072</v>
      </c>
      <c r="F10" s="93">
        <f>(E10-Calibration_Curve!$G$4)/Calibration_Curve!$F$4</f>
        <v>0.19120432154775785</v>
      </c>
      <c r="G10" s="93">
        <f>AVERAGE(F8:F10)</f>
        <v>0.20168774340949289</v>
      </c>
      <c r="H10" s="94">
        <f>_xlfn.STDEV.S(F8:F10)</f>
        <v>9.2893329288754843E-3</v>
      </c>
      <c r="I10" s="82"/>
      <c r="J10" s="93">
        <f>(I10-Calibration_Curve!$J$4)/Calibration_Curve!$I$4</f>
        <v>0.23858681384480587</v>
      </c>
      <c r="K10" s="93">
        <f>AVERAGE(J8:J10)</f>
        <v>0.23858681384480587</v>
      </c>
      <c r="L10" s="94">
        <f>_xlfn.STDEV.S(J8:J10)</f>
        <v>0</v>
      </c>
    </row>
    <row r="11" spans="1:12" x14ac:dyDescent="0.3">
      <c r="A11" s="342">
        <v>45243</v>
      </c>
      <c r="B11" s="345" t="s">
        <v>84</v>
      </c>
      <c r="C11" s="337" t="s">
        <v>110</v>
      </c>
      <c r="D11" s="340" t="s">
        <v>93</v>
      </c>
      <c r="E11" s="87">
        <v>15669</v>
      </c>
      <c r="F11" s="92">
        <f>(E11-Calibration_Curve!$G$4)/Calibration_Curve!$F$4</f>
        <v>0.26086829122893029</v>
      </c>
      <c r="G11" s="92"/>
      <c r="H11" s="95"/>
      <c r="I11" s="87">
        <v>8465</v>
      </c>
      <c r="J11" s="92">
        <f>(I11-Calibration_Curve!$J$4)/Calibration_Curve!$I$4</f>
        <v>0.32025957642996888</v>
      </c>
      <c r="K11" s="92"/>
      <c r="L11" s="95"/>
    </row>
    <row r="12" spans="1:12" x14ac:dyDescent="0.3">
      <c r="A12" s="343"/>
      <c r="B12" s="346"/>
      <c r="C12" s="338"/>
      <c r="D12" s="313"/>
      <c r="E12" s="76">
        <v>15197</v>
      </c>
      <c r="F12" s="146">
        <f>(E12-Calibration_Curve!$G$4)/Calibration_Curve!$F$4</f>
        <v>0.25825803531962543</v>
      </c>
      <c r="G12" s="146"/>
      <c r="H12" s="96"/>
      <c r="I12" s="76">
        <v>8339</v>
      </c>
      <c r="J12" s="146">
        <f>(I12-Calibration_Curve!$J$4)/Calibration_Curve!$I$4</f>
        <v>0.31904389207252876</v>
      </c>
      <c r="K12" s="146"/>
      <c r="L12" s="96"/>
    </row>
    <row r="13" spans="1:12" x14ac:dyDescent="0.3">
      <c r="A13" s="344"/>
      <c r="B13" s="347"/>
      <c r="C13" s="339"/>
      <c r="D13" s="341"/>
      <c r="E13" s="82">
        <v>13939</v>
      </c>
      <c r="F13" s="93">
        <f>(E13-Calibration_Curve!$G$4)/Calibration_Curve!$F$4</f>
        <v>0.25130103969694423</v>
      </c>
      <c r="G13" s="93">
        <f>AVERAGE(F11:F13)</f>
        <v>0.25680912208183332</v>
      </c>
      <c r="H13" s="94">
        <f>_xlfn.STDEV.S(F11:F13)</f>
        <v>4.9454613179216508E-3</v>
      </c>
      <c r="I13" s="82">
        <v>7822</v>
      </c>
      <c r="J13" s="93">
        <f>(I13-Calibration_Curve!$J$4)/Calibration_Curve!$I$4</f>
        <v>0.31405572689160388</v>
      </c>
      <c r="K13" s="93">
        <f>AVERAGE(J11:J13)</f>
        <v>0.31778639846470053</v>
      </c>
      <c r="L13" s="94">
        <f>_xlfn.STDEV.S(J11:J13)</f>
        <v>3.2875378178759546E-3</v>
      </c>
    </row>
    <row r="14" spans="1:12" x14ac:dyDescent="0.3">
      <c r="A14" s="342">
        <v>45243</v>
      </c>
      <c r="B14" s="345" t="s">
        <v>84</v>
      </c>
      <c r="C14" s="337">
        <v>3</v>
      </c>
      <c r="D14" s="340" t="s">
        <v>94</v>
      </c>
      <c r="E14" s="88">
        <v>29064.799999999996</v>
      </c>
      <c r="F14" s="92">
        <f>(E14-Calibration_Curve!$G$4)/Calibration_Curve!$F$4</f>
        <v>0.33494978722440932</v>
      </c>
      <c r="G14" s="92"/>
      <c r="H14" s="95"/>
      <c r="I14" s="88">
        <v>16228</v>
      </c>
      <c r="J14" s="92">
        <f>(I14-Calibration_Curve!$J$4)/Calibration_Curve!$I$4</f>
        <v>0.39515924045225131</v>
      </c>
      <c r="K14" s="92"/>
      <c r="L14" s="95"/>
    </row>
    <row r="15" spans="1:12" x14ac:dyDescent="0.3">
      <c r="A15" s="343"/>
      <c r="B15" s="346"/>
      <c r="C15" s="338"/>
      <c r="D15" s="313"/>
      <c r="E15" s="89">
        <v>26992.2</v>
      </c>
      <c r="F15" s="146">
        <f>(E15-Calibration_Curve!$G$4)/Calibration_Curve!$F$4</f>
        <v>0.32348788807689821</v>
      </c>
      <c r="G15" s="146"/>
      <c r="H15" s="96"/>
      <c r="I15" s="89">
        <v>15290</v>
      </c>
      <c r="J15" s="146">
        <f>(I15-Calibration_Curve!$J$4)/Calibration_Curve!$I$4</f>
        <v>0.38610914579130823</v>
      </c>
      <c r="K15" s="146"/>
      <c r="L15" s="96"/>
    </row>
    <row r="16" spans="1:12" x14ac:dyDescent="0.3">
      <c r="A16" s="344"/>
      <c r="B16" s="347"/>
      <c r="C16" s="339"/>
      <c r="D16" s="341"/>
      <c r="E16" s="90">
        <v>27059.000000000025</v>
      </c>
      <c r="F16" s="93">
        <f>(E16-Calibration_Curve!$G$4)/Calibration_Curve!$F$4</f>
        <v>0.32385730565050341</v>
      </c>
      <c r="G16" s="93">
        <f>AVERAGE(F14:F16)</f>
        <v>0.32743166031727028</v>
      </c>
      <c r="H16" s="94">
        <f>_xlfn.STDEV.S(F14:F16)</f>
        <v>6.513508384872759E-3</v>
      </c>
      <c r="I16" s="90">
        <v>14705</v>
      </c>
      <c r="J16" s="93">
        <f>(I16-Calibration_Curve!$J$4)/Calibration_Curve!$I$4</f>
        <v>0.38046489698890773</v>
      </c>
      <c r="K16" s="93">
        <f>AVERAGE(J14:J16)</f>
        <v>0.38724442774415574</v>
      </c>
      <c r="L16" s="94">
        <f>_xlfn.STDEV.S(J14:J16)</f>
        <v>7.4126635758695438E-3</v>
      </c>
    </row>
    <row r="17" spans="1:12" x14ac:dyDescent="0.3">
      <c r="A17" s="342">
        <v>45244</v>
      </c>
      <c r="B17" s="337" t="s">
        <v>84</v>
      </c>
      <c r="C17" s="337">
        <v>3</v>
      </c>
      <c r="D17" s="340" t="s">
        <v>94</v>
      </c>
      <c r="E17" s="88">
        <v>30121</v>
      </c>
      <c r="F17" s="92">
        <f>(E17-Calibration_Curve!$G$4)/Calibration_Curve!$F$4</f>
        <v>0.34079078784179878</v>
      </c>
      <c r="G17" s="92"/>
      <c r="H17" s="95"/>
      <c r="I17" s="88">
        <v>17197</v>
      </c>
      <c r="J17" s="92">
        <f>(I17-Calibration_Curve!$J$4)/Calibration_Curve!$I$4</f>
        <v>0.4045084320582788</v>
      </c>
      <c r="K17" s="92"/>
      <c r="L17" s="95"/>
    </row>
    <row r="18" spans="1:12" x14ac:dyDescent="0.3">
      <c r="A18" s="343"/>
      <c r="B18" s="338"/>
      <c r="C18" s="338"/>
      <c r="D18" s="313"/>
      <c r="E18" s="89">
        <v>27586</v>
      </c>
      <c r="F18" s="146">
        <f>(E18-Calibration_Curve!$G$4)/Calibration_Curve!$F$4</f>
        <v>0.3267717227356805</v>
      </c>
      <c r="G18" s="146"/>
      <c r="H18" s="96"/>
      <c r="I18" s="89">
        <v>15870</v>
      </c>
      <c r="J18" s="146">
        <f>(I18-Calibration_Curve!$J$4)/Calibration_Curve!$I$4</f>
        <v>0.39170515315095322</v>
      </c>
      <c r="K18" s="146"/>
      <c r="L18" s="96"/>
    </row>
    <row r="19" spans="1:12" x14ac:dyDescent="0.3">
      <c r="A19" s="344"/>
      <c r="B19" s="339"/>
      <c r="C19" s="339"/>
      <c r="D19" s="341"/>
      <c r="E19" s="90">
        <v>26395</v>
      </c>
      <c r="F19" s="93">
        <f>(E19-Calibration_Curve!$G$4)/Calibration_Curve!$F$4</f>
        <v>0.32018525072724385</v>
      </c>
      <c r="G19" s="93">
        <f>AVERAGE(F17:F19)</f>
        <v>0.32924925376824105</v>
      </c>
      <c r="H19" s="94">
        <f>_xlfn.STDEV.S(F17:F19)</f>
        <v>1.0523813945419245E-2</v>
      </c>
      <c r="I19" s="90">
        <v>15101</v>
      </c>
      <c r="J19" s="93">
        <f>(I19-Calibration_Curve!$J$4)/Calibration_Curve!$I$4</f>
        <v>0.38428561925514809</v>
      </c>
      <c r="K19" s="93">
        <f>AVERAGE(J17:J19)</f>
        <v>0.39349973482146</v>
      </c>
      <c r="L19" s="94">
        <f>_xlfn.STDEV.S(J17:J19)</f>
        <v>1.023014818791527E-2</v>
      </c>
    </row>
    <row r="20" spans="1:12" x14ac:dyDescent="0.3">
      <c r="A20" s="342">
        <v>45253</v>
      </c>
      <c r="B20" s="337" t="s">
        <v>84</v>
      </c>
      <c r="C20" s="337" t="s">
        <v>103</v>
      </c>
      <c r="D20" s="340" t="s">
        <v>101</v>
      </c>
      <c r="E20" s="87">
        <v>14621</v>
      </c>
      <c r="F20" s="92">
        <f>(E20-Calibration_Curve!$G$4)/Calibration_Curve!$F$4</f>
        <v>0.25507263827776189</v>
      </c>
      <c r="G20" s="92"/>
      <c r="H20" s="95"/>
      <c r="I20" s="87">
        <v>7439</v>
      </c>
      <c r="J20" s="92">
        <f>(I20-Calibration_Curve!$J$4)/Calibration_Curve!$I$4</f>
        <v>0.31036043237652799</v>
      </c>
      <c r="K20" s="92"/>
      <c r="L20" s="95"/>
    </row>
    <row r="21" spans="1:12" x14ac:dyDescent="0.3">
      <c r="A21" s="343"/>
      <c r="B21" s="338"/>
      <c r="C21" s="338"/>
      <c r="D21" s="313"/>
      <c r="E21" s="89">
        <v>14739</v>
      </c>
      <c r="F21" s="146">
        <f>(E21-Calibration_Curve!$G$4)/Calibration_Curve!$F$4</f>
        <v>0.2557252022550881</v>
      </c>
      <c r="G21" s="146"/>
      <c r="H21" s="96"/>
      <c r="I21" s="76">
        <v>8233</v>
      </c>
      <c r="J21" s="146">
        <f>(I21-Calibration_Curve!$J$4)/Calibration_Curve!$I$4</f>
        <v>0.31802117348611092</v>
      </c>
      <c r="K21" s="146"/>
      <c r="L21" s="96"/>
    </row>
    <row r="22" spans="1:12" x14ac:dyDescent="0.3">
      <c r="A22" s="344"/>
      <c r="B22" s="339"/>
      <c r="C22" s="339"/>
      <c r="D22" s="341"/>
      <c r="E22" s="82">
        <v>14675</v>
      </c>
      <c r="F22" s="93">
        <f>(E22-Calibration_Curve!$G$4)/Calibration_Curve!$F$4</f>
        <v>0.25537126925043657</v>
      </c>
      <c r="G22" s="93">
        <f>AVERAGE(F20:F22)</f>
        <v>0.2553897032610955</v>
      </c>
      <c r="H22" s="94">
        <f>_xlfn.STDEV.S(F20:F22)</f>
        <v>3.2667230627600317E-4</v>
      </c>
      <c r="I22" s="82">
        <v>8013</v>
      </c>
      <c r="J22" s="93">
        <f>(I22-Calibration_Curve!$J$4)/Calibration_Curve!$I$4</f>
        <v>0.31589855000486627</v>
      </c>
      <c r="K22" s="93">
        <f>AVERAGE(J20:J22)</f>
        <v>0.31476005195583506</v>
      </c>
      <c r="L22" s="94">
        <f>_xlfn.STDEV.S(J20:J22)</f>
        <v>3.9552334877664764E-3</v>
      </c>
    </row>
    <row r="23" spans="1:12" x14ac:dyDescent="0.3">
      <c r="A23" s="342">
        <v>45254</v>
      </c>
      <c r="B23" s="337" t="s">
        <v>84</v>
      </c>
      <c r="C23" s="337" t="s">
        <v>104</v>
      </c>
      <c r="D23" s="340" t="s">
        <v>100</v>
      </c>
      <c r="E23" s="87">
        <v>9344</v>
      </c>
      <c r="F23" s="92">
        <f>(E23-Calibration_Curve!$G$4)/Calibration_Curve!$F$4</f>
        <v>0.22588975600360556</v>
      </c>
      <c r="G23" s="92"/>
      <c r="H23" s="95"/>
      <c r="I23" s="87">
        <v>5187</v>
      </c>
      <c r="J23" s="92">
        <f>(I23-Calibration_Curve!$J$4)/Calibration_Curve!$I$4</f>
        <v>0.28863248655942375</v>
      </c>
      <c r="K23" s="92"/>
      <c r="L23" s="95"/>
    </row>
    <row r="24" spans="1:12" x14ac:dyDescent="0.3">
      <c r="A24" s="343"/>
      <c r="B24" s="338"/>
      <c r="C24" s="338"/>
      <c r="D24" s="313"/>
      <c r="E24" s="76">
        <v>9714</v>
      </c>
      <c r="F24" s="146">
        <f>(E24-Calibration_Curve!$G$4)/Calibration_Curve!$F$4</f>
        <v>0.22793593118674707</v>
      </c>
      <c r="G24" s="146"/>
      <c r="H24" s="96"/>
      <c r="I24" s="76">
        <v>5470</v>
      </c>
      <c r="J24" s="146">
        <f>(I24-Calibration_Curve!$J$4)/Calibration_Curve!$I$4</f>
        <v>0.29136295221938846</v>
      </c>
      <c r="K24" s="146"/>
      <c r="L24" s="96"/>
    </row>
    <row r="25" spans="1:12" x14ac:dyDescent="0.3">
      <c r="A25" s="344"/>
      <c r="B25" s="339"/>
      <c r="C25" s="339"/>
      <c r="D25" s="341"/>
      <c r="E25" s="82">
        <v>8596</v>
      </c>
      <c r="F25" s="93">
        <f>(E25-Calibration_Curve!$G$4)/Calibration_Curve!$F$4</f>
        <v>0.22175316401174106</v>
      </c>
      <c r="G25" s="93">
        <f>AVERAGE(F23:F25)</f>
        <v>0.22519295040069789</v>
      </c>
      <c r="H25" s="94">
        <f>_xlfn.STDEV.S(F23:F25)</f>
        <v>3.1497311030095252E-3</v>
      </c>
      <c r="I25" s="82">
        <v>4805</v>
      </c>
      <c r="J25" s="93">
        <f>(I25-Calibration_Curve!$J$4)/Calibration_Curve!$I$4</f>
        <v>0.28494684033289902</v>
      </c>
      <c r="K25" s="93">
        <f>AVERAGE(J23:J25)</f>
        <v>0.28831409303723704</v>
      </c>
      <c r="L25" s="94">
        <f>_xlfn.STDEV.S(J23:J25)</f>
        <v>3.2198841223273229E-3</v>
      </c>
    </row>
    <row r="26" spans="1:12" x14ac:dyDescent="0.3">
      <c r="A26" s="342">
        <v>45266</v>
      </c>
      <c r="B26" s="337" t="s">
        <v>84</v>
      </c>
      <c r="C26" s="337" t="s">
        <v>110</v>
      </c>
      <c r="D26" s="340" t="s">
        <v>105</v>
      </c>
      <c r="E26" s="87">
        <v>35675</v>
      </c>
      <c r="F26" s="92">
        <f>(E26-Calibration_Curve!$G$4)/Calibration_Curve!$F$4</f>
        <v>0.37150553640171241</v>
      </c>
      <c r="G26" s="92"/>
      <c r="H26" s="95"/>
      <c r="I26" s="87">
        <v>20250</v>
      </c>
      <c r="J26" s="92">
        <f>(I26-Calibration_Curve!$J$4)/Calibration_Curve!$I$4</f>
        <v>0.43396465700482373</v>
      </c>
      <c r="K26" s="92"/>
      <c r="L26" s="95"/>
    </row>
    <row r="27" spans="1:12" x14ac:dyDescent="0.3">
      <c r="A27" s="343"/>
      <c r="B27" s="338"/>
      <c r="C27" s="338"/>
      <c r="D27" s="313"/>
      <c r="E27" s="76">
        <v>39097</v>
      </c>
      <c r="F27" s="146">
        <f>(E27-Calibration_Curve!$G$4)/Calibration_Curve!$F$4</f>
        <v>0.3904298917441727</v>
      </c>
      <c r="G27" s="146"/>
      <c r="H27" s="96"/>
      <c r="I27" s="76">
        <v>22452</v>
      </c>
      <c r="J27" s="146">
        <f>(I27-Calibration_Curve!$J$4)/Calibration_Curve!$I$4</f>
        <v>0.45521018839437233</v>
      </c>
      <c r="K27" s="146"/>
      <c r="L27" s="96"/>
    </row>
    <row r="28" spans="1:12" ht="15" thickBot="1" x14ac:dyDescent="0.35">
      <c r="A28" s="344"/>
      <c r="B28" s="339"/>
      <c r="C28" s="339"/>
      <c r="D28" s="341"/>
      <c r="E28" s="79">
        <v>35672</v>
      </c>
      <c r="F28" s="147">
        <f>(E28-Calibration_Curve!$G$4)/Calibration_Curve!$F$4</f>
        <v>0.37148894579211933</v>
      </c>
      <c r="G28" s="147">
        <f>AVERAGE(F26:F28)</f>
        <v>0.37780812464600144</v>
      </c>
      <c r="H28" s="148">
        <f>_xlfn.STDEV.S(F26:F28)</f>
        <v>1.093077409529809E-2</v>
      </c>
      <c r="I28" s="79">
        <v>20250</v>
      </c>
      <c r="J28" s="147">
        <f>(I28-Calibration_Curve!$J$4)/Calibration_Curve!$I$4</f>
        <v>0.43396465700482373</v>
      </c>
      <c r="K28" s="147">
        <f>AVERAGE(J26:J28)</f>
        <v>0.44104650080133995</v>
      </c>
      <c r="L28" s="148">
        <f>_xlfn.STDEV.S(J26:J28)</f>
        <v>1.2266113266832529E-2</v>
      </c>
    </row>
  </sheetData>
  <mergeCells count="38">
    <mergeCell ref="B14:B16"/>
    <mergeCell ref="B17:B19"/>
    <mergeCell ref="B20:B22"/>
    <mergeCell ref="B23:B25"/>
    <mergeCell ref="B26:B28"/>
    <mergeCell ref="A11:A13"/>
    <mergeCell ref="A8:A10"/>
    <mergeCell ref="A6:A7"/>
    <mergeCell ref="A3:A5"/>
    <mergeCell ref="B3:B5"/>
    <mergeCell ref="B6:B7"/>
    <mergeCell ref="B8:B10"/>
    <mergeCell ref="B11:B13"/>
    <mergeCell ref="A26:A28"/>
    <mergeCell ref="A23:A25"/>
    <mergeCell ref="A20:A22"/>
    <mergeCell ref="A17:A19"/>
    <mergeCell ref="A14:A16"/>
    <mergeCell ref="C20:C22"/>
    <mergeCell ref="C23:C25"/>
    <mergeCell ref="C26:C28"/>
    <mergeCell ref="C14:C16"/>
    <mergeCell ref="C17:C19"/>
    <mergeCell ref="D14:D16"/>
    <mergeCell ref="D17:D19"/>
    <mergeCell ref="D20:D22"/>
    <mergeCell ref="D23:D25"/>
    <mergeCell ref="D26:D28"/>
    <mergeCell ref="I1:L1"/>
    <mergeCell ref="E1:H1"/>
    <mergeCell ref="C11:C13"/>
    <mergeCell ref="D11:D13"/>
    <mergeCell ref="D8:D10"/>
    <mergeCell ref="D6:D7"/>
    <mergeCell ref="D3:D5"/>
    <mergeCell ref="C3:C5"/>
    <mergeCell ref="C6:C7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NOTATION</vt:lpstr>
      <vt:lpstr>Calibration_Curve</vt:lpstr>
      <vt:lpstr>CCD_1</vt:lpstr>
      <vt:lpstr>CCD_2</vt:lpstr>
      <vt:lpstr>CCD_3</vt:lpstr>
      <vt:lpstr>Run_1</vt:lpstr>
      <vt:lpstr>Run_2</vt:lpstr>
      <vt:lpstr>Screening_3</vt:lpstr>
      <vt:lpstr>RSM_3</vt:lpstr>
      <vt:lpstr>Optimization</vt:lpstr>
      <vt:lpstr>Real_matrix</vt:lpstr>
      <vt:lpstr>Aqueous 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villegas</dc:creator>
  <cp:lastModifiedBy>marco villegas</cp:lastModifiedBy>
  <cp:lastPrinted>2023-10-19T13:58:17Z</cp:lastPrinted>
  <dcterms:created xsi:type="dcterms:W3CDTF">2015-06-05T18:19:34Z</dcterms:created>
  <dcterms:modified xsi:type="dcterms:W3CDTF">2024-08-03T00:17:22Z</dcterms:modified>
</cp:coreProperties>
</file>