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723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C23" i="1" s="1"/>
  <c r="C13" i="1"/>
  <c r="C7" i="1"/>
  <c r="C21" i="1" l="1"/>
  <c r="A22" i="2"/>
  <c r="A21" i="2"/>
  <c r="A20" i="2"/>
  <c r="A19" i="2"/>
  <c r="C17" i="2"/>
  <c r="C16" i="2"/>
  <c r="C14" i="2"/>
  <c r="C10" i="2"/>
  <c r="C50" i="1" l="1"/>
  <c r="B2" i="2"/>
  <c r="B4" i="2" s="1"/>
  <c r="B5" i="2" s="1"/>
  <c r="B6" i="2" s="1"/>
  <c r="C29" i="1" l="1"/>
  <c r="C14" i="1"/>
  <c r="C15" i="1" s="1"/>
  <c r="C54" i="1"/>
  <c r="C53" i="1"/>
  <c r="C33" i="1" l="1"/>
  <c r="C34" i="1" s="1"/>
  <c r="C37" i="1" s="1"/>
  <c r="C39" i="1" s="1"/>
  <c r="C40" i="1" s="1"/>
  <c r="C55" i="1"/>
  <c r="C56" i="1" s="1"/>
  <c r="C24" i="1" s="1"/>
  <c r="C25" i="1" s="1"/>
  <c r="C43" i="1" l="1"/>
  <c r="C58" i="1" s="1"/>
</calcChain>
</file>

<file path=xl/sharedStrings.xml><?xml version="1.0" encoding="utf-8"?>
<sst xmlns="http://schemas.openxmlformats.org/spreadsheetml/2006/main" count="97" uniqueCount="79">
  <si>
    <t>r_1</t>
  </si>
  <si>
    <t>r_2</t>
  </si>
  <si>
    <t>a</t>
  </si>
  <si>
    <t>mm</t>
  </si>
  <si>
    <t>R_1</t>
  </si>
  <si>
    <t>R_2</t>
  </si>
  <si>
    <t>X</t>
  </si>
  <si>
    <t>F_1-2</t>
  </si>
  <si>
    <t>View Factor</t>
  </si>
  <si>
    <t>Area of mesh</t>
  </si>
  <si>
    <t>A</t>
  </si>
  <si>
    <t>mm^2</t>
  </si>
  <si>
    <t>A_mesh</t>
  </si>
  <si>
    <t>m^2</t>
  </si>
  <si>
    <t>Radiation</t>
  </si>
  <si>
    <t>stefan boltzmann (σ)</t>
  </si>
  <si>
    <t>emissivity (ε)</t>
  </si>
  <si>
    <t>T_mesh</t>
  </si>
  <si>
    <t>T_pot</t>
  </si>
  <si>
    <t>K</t>
  </si>
  <si>
    <t>q</t>
  </si>
  <si>
    <t>Q</t>
  </si>
  <si>
    <t>[W/m^2]</t>
  </si>
  <si>
    <t>kW</t>
  </si>
  <si>
    <t>* Use relationship for two co-axial disks of different radius</t>
  </si>
  <si>
    <t>kcal</t>
  </si>
  <si>
    <t>kJ</t>
  </si>
  <si>
    <t>J</t>
  </si>
  <si>
    <t>s</t>
  </si>
  <si>
    <t>W</t>
  </si>
  <si>
    <t>Power to boil water in 1L, 222s scenario</t>
  </si>
  <si>
    <t>Energy required</t>
  </si>
  <si>
    <t>Time</t>
  </si>
  <si>
    <t>Power</t>
  </si>
  <si>
    <t>Spec Heat Water</t>
  </si>
  <si>
    <t>Temp Difference</t>
  </si>
  <si>
    <t>Density Water</t>
  </si>
  <si>
    <t>Volume Water</t>
  </si>
  <si>
    <t>* Belonio: flame temp max is 610</t>
  </si>
  <si>
    <t>Reasonable</t>
  </si>
  <si>
    <t>Water evaporated</t>
  </si>
  <si>
    <t>g</t>
  </si>
  <si>
    <t>Latent heat of Evap</t>
  </si>
  <si>
    <t>Heat absorbed by pot</t>
  </si>
  <si>
    <t>Boiling off some water is inevitable. Add 25 cc lost to evaporation (conservative)</t>
  </si>
  <si>
    <t>There is a high probability that the mesh gets soot-covered initially and is black, but it burns off when hot. Burning particles are quite emissive. Let's try 0.9 for the mesh 'region'</t>
  </si>
  <si>
    <t>Assume pot temp of 60 C average during test (20-&gt; 100).</t>
  </si>
  <si>
    <t>Percent of heat contributed to cooking by Radiation from a red hot mesh dome under the centre.</t>
  </si>
  <si>
    <t>He has no ability to measure it. Assume CO flame at 1100 C and mesh temp of 750 C (max) as it is medium red</t>
  </si>
  <si>
    <t>Radiated energy = 268 W, believable</t>
  </si>
  <si>
    <t xml:space="preserve">That is believable too. </t>
  </si>
  <si>
    <t>Prepared 3/10/2012 by Marc Pare</t>
  </si>
  <si>
    <t>Reviewed and Revised by Crispin Pemberton-Pigott 3/11</t>
  </si>
  <si>
    <t>Upper Bound of Radiation Contribution on Improved Gasifier Cookstove</t>
  </si>
  <si>
    <t>r</t>
  </si>
  <si>
    <t>R</t>
  </si>
  <si>
    <t>F</t>
  </si>
  <si>
    <t>crispins "view factor" calculation</t>
  </si>
  <si>
    <t>A_pan</t>
  </si>
  <si>
    <t>D_pan</t>
  </si>
  <si>
    <t>gap height</t>
  </si>
  <si>
    <t>gap surface area</t>
  </si>
  <si>
    <t>% hitting pot</t>
  </si>
  <si>
    <t>http://www.engr.uky.edu/rtl/Catalog/sectionc/C-41.html</t>
  </si>
  <si>
    <t>Dimensions</t>
  </si>
  <si>
    <t>radius_pot</t>
  </si>
  <si>
    <t>radius_dome</t>
  </si>
  <si>
    <t>Crispin's Comments</t>
  </si>
  <si>
    <t>* Generous</t>
  </si>
  <si>
    <t>percent metal</t>
  </si>
  <si>
    <t>W/(m^2-K^4)</t>
  </si>
  <si>
    <t>kcal/kg-C</t>
  </si>
  <si>
    <t>C</t>
  </si>
  <si>
    <t>kg/m^3</t>
  </si>
  <si>
    <t>L</t>
  </si>
  <si>
    <t>m^3</t>
  </si>
  <si>
    <t>* Using 1 as an upper bound; it doesn't have much effect on the final result</t>
  </si>
  <si>
    <t>Bonus View Factor Calculation</t>
  </si>
  <si>
    <t>Released 3/17/2012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</si>
</sst>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1" fillId="0" borderId="1" xfId="0" applyFont="1" applyBorder="1"/>
    <xf numFmtId="165" fontId="1" fillId="0" borderId="1" xfId="0" applyNumberFormat="1" applyFont="1" applyBorder="1"/>
    <xf numFmtId="11" fontId="1" fillId="0" borderId="1" xfId="0" applyNumberFormat="1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166" fontId="1" fillId="0" borderId="1" xfId="1" applyNumberFormat="1" applyFont="1" applyBorder="1"/>
    <xf numFmtId="0" fontId="1" fillId="3" borderId="0" xfId="0" applyFont="1" applyFill="1" applyBorder="1" applyAlignment="1">
      <alignment wrapText="1"/>
    </xf>
    <xf numFmtId="10" fontId="5" fillId="3" borderId="0" xfId="2" applyNumberFormat="1" applyFont="1" applyFill="1" applyBorder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3"/>
    <xf numFmtId="0" fontId="1" fillId="3" borderId="1" xfId="0" applyFont="1" applyFill="1" applyBorder="1"/>
    <xf numFmtId="164" fontId="1" fillId="3" borderId="1" xfId="1" applyFont="1" applyFill="1" applyBorder="1"/>
    <xf numFmtId="0" fontId="2" fillId="4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50</xdr:row>
      <xdr:rowOff>77918</xdr:rowOff>
    </xdr:from>
    <xdr:to>
      <xdr:col>4</xdr:col>
      <xdr:colOff>1247775</xdr:colOff>
      <xdr:row>55</xdr:row>
      <xdr:rowOff>95249</xdr:rowOff>
    </xdr:to>
    <xdr:pic>
      <xdr:nvPicPr>
        <xdr:cNvPr id="4" name="Picture 3" descr="http://www.engr.uky.edu/rtl/Catalog/images/C-41fig_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13070018"/>
          <a:ext cx="1057275" cy="969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50</xdr:row>
      <xdr:rowOff>152400</xdr:rowOff>
    </xdr:from>
    <xdr:to>
      <xdr:col>5</xdr:col>
      <xdr:colOff>2171700</xdr:colOff>
      <xdr:row>55</xdr:row>
      <xdr:rowOff>57150</xdr:rowOff>
    </xdr:to>
    <xdr:pic>
      <xdr:nvPicPr>
        <xdr:cNvPr id="5" name="Picture 4" descr="http://www.engr.uky.edu/rtl/Catalog/images/C-41eq_n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13144500"/>
          <a:ext cx="21336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</xdr:row>
      <xdr:rowOff>104775</xdr:rowOff>
    </xdr:from>
    <xdr:to>
      <xdr:col>13</xdr:col>
      <xdr:colOff>447105</xdr:colOff>
      <xdr:row>20</xdr:row>
      <xdr:rowOff>28029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485775"/>
          <a:ext cx="4561905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r.uky.edu/rtl/Catalog/sectionc/C-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E7" sqref="E7"/>
    </sheetView>
  </sheetViews>
  <sheetFormatPr defaultRowHeight="15" x14ac:dyDescent="0.25"/>
  <cols>
    <col min="1" max="1" width="15.5703125" style="1" bestFit="1" customWidth="1"/>
    <col min="2" max="2" width="10.7109375" style="1" bestFit="1" customWidth="1"/>
    <col min="3" max="3" width="12.5703125" style="1" customWidth="1"/>
    <col min="4" max="4" width="2.5703125" customWidth="1"/>
    <col min="5" max="5" width="19.28515625" style="6" customWidth="1"/>
    <col min="6" max="6" width="35.140625" style="7" customWidth="1"/>
  </cols>
  <sheetData>
    <row r="1" spans="1:6" x14ac:dyDescent="0.25">
      <c r="A1" s="12" t="s">
        <v>53</v>
      </c>
    </row>
    <row r="2" spans="1:6" x14ac:dyDescent="0.25">
      <c r="A2" s="1" t="s">
        <v>51</v>
      </c>
    </row>
    <row r="3" spans="1:6" x14ac:dyDescent="0.25">
      <c r="A3" s="1" t="s">
        <v>52</v>
      </c>
    </row>
    <row r="4" spans="1:6" x14ac:dyDescent="0.25">
      <c r="A4" s="1" t="s">
        <v>78</v>
      </c>
      <c r="F4" s="7" t="s">
        <v>67</v>
      </c>
    </row>
    <row r="6" spans="1:6" x14ac:dyDescent="0.25">
      <c r="A6" s="13" t="s">
        <v>64</v>
      </c>
      <c r="B6" s="13"/>
      <c r="C6" s="13"/>
    </row>
    <row r="7" spans="1:6" ht="15" customHeight="1" x14ac:dyDescent="0.25">
      <c r="A7" s="3" t="s">
        <v>65</v>
      </c>
      <c r="B7" s="3" t="s">
        <v>3</v>
      </c>
      <c r="C7" s="3">
        <f>250/2</f>
        <v>125</v>
      </c>
    </row>
    <row r="8" spans="1:6" x14ac:dyDescent="0.25">
      <c r="A8" s="3" t="s">
        <v>66</v>
      </c>
      <c r="B8" s="3" t="s">
        <v>3</v>
      </c>
      <c r="C8" s="3">
        <v>125</v>
      </c>
    </row>
    <row r="9" spans="1:6" x14ac:dyDescent="0.25">
      <c r="A9" s="3" t="s">
        <v>60</v>
      </c>
      <c r="B9" s="3" t="s">
        <v>3</v>
      </c>
      <c r="C9" s="3">
        <v>40</v>
      </c>
    </row>
    <row r="10" spans="1:6" x14ac:dyDescent="0.25">
      <c r="C10"/>
      <c r="E10" s="8"/>
    </row>
    <row r="11" spans="1:6" x14ac:dyDescent="0.25">
      <c r="A11" s="13" t="s">
        <v>9</v>
      </c>
      <c r="B11" s="13"/>
      <c r="C11" s="13"/>
      <c r="E11" s="8"/>
    </row>
    <row r="12" spans="1:6" x14ac:dyDescent="0.25">
      <c r="A12" s="3" t="s">
        <v>69</v>
      </c>
      <c r="B12" s="3"/>
      <c r="C12" s="3">
        <v>0.1</v>
      </c>
      <c r="E12" s="8" t="s">
        <v>68</v>
      </c>
      <c r="F12" s="7" t="s">
        <v>39</v>
      </c>
    </row>
    <row r="13" spans="1:6" x14ac:dyDescent="0.25">
      <c r="A13" s="3" t="s">
        <v>10</v>
      </c>
      <c r="B13" s="3" t="s">
        <v>11</v>
      </c>
      <c r="C13" s="3">
        <f>PI()*C8^2</f>
        <v>49087.385212340516</v>
      </c>
      <c r="E13" s="8"/>
    </row>
    <row r="14" spans="1:6" x14ac:dyDescent="0.25">
      <c r="A14" s="3" t="s">
        <v>12</v>
      </c>
      <c r="B14" s="3" t="s">
        <v>11</v>
      </c>
      <c r="C14" s="3">
        <f>C13*C12</f>
        <v>4908.7385212340514</v>
      </c>
      <c r="E14" s="8"/>
    </row>
    <row r="15" spans="1:6" x14ac:dyDescent="0.25">
      <c r="A15" s="3"/>
      <c r="B15" s="3" t="s">
        <v>13</v>
      </c>
      <c r="C15" s="3">
        <f>C14/1000/1000</f>
        <v>4.9087385212340509E-3</v>
      </c>
      <c r="E15" s="8"/>
    </row>
    <row r="16" spans="1:6" x14ac:dyDescent="0.25">
      <c r="E16" s="8"/>
    </row>
    <row r="17" spans="1:6" x14ac:dyDescent="0.25">
      <c r="A17" s="13" t="s">
        <v>14</v>
      </c>
      <c r="B17" s="13"/>
      <c r="C17" s="13"/>
      <c r="E17" s="8"/>
    </row>
    <row r="18" spans="1:6" x14ac:dyDescent="0.25">
      <c r="A18" s="3" t="s">
        <v>15</v>
      </c>
      <c r="B18" s="3" t="s">
        <v>70</v>
      </c>
      <c r="C18" s="5">
        <v>5.6699999999999998E-8</v>
      </c>
      <c r="E18" s="8"/>
    </row>
    <row r="19" spans="1:6" ht="76.5" customHeight="1" x14ac:dyDescent="0.25">
      <c r="A19" s="3" t="s">
        <v>16</v>
      </c>
      <c r="B19" s="3"/>
      <c r="C19" s="3">
        <v>1</v>
      </c>
      <c r="D19" s="1"/>
      <c r="E19" s="8" t="s">
        <v>76</v>
      </c>
      <c r="F19" s="7" t="s">
        <v>45</v>
      </c>
    </row>
    <row r="20" spans="1:6" ht="33.75" customHeight="1" x14ac:dyDescent="0.25">
      <c r="A20" s="3" t="s">
        <v>17</v>
      </c>
      <c r="B20" s="3" t="s">
        <v>19</v>
      </c>
      <c r="C20" s="3">
        <f>750+273</f>
        <v>1023</v>
      </c>
      <c r="E20" s="8" t="s">
        <v>38</v>
      </c>
      <c r="F20" s="7" t="s">
        <v>48</v>
      </c>
    </row>
    <row r="21" spans="1:6" ht="30" x14ac:dyDescent="0.25">
      <c r="A21" s="3" t="s">
        <v>18</v>
      </c>
      <c r="B21" s="3" t="s">
        <v>19</v>
      </c>
      <c r="C21" s="3">
        <f>273+60</f>
        <v>333</v>
      </c>
      <c r="F21" s="7" t="s">
        <v>46</v>
      </c>
    </row>
    <row r="22" spans="1:6" x14ac:dyDescent="0.25">
      <c r="A22" s="3"/>
      <c r="B22" s="3"/>
      <c r="C22" s="3"/>
    </row>
    <row r="23" spans="1:6" x14ac:dyDescent="0.25">
      <c r="A23" s="3" t="s">
        <v>20</v>
      </c>
      <c r="B23" s="3" t="s">
        <v>22</v>
      </c>
      <c r="C23" s="3">
        <f>C19*C18*(C20^4-C21^4)</f>
        <v>61401.936945383997</v>
      </c>
    </row>
    <row r="24" spans="1:6" x14ac:dyDescent="0.25">
      <c r="A24" s="3" t="s">
        <v>21</v>
      </c>
      <c r="B24" s="3" t="s">
        <v>29</v>
      </c>
      <c r="C24" s="3">
        <f>C23*C15</f>
        <v>301.40605316219069</v>
      </c>
    </row>
    <row r="25" spans="1:6" x14ac:dyDescent="0.25">
      <c r="A25" s="3"/>
      <c r="B25" s="16" t="s">
        <v>23</v>
      </c>
      <c r="C25" s="16">
        <f>C24/1000</f>
        <v>0.30140605316219071</v>
      </c>
      <c r="F25" s="7" t="s">
        <v>49</v>
      </c>
    </row>
    <row r="27" spans="1:6" x14ac:dyDescent="0.25">
      <c r="A27" s="13" t="s">
        <v>30</v>
      </c>
      <c r="B27" s="13"/>
      <c r="C27" s="13"/>
    </row>
    <row r="28" spans="1:6" x14ac:dyDescent="0.25">
      <c r="A28" s="3" t="s">
        <v>34</v>
      </c>
      <c r="B28" s="3" t="s">
        <v>71</v>
      </c>
      <c r="C28" s="3">
        <v>1</v>
      </c>
    </row>
    <row r="29" spans="1:6" x14ac:dyDescent="0.25">
      <c r="A29" s="3" t="s">
        <v>35</v>
      </c>
      <c r="B29" s="3" t="s">
        <v>72</v>
      </c>
      <c r="C29" s="3">
        <f>100-26</f>
        <v>74</v>
      </c>
    </row>
    <row r="30" spans="1:6" x14ac:dyDescent="0.25">
      <c r="A30" s="3" t="s">
        <v>36</v>
      </c>
      <c r="B30" s="3" t="s">
        <v>73</v>
      </c>
      <c r="C30" s="3">
        <v>1000</v>
      </c>
    </row>
    <row r="31" spans="1:6" x14ac:dyDescent="0.25">
      <c r="A31" s="3" t="s">
        <v>37</v>
      </c>
      <c r="B31" s="3" t="s">
        <v>74</v>
      </c>
      <c r="C31" s="3">
        <v>1</v>
      </c>
    </row>
    <row r="32" spans="1:6" x14ac:dyDescent="0.25">
      <c r="A32" s="3"/>
      <c r="B32" s="3" t="s">
        <v>75</v>
      </c>
      <c r="C32" s="3">
        <v>1E-3</v>
      </c>
    </row>
    <row r="33" spans="1:6" x14ac:dyDescent="0.25">
      <c r="A33" s="3" t="s">
        <v>31</v>
      </c>
      <c r="B33" s="3" t="s">
        <v>25</v>
      </c>
      <c r="C33" s="3">
        <f>C28*C29*C32*C30</f>
        <v>74</v>
      </c>
    </row>
    <row r="34" spans="1:6" x14ac:dyDescent="0.25">
      <c r="A34" s="3"/>
      <c r="B34" s="3" t="s">
        <v>26</v>
      </c>
      <c r="C34" s="3">
        <f>C33*4.19</f>
        <v>310.06</v>
      </c>
    </row>
    <row r="35" spans="1:6" ht="45" x14ac:dyDescent="0.25">
      <c r="A35" s="3" t="s">
        <v>40</v>
      </c>
      <c r="B35" s="3" t="s">
        <v>41</v>
      </c>
      <c r="C35" s="3">
        <v>25</v>
      </c>
      <c r="F35" s="7" t="s">
        <v>44</v>
      </c>
    </row>
    <row r="36" spans="1:6" x14ac:dyDescent="0.25">
      <c r="A36" s="3" t="s">
        <v>42</v>
      </c>
      <c r="B36" s="3" t="s">
        <v>27</v>
      </c>
      <c r="C36" s="9">
        <v>2257</v>
      </c>
    </row>
    <row r="37" spans="1:6" x14ac:dyDescent="0.25">
      <c r="A37" s="3" t="s">
        <v>43</v>
      </c>
      <c r="B37" s="3" t="s">
        <v>27</v>
      </c>
      <c r="C37" s="9">
        <f>C34*1000+C36*C35</f>
        <v>366485</v>
      </c>
    </row>
    <row r="38" spans="1:6" x14ac:dyDescent="0.25">
      <c r="A38" s="3" t="s">
        <v>32</v>
      </c>
      <c r="B38" s="3" t="s">
        <v>28</v>
      </c>
      <c r="C38" s="3">
        <v>222</v>
      </c>
    </row>
    <row r="39" spans="1:6" x14ac:dyDescent="0.25">
      <c r="A39" s="3" t="s">
        <v>33</v>
      </c>
      <c r="B39" s="3" t="s">
        <v>29</v>
      </c>
      <c r="C39" s="9">
        <f>C37/C38</f>
        <v>1650.8333333333333</v>
      </c>
    </row>
    <row r="40" spans="1:6" x14ac:dyDescent="0.25">
      <c r="A40" s="3"/>
      <c r="B40" s="16" t="s">
        <v>23</v>
      </c>
      <c r="C40" s="17">
        <f>C39/1000</f>
        <v>1.6508333333333332</v>
      </c>
    </row>
    <row r="43" spans="1:6" ht="68.25" x14ac:dyDescent="0.25">
      <c r="A43" s="10" t="s">
        <v>47</v>
      </c>
      <c r="B43" s="2"/>
      <c r="C43" s="11">
        <f>C25/C40</f>
        <v>0.1825781240760368</v>
      </c>
      <c r="F43" s="7" t="s">
        <v>50</v>
      </c>
    </row>
    <row r="47" spans="1:6" x14ac:dyDescent="0.25">
      <c r="A47" s="18" t="s">
        <v>77</v>
      </c>
      <c r="B47" s="18"/>
      <c r="C47" s="18"/>
    </row>
    <row r="49" spans="1:5" x14ac:dyDescent="0.25">
      <c r="A49" s="13" t="s">
        <v>8</v>
      </c>
      <c r="B49" s="13"/>
      <c r="C49" s="13"/>
    </row>
    <row r="50" spans="1:5" ht="34.5" x14ac:dyDescent="0.25">
      <c r="A50" s="3" t="s">
        <v>0</v>
      </c>
      <c r="B50" s="3" t="s">
        <v>3</v>
      </c>
      <c r="C50" s="3">
        <f>250/2</f>
        <v>125</v>
      </c>
      <c r="E50" s="8" t="s">
        <v>24</v>
      </c>
    </row>
    <row r="51" spans="1:5" x14ac:dyDescent="0.25">
      <c r="A51" s="3" t="s">
        <v>1</v>
      </c>
      <c r="B51" s="3" t="s">
        <v>3</v>
      </c>
      <c r="C51" s="3">
        <v>125</v>
      </c>
    </row>
    <row r="52" spans="1:5" x14ac:dyDescent="0.25">
      <c r="A52" s="3" t="s">
        <v>2</v>
      </c>
      <c r="B52" s="3" t="s">
        <v>3</v>
      </c>
      <c r="C52" s="3">
        <v>40</v>
      </c>
    </row>
    <row r="53" spans="1:5" x14ac:dyDescent="0.25">
      <c r="A53" s="3" t="s">
        <v>4</v>
      </c>
      <c r="B53" s="3"/>
      <c r="C53" s="3">
        <f>C50/C52</f>
        <v>3.125</v>
      </c>
    </row>
    <row r="54" spans="1:5" x14ac:dyDescent="0.25">
      <c r="A54" s="3" t="s">
        <v>5</v>
      </c>
      <c r="B54" s="3"/>
      <c r="C54" s="3">
        <f>C51/C52</f>
        <v>3.125</v>
      </c>
    </row>
    <row r="55" spans="1:5" x14ac:dyDescent="0.25">
      <c r="A55" s="3" t="s">
        <v>6</v>
      </c>
      <c r="B55" s="3"/>
      <c r="C55" s="3">
        <f>1+(1+C54^2)/(C53^2)</f>
        <v>2.1024000000000003</v>
      </c>
    </row>
    <row r="56" spans="1:5" x14ac:dyDescent="0.25">
      <c r="A56" s="3" t="s">
        <v>7</v>
      </c>
      <c r="B56" s="3"/>
      <c r="C56" s="4">
        <f>(1/2)*(C55-(C55^2-4*(C54/C53)^2)^(1/2))</f>
        <v>0.72712988412999247</v>
      </c>
    </row>
    <row r="57" spans="1:5" x14ac:dyDescent="0.25">
      <c r="E57" s="15" t="s">
        <v>63</v>
      </c>
    </row>
    <row r="58" spans="1:5" ht="68.25" x14ac:dyDescent="0.25">
      <c r="A58" s="10" t="s">
        <v>47</v>
      </c>
      <c r="B58" s="2"/>
      <c r="C58" s="11">
        <f>C43*C56</f>
        <v>0.13275801020408001</v>
      </c>
    </row>
  </sheetData>
  <mergeCells count="6">
    <mergeCell ref="A49:C49"/>
    <mergeCell ref="A11:C11"/>
    <mergeCell ref="A17:C17"/>
    <mergeCell ref="A27:C27"/>
    <mergeCell ref="A6:C6"/>
    <mergeCell ref="A47:C47"/>
  </mergeCells>
  <hyperlinks>
    <hyperlink ref="E5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C13" sqref="C13"/>
    </sheetView>
  </sheetViews>
  <sheetFormatPr defaultRowHeight="15" x14ac:dyDescent="0.25"/>
  <cols>
    <col min="1" max="1" width="22.140625" customWidth="1"/>
  </cols>
  <sheetData>
    <row r="2" spans="1:3" x14ac:dyDescent="0.25">
      <c r="A2" t="s">
        <v>54</v>
      </c>
      <c r="B2">
        <f>250/2</f>
        <v>125</v>
      </c>
    </row>
    <row r="3" spans="1:3" x14ac:dyDescent="0.25">
      <c r="A3" t="s">
        <v>2</v>
      </c>
      <c r="B3">
        <v>40</v>
      </c>
    </row>
    <row r="4" spans="1:3" x14ac:dyDescent="0.25">
      <c r="A4" t="s">
        <v>55</v>
      </c>
      <c r="B4">
        <f>B2/B3</f>
        <v>3.125</v>
      </c>
    </row>
    <row r="5" spans="1:3" x14ac:dyDescent="0.25">
      <c r="A5" t="s">
        <v>6</v>
      </c>
      <c r="B5">
        <f>(2*B4^2+1)/B4^2</f>
        <v>2.1023999999999998</v>
      </c>
    </row>
    <row r="6" spans="1:3" x14ac:dyDescent="0.25">
      <c r="A6" t="s">
        <v>56</v>
      </c>
      <c r="B6">
        <f>(1/2)*(B5-(B5^2-4)^(1/2))</f>
        <v>0.72712988412999291</v>
      </c>
    </row>
    <row r="9" spans="1:3" x14ac:dyDescent="0.25">
      <c r="A9" s="14" t="s">
        <v>57</v>
      </c>
      <c r="B9" s="14"/>
      <c r="C9" s="14"/>
    </row>
    <row r="10" spans="1:3" x14ac:dyDescent="0.25">
      <c r="A10" t="s">
        <v>58</v>
      </c>
      <c r="B10" t="s">
        <v>11</v>
      </c>
      <c r="C10">
        <f>PI()*C11^2/4</f>
        <v>49087.385212340516</v>
      </c>
    </row>
    <row r="11" spans="1:3" x14ac:dyDescent="0.25">
      <c r="A11" t="s">
        <v>59</v>
      </c>
      <c r="B11" t="s">
        <v>3</v>
      </c>
      <c r="C11">
        <v>250</v>
      </c>
    </row>
    <row r="13" spans="1:3" x14ac:dyDescent="0.25">
      <c r="A13" t="s">
        <v>60</v>
      </c>
      <c r="B13" t="s">
        <v>3</v>
      </c>
      <c r="C13">
        <v>40</v>
      </c>
    </row>
    <row r="14" spans="1:3" x14ac:dyDescent="0.25">
      <c r="A14" t="s">
        <v>61</v>
      </c>
      <c r="B14" t="s">
        <v>11</v>
      </c>
      <c r="C14">
        <f>PI()*C11*C13</f>
        <v>31415.926535897928</v>
      </c>
    </row>
    <row r="16" spans="1:3" x14ac:dyDescent="0.25">
      <c r="C16">
        <f>C14+C10</f>
        <v>80503.31174823844</v>
      </c>
    </row>
    <row r="17" spans="1:3" x14ac:dyDescent="0.25">
      <c r="A17" t="s">
        <v>62</v>
      </c>
      <c r="C17">
        <f>C10/C16</f>
        <v>0.6097560975609756</v>
      </c>
    </row>
    <row r="19" spans="1:3" x14ac:dyDescent="0.25">
      <c r="A19">
        <f>DEGREES(ATAN(40/125))</f>
        <v>17.744671625056935</v>
      </c>
    </row>
    <row r="20" spans="1:3" x14ac:dyDescent="0.25">
      <c r="A20">
        <f>90-A19</f>
        <v>72.255328374943062</v>
      </c>
    </row>
    <row r="21" spans="1:3" x14ac:dyDescent="0.25">
      <c r="A21">
        <f>72.25/90</f>
        <v>0.80277777777777781</v>
      </c>
    </row>
    <row r="22" spans="1:3" x14ac:dyDescent="0.25">
      <c r="A22">
        <f>250/330</f>
        <v>0.75757575757575757</v>
      </c>
    </row>
  </sheetData>
  <mergeCells count="1"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2012-03-10T13:53:15Z</dcterms:created>
  <dcterms:modified xsi:type="dcterms:W3CDTF">2012-03-17T11:21:58Z</dcterms:modified>
</cp:coreProperties>
</file>