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shboard_excelencia_energía\datos\"/>
    </mc:Choice>
  </mc:AlternateContent>
  <xr:revisionPtr revIDLastSave="0" documentId="13_ncr:1_{48EB3CE4-0733-44BD-A72A-920889CC436B}" xr6:coauthVersionLast="47" xr6:coauthVersionMax="47" xr10:uidLastSave="{00000000-0000-0000-0000-000000000000}"/>
  <bookViews>
    <workbookView xWindow="-96" yWindow="-96" windowWidth="23232" windowHeight="12432" tabRatio="866" xr2:uid="{00000000-000D-0000-FFFF-FFFF00000000}"/>
  </bookViews>
  <sheets>
    <sheet name="Datos" sheetId="6" r:id="rId1"/>
    <sheet name="Campo Quesqui" sheetId="1" state="hidden" r:id="rId2"/>
    <sheet name="Q base orig" sheetId="4" state="hidden" r:id="rId3"/>
    <sheet name="Rel pozos" sheetId="3" state="hidden" r:id="rId4"/>
  </sheets>
  <definedNames>
    <definedName name="_xlnm._FilterDatabase" localSheetId="1" hidden="1">'Campo Quesqui'!$A$3:$BM$41</definedName>
    <definedName name="_xlnm._FilterDatabase" localSheetId="0" hidden="1">Datos!$B$1:$AL$199</definedName>
    <definedName name="_xlnm._FilterDatabase" localSheetId="2" hidden="1">'Q base orig'!$A$1:$BI$83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6" l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" i="6"/>
  <c r="AL39" i="6" l="1"/>
  <c r="AH39" i="6"/>
  <c r="AE39" i="6"/>
  <c r="AL38" i="6"/>
  <c r="AH38" i="6"/>
  <c r="AE38" i="6"/>
  <c r="AL37" i="6"/>
  <c r="AH37" i="6"/>
  <c r="AE37" i="6"/>
  <c r="AL36" i="6"/>
  <c r="AH36" i="6"/>
  <c r="AE36" i="6"/>
  <c r="AL35" i="6"/>
  <c r="AH35" i="6"/>
  <c r="AE35" i="6"/>
  <c r="AL34" i="6"/>
  <c r="AH34" i="6"/>
  <c r="AL33" i="6"/>
  <c r="AH33" i="6"/>
  <c r="AL32" i="6"/>
  <c r="AH32" i="6"/>
  <c r="AL31" i="6"/>
  <c r="AH31" i="6"/>
  <c r="AE31" i="6"/>
  <c r="AL30" i="6"/>
  <c r="AH30" i="6"/>
  <c r="AE30" i="6"/>
  <c r="AL29" i="6"/>
  <c r="AH29" i="6"/>
  <c r="AE29" i="6"/>
  <c r="AL28" i="6"/>
  <c r="AH28" i="6"/>
  <c r="AE28" i="6"/>
  <c r="AL27" i="6"/>
  <c r="AH27" i="6"/>
  <c r="AE27" i="6"/>
  <c r="AL26" i="6"/>
  <c r="AH26" i="6"/>
  <c r="AE26" i="6"/>
  <c r="AL25" i="6"/>
  <c r="AH25" i="6"/>
  <c r="AE25" i="6"/>
  <c r="AL24" i="6"/>
  <c r="AH24" i="6"/>
  <c r="AE24" i="6"/>
  <c r="AL23" i="6"/>
  <c r="AH23" i="6"/>
  <c r="AE23" i="6"/>
  <c r="AL22" i="6"/>
  <c r="AH22" i="6"/>
  <c r="AE22" i="6"/>
  <c r="AL21" i="6"/>
  <c r="AH21" i="6"/>
  <c r="AE21" i="6"/>
  <c r="AL20" i="6"/>
  <c r="AH20" i="6"/>
  <c r="AE20" i="6"/>
  <c r="AL19" i="6"/>
  <c r="AH19" i="6"/>
  <c r="AE19" i="6"/>
  <c r="AL18" i="6"/>
  <c r="AH18" i="6"/>
  <c r="AE18" i="6"/>
  <c r="AL17" i="6"/>
  <c r="AH17" i="6"/>
  <c r="AE17" i="6"/>
  <c r="AL16" i="6"/>
  <c r="AH16" i="6"/>
  <c r="AE16" i="6"/>
  <c r="AL15" i="6"/>
  <c r="AH15" i="6"/>
  <c r="AE15" i="6"/>
  <c r="AL14" i="6"/>
  <c r="AH14" i="6"/>
  <c r="AE14" i="6"/>
  <c r="AL13" i="6"/>
  <c r="AH13" i="6"/>
  <c r="AE13" i="6"/>
  <c r="AL12" i="6"/>
  <c r="AH12" i="6"/>
  <c r="AE12" i="6"/>
  <c r="AL11" i="6"/>
  <c r="AH11" i="6"/>
  <c r="AE11" i="6"/>
  <c r="AL10" i="6"/>
  <c r="AH10" i="6"/>
  <c r="AE10" i="6"/>
  <c r="AL9" i="6"/>
  <c r="AH9" i="6"/>
  <c r="AE9" i="6"/>
  <c r="AL8" i="6"/>
  <c r="AH8" i="6"/>
  <c r="AE8" i="6"/>
  <c r="AL7" i="6"/>
  <c r="AH7" i="6"/>
  <c r="AE7" i="6"/>
  <c r="AL6" i="6"/>
  <c r="AH6" i="6"/>
  <c r="AE6" i="6"/>
  <c r="AL5" i="6"/>
  <c r="AH5" i="6"/>
  <c r="AE5" i="6"/>
  <c r="AL4" i="6"/>
  <c r="AH4" i="6"/>
  <c r="AE4" i="6"/>
  <c r="AL3" i="6"/>
  <c r="AH3" i="6"/>
  <c r="AE3" i="6"/>
  <c r="W3" i="6"/>
  <c r="AL2" i="6"/>
  <c r="AH2" i="6"/>
  <c r="AE2" i="6"/>
  <c r="L39" i="1" l="1"/>
  <c r="M39" i="1"/>
  <c r="X39" i="1"/>
  <c r="T39" i="1"/>
  <c r="Q39" i="1"/>
  <c r="T32" i="1"/>
  <c r="X38" i="1"/>
  <c r="X13" i="1"/>
  <c r="X4" i="1"/>
  <c r="X14" i="1"/>
  <c r="X25" i="1"/>
  <c r="X7" i="1"/>
  <c r="X26" i="1"/>
  <c r="X27" i="1"/>
  <c r="X29" i="1"/>
  <c r="X28" i="1"/>
  <c r="X32" i="1"/>
  <c r="X24" i="1"/>
  <c r="X30" i="1"/>
  <c r="X36" i="1"/>
  <c r="X21" i="1"/>
  <c r="X40" i="1"/>
  <c r="X33" i="1"/>
  <c r="X31" i="1"/>
  <c r="X6" i="1"/>
  <c r="X16" i="1"/>
  <c r="X23" i="1"/>
  <c r="X22" i="1"/>
  <c r="X8" i="1"/>
  <c r="X37" i="1"/>
  <c r="X18" i="1"/>
  <c r="X35" i="1"/>
  <c r="X11" i="1"/>
  <c r="X17" i="1"/>
  <c r="X12" i="1"/>
  <c r="X10" i="1"/>
  <c r="X34" i="1"/>
  <c r="X19" i="1"/>
  <c r="X41" i="1"/>
  <c r="X20" i="1"/>
  <c r="X9" i="1"/>
  <c r="X15" i="1"/>
  <c r="X5" i="1"/>
  <c r="T36" i="1"/>
  <c r="T40" i="1"/>
  <c r="T37" i="1"/>
  <c r="T35" i="1"/>
  <c r="T34" i="1"/>
  <c r="T41" i="1"/>
  <c r="T38" i="1"/>
  <c r="Q40" i="1" l="1"/>
  <c r="L40" i="1"/>
  <c r="Q41" i="1"/>
  <c r="L41" i="1"/>
  <c r="Q37" i="1"/>
  <c r="Q38" i="1"/>
  <c r="L38" i="1"/>
  <c r="L37" i="1"/>
  <c r="L36" i="1"/>
  <c r="L35" i="1" l="1"/>
  <c r="M34" i="1" l="1"/>
  <c r="L34" i="1"/>
  <c r="Q32" i="1" l="1"/>
  <c r="N32" i="1"/>
  <c r="M32" i="1"/>
  <c r="L32" i="1"/>
  <c r="T30" i="1"/>
  <c r="Q30" i="1"/>
  <c r="Q26" i="1"/>
  <c r="Q29" i="1"/>
  <c r="Q19" i="1"/>
  <c r="T22" i="1" l="1"/>
  <c r="Q22" i="1"/>
  <c r="T25" i="1"/>
  <c r="Q25" i="1"/>
  <c r="Q13" i="1"/>
  <c r="Q8" i="1"/>
  <c r="T8" i="1"/>
  <c r="AG5" i="1" l="1"/>
  <c r="AM5" i="1"/>
  <c r="AN5" i="1"/>
  <c r="AV5" i="1"/>
  <c r="AW5" i="1"/>
  <c r="AX5" i="1"/>
  <c r="AY5" i="1"/>
  <c r="AZ5" i="1"/>
  <c r="BA6" i="1"/>
  <c r="BA7" i="1"/>
  <c r="BA8" i="1"/>
  <c r="BA9" i="1"/>
  <c r="BA10" i="1"/>
  <c r="BA11" i="1"/>
  <c r="AV12" i="1"/>
  <c r="AW12" i="1"/>
  <c r="AY12" i="1"/>
  <c r="BA13" i="1"/>
  <c r="AW14" i="1"/>
  <c r="BA14" i="1" s="1"/>
  <c r="AW15" i="1"/>
  <c r="BA15" i="1" s="1"/>
  <c r="BA16" i="1"/>
  <c r="BA4" i="1"/>
  <c r="AM17" i="1"/>
  <c r="AV17" i="1"/>
  <c r="AW17" i="1"/>
  <c r="AY17" i="1"/>
  <c r="AM18" i="1"/>
  <c r="BA18" i="1"/>
  <c r="AM19" i="1"/>
  <c r="BA19" i="1"/>
  <c r="AG20" i="1"/>
  <c r="AM20" i="1"/>
  <c r="BA20" i="1"/>
  <c r="AM21" i="1"/>
  <c r="AW21" i="1"/>
  <c r="BA21" i="1" s="1"/>
  <c r="AM22" i="1"/>
  <c r="AV22" i="1"/>
  <c r="AW22" i="1"/>
  <c r="AY22" i="1"/>
  <c r="AM23" i="1"/>
  <c r="BA23" i="1"/>
  <c r="AM24" i="1"/>
  <c r="BA24" i="1"/>
  <c r="AM25" i="1"/>
  <c r="BA25" i="1"/>
  <c r="AM26" i="1"/>
  <c r="AN26" i="1"/>
  <c r="BA26" i="1"/>
  <c r="BB26" i="1"/>
  <c r="AM27" i="1"/>
  <c r="BA27" i="1"/>
  <c r="AM28" i="1"/>
  <c r="AV28" i="1"/>
  <c r="AW28" i="1"/>
  <c r="AY28" i="1"/>
  <c r="AM29" i="1"/>
  <c r="AV29" i="1"/>
  <c r="AW29" i="1"/>
  <c r="AY29" i="1"/>
  <c r="BB29" i="1"/>
  <c r="AM30" i="1"/>
  <c r="BA30" i="1"/>
  <c r="AM33" i="1"/>
  <c r="BA33" i="1"/>
  <c r="AM31" i="1"/>
  <c r="BA31" i="1"/>
  <c r="Q80" i="4"/>
  <c r="T59" i="4"/>
  <c r="Q59" i="4"/>
  <c r="N59" i="4"/>
  <c r="M59" i="4"/>
  <c r="AZ58" i="4"/>
  <c r="AW58" i="4"/>
  <c r="AI58" i="4"/>
  <c r="AY58" i="4" s="1"/>
  <c r="T58" i="4"/>
  <c r="Q58" i="4"/>
  <c r="N58" i="4"/>
  <c r="M58" i="4"/>
  <c r="L58" i="4"/>
  <c r="AZ57" i="4"/>
  <c r="AW57" i="4"/>
  <c r="AI57" i="4"/>
  <c r="AY57" i="4" s="1"/>
  <c r="T57" i="4"/>
  <c r="Q57" i="4"/>
  <c r="N57" i="4"/>
  <c r="M57" i="4"/>
  <c r="L57" i="4"/>
  <c r="AZ56" i="4"/>
  <c r="AW56" i="4"/>
  <c r="AI56" i="4"/>
  <c r="AY56" i="4" s="1"/>
  <c r="T56" i="4"/>
  <c r="Q56" i="4"/>
  <c r="N56" i="4"/>
  <c r="M56" i="4"/>
  <c r="L56" i="4"/>
  <c r="AZ55" i="4"/>
  <c r="AW55" i="4"/>
  <c r="AI55" i="4"/>
  <c r="AY55" i="4" s="1"/>
  <c r="T55" i="4"/>
  <c r="Q55" i="4"/>
  <c r="N55" i="4"/>
  <c r="M55" i="4"/>
  <c r="L55" i="4"/>
  <c r="AZ54" i="4"/>
  <c r="AW54" i="4"/>
  <c r="AI54" i="4"/>
  <c r="AY54" i="4" s="1"/>
  <c r="T54" i="4"/>
  <c r="Q54" i="4"/>
  <c r="N54" i="4"/>
  <c r="M54" i="4"/>
  <c r="L54" i="4"/>
  <c r="AZ53" i="4"/>
  <c r="AW53" i="4"/>
  <c r="AJ53" i="4"/>
  <c r="AI53" i="4"/>
  <c r="AY53" i="4" s="1"/>
  <c r="T53" i="4"/>
  <c r="Q53" i="4"/>
  <c r="N53" i="4"/>
  <c r="M53" i="4"/>
  <c r="L53" i="4"/>
  <c r="AZ52" i="4"/>
  <c r="AR52" i="4"/>
  <c r="AW52" i="4" s="1"/>
  <c r="AJ52" i="4"/>
  <c r="AI52" i="4"/>
  <c r="AY52" i="4" s="1"/>
  <c r="T52" i="4"/>
  <c r="Q52" i="4"/>
  <c r="N52" i="4"/>
  <c r="M52" i="4"/>
  <c r="G52" i="4"/>
  <c r="L52" i="4" s="1"/>
  <c r="AS51" i="4"/>
  <c r="AR51" i="4"/>
  <c r="AJ51" i="4"/>
  <c r="AI51" i="4"/>
  <c r="T51" i="4"/>
  <c r="Q51" i="4"/>
  <c r="N51" i="4"/>
  <c r="H51" i="4"/>
  <c r="M51" i="4" s="1"/>
  <c r="G51" i="4"/>
  <c r="L51" i="4" s="1"/>
  <c r="AS50" i="4"/>
  <c r="AJ50" i="4"/>
  <c r="AI50" i="4"/>
  <c r="T50" i="4"/>
  <c r="Q50" i="4"/>
  <c r="N50" i="4"/>
  <c r="H50" i="4"/>
  <c r="AX49" i="4"/>
  <c r="AU49" i="4"/>
  <c r="AS49" i="4"/>
  <c r="AR49" i="4"/>
  <c r="AI49" i="4"/>
  <c r="T49" i="4"/>
  <c r="Q49" i="4"/>
  <c r="N49" i="4"/>
  <c r="J49" i="4"/>
  <c r="H49" i="4"/>
  <c r="M49" i="4" s="1"/>
  <c r="G49" i="4"/>
  <c r="AU48" i="4"/>
  <c r="AS48" i="4"/>
  <c r="AR48" i="4"/>
  <c r="AI48" i="4"/>
  <c r="T48" i="4"/>
  <c r="Q48" i="4"/>
  <c r="N48" i="4"/>
  <c r="J48" i="4"/>
  <c r="H48" i="4"/>
  <c r="M48" i="4" s="1"/>
  <c r="G48" i="4"/>
  <c r="AZ47" i="4"/>
  <c r="AW47" i="4"/>
  <c r="AI47" i="4"/>
  <c r="AY47" i="4" s="1"/>
  <c r="T47" i="4"/>
  <c r="Q47" i="4"/>
  <c r="N47" i="4"/>
  <c r="M47" i="4"/>
  <c r="L47" i="4"/>
  <c r="AZ46" i="4"/>
  <c r="AX46" i="4"/>
  <c r="AW46" i="4"/>
  <c r="AJ46" i="4"/>
  <c r="AI46" i="4"/>
  <c r="AY46" i="4" s="1"/>
  <c r="T46" i="4"/>
  <c r="Q46" i="4"/>
  <c r="N46" i="4"/>
  <c r="M46" i="4"/>
  <c r="L46" i="4"/>
  <c r="AZ45" i="4"/>
  <c r="AW45" i="4"/>
  <c r="AI45" i="4"/>
  <c r="AY45" i="4" s="1"/>
  <c r="T45" i="4"/>
  <c r="Q45" i="4"/>
  <c r="N45" i="4"/>
  <c r="M45" i="4"/>
  <c r="AZ44" i="4"/>
  <c r="AW44" i="4"/>
  <c r="AI44" i="4"/>
  <c r="AY44" i="4" s="1"/>
  <c r="T44" i="4"/>
  <c r="Q44" i="4"/>
  <c r="N44" i="4"/>
  <c r="M44" i="4"/>
  <c r="L44" i="4"/>
  <c r="AZ43" i="4"/>
  <c r="AW43" i="4"/>
  <c r="AI43" i="4"/>
  <c r="AY43" i="4" s="1"/>
  <c r="T43" i="4"/>
  <c r="Q43" i="4"/>
  <c r="N43" i="4"/>
  <c r="M43" i="4"/>
  <c r="L43" i="4"/>
  <c r="AZ42" i="4"/>
  <c r="AW42" i="4"/>
  <c r="AI42" i="4"/>
  <c r="AY42" i="4" s="1"/>
  <c r="T42" i="4"/>
  <c r="Q42" i="4"/>
  <c r="N42" i="4"/>
  <c r="M42" i="4"/>
  <c r="L42" i="4"/>
  <c r="AZ41" i="4"/>
  <c r="AW41" i="4"/>
  <c r="AI41" i="4"/>
  <c r="AY41" i="4" s="1"/>
  <c r="T41" i="4"/>
  <c r="Q41" i="4"/>
  <c r="N41" i="4"/>
  <c r="M41" i="4"/>
  <c r="L41" i="4"/>
  <c r="AZ40" i="4"/>
  <c r="AW40" i="4"/>
  <c r="AI40" i="4"/>
  <c r="AY40" i="4" s="1"/>
  <c r="AC40" i="4"/>
  <c r="T40" i="4"/>
  <c r="Q40" i="4"/>
  <c r="N40" i="4"/>
  <c r="M40" i="4"/>
  <c r="L40" i="4"/>
  <c r="AZ39" i="4"/>
  <c r="AW39" i="4"/>
  <c r="AJ39" i="4"/>
  <c r="AI39" i="4"/>
  <c r="AY39" i="4" s="1"/>
  <c r="T39" i="4"/>
  <c r="Q39" i="4"/>
  <c r="N39" i="4"/>
  <c r="M39" i="4"/>
  <c r="AZ38" i="4"/>
  <c r="AW38" i="4"/>
  <c r="AI38" i="4"/>
  <c r="AY38" i="4" s="1"/>
  <c r="T38" i="4"/>
  <c r="Q38" i="4"/>
  <c r="N38" i="4"/>
  <c r="M38" i="4"/>
  <c r="L38" i="4"/>
  <c r="AZ37" i="4"/>
  <c r="AW37" i="4"/>
  <c r="AI37" i="4"/>
  <c r="AY37" i="4" s="1"/>
  <c r="T37" i="4"/>
  <c r="Q37" i="4"/>
  <c r="N37" i="4"/>
  <c r="M37" i="4"/>
  <c r="L37" i="4"/>
  <c r="AU36" i="4"/>
  <c r="AS36" i="4"/>
  <c r="AR36" i="4"/>
  <c r="AI36" i="4"/>
  <c r="T36" i="4"/>
  <c r="Q36" i="4"/>
  <c r="N36" i="4"/>
  <c r="J36" i="4"/>
  <c r="H36" i="4"/>
  <c r="M36" i="4" s="1"/>
  <c r="G36" i="4"/>
  <c r="AS35" i="4"/>
  <c r="AI35" i="4"/>
  <c r="T35" i="4"/>
  <c r="Q35" i="4"/>
  <c r="N35" i="4"/>
  <c r="H35" i="4"/>
  <c r="M35" i="4" s="1"/>
  <c r="AZ34" i="4"/>
  <c r="AW34" i="4"/>
  <c r="AI34" i="4"/>
  <c r="AY34" i="4" s="1"/>
  <c r="T34" i="4"/>
  <c r="Q34" i="4"/>
  <c r="N34" i="4"/>
  <c r="M34" i="4"/>
  <c r="L34" i="4"/>
  <c r="AZ33" i="4"/>
  <c r="AW33" i="4"/>
  <c r="AI33" i="4"/>
  <c r="AY33" i="4" s="1"/>
  <c r="AC33" i="4"/>
  <c r="T33" i="4"/>
  <c r="Q33" i="4"/>
  <c r="N33" i="4"/>
  <c r="M33" i="4"/>
  <c r="L33" i="4"/>
  <c r="AZ32" i="4"/>
  <c r="AW32" i="4"/>
  <c r="AI32" i="4"/>
  <c r="AY32" i="4" s="1"/>
  <c r="T32" i="4"/>
  <c r="Q32" i="4"/>
  <c r="N32" i="4"/>
  <c r="M32" i="4"/>
  <c r="L32" i="4"/>
  <c r="AZ31" i="4"/>
  <c r="AW31" i="4"/>
  <c r="AI31" i="4"/>
  <c r="AY31" i="4" s="1"/>
  <c r="T31" i="4"/>
  <c r="Q31" i="4"/>
  <c r="N31" i="4"/>
  <c r="M31" i="4"/>
  <c r="L31" i="4"/>
  <c r="AU30" i="4"/>
  <c r="AS30" i="4"/>
  <c r="AR30" i="4"/>
  <c r="AI30" i="4"/>
  <c r="T30" i="4"/>
  <c r="Q30" i="4"/>
  <c r="N30" i="4"/>
  <c r="J30" i="4"/>
  <c r="H30" i="4"/>
  <c r="M30" i="4" s="1"/>
  <c r="G30" i="4"/>
  <c r="AS29" i="4"/>
  <c r="T29" i="4"/>
  <c r="Q29" i="4"/>
  <c r="N29" i="4"/>
  <c r="H29" i="4"/>
  <c r="AZ28" i="4"/>
  <c r="AY28" i="4"/>
  <c r="AW28" i="4"/>
  <c r="T28" i="4"/>
  <c r="Q28" i="4"/>
  <c r="N28" i="4"/>
  <c r="M28" i="4"/>
  <c r="L28" i="4"/>
  <c r="AW27" i="4"/>
  <c r="AJ27" i="4"/>
  <c r="AZ27" i="4" s="1"/>
  <c r="AI27" i="4"/>
  <c r="AY27" i="4" s="1"/>
  <c r="T27" i="4"/>
  <c r="Q27" i="4"/>
  <c r="N27" i="4"/>
  <c r="M27" i="4"/>
  <c r="L27" i="4"/>
  <c r="AW26" i="4"/>
  <c r="AJ26" i="4"/>
  <c r="AZ26" i="4" s="1"/>
  <c r="AI26" i="4"/>
  <c r="AY26" i="4" s="1"/>
  <c r="T26" i="4"/>
  <c r="Q26" i="4"/>
  <c r="N26" i="4"/>
  <c r="M26" i="4"/>
  <c r="L26" i="4"/>
  <c r="AU25" i="4"/>
  <c r="AT25" i="4"/>
  <c r="AS25" i="4"/>
  <c r="AR25" i="4"/>
  <c r="AJ25" i="4"/>
  <c r="AI25" i="4"/>
  <c r="T25" i="4"/>
  <c r="Q25" i="4"/>
  <c r="N25" i="4"/>
  <c r="J25" i="4"/>
  <c r="I25" i="4"/>
  <c r="H25" i="4"/>
  <c r="M25" i="4" s="1"/>
  <c r="G25" i="4"/>
  <c r="AW24" i="4"/>
  <c r="AJ24" i="4"/>
  <c r="AZ24" i="4" s="1"/>
  <c r="AI24" i="4"/>
  <c r="AY24" i="4" s="1"/>
  <c r="T24" i="4"/>
  <c r="Q24" i="4"/>
  <c r="N24" i="4"/>
  <c r="M24" i="4"/>
  <c r="L24" i="4"/>
  <c r="AW23" i="4"/>
  <c r="AJ23" i="4"/>
  <c r="AZ23" i="4" s="1"/>
  <c r="AI23" i="4"/>
  <c r="AY23" i="4" s="1"/>
  <c r="T23" i="4"/>
  <c r="Q23" i="4"/>
  <c r="N23" i="4"/>
  <c r="M23" i="4"/>
  <c r="L23" i="4"/>
  <c r="AZ22" i="4"/>
  <c r="AY22" i="4"/>
  <c r="AW22" i="4"/>
  <c r="T22" i="4"/>
  <c r="Q22" i="4"/>
  <c r="N22" i="4"/>
  <c r="M22" i="4"/>
  <c r="L22" i="4"/>
  <c r="AZ21" i="4"/>
  <c r="AY21" i="4"/>
  <c r="AW21" i="4"/>
  <c r="T21" i="4"/>
  <c r="Q21" i="4"/>
  <c r="N21" i="4"/>
  <c r="M21" i="4"/>
  <c r="L21" i="4"/>
  <c r="AZ20" i="4"/>
  <c r="AY20" i="4"/>
  <c r="AW20" i="4"/>
  <c r="T20" i="4"/>
  <c r="Q20" i="4"/>
  <c r="N20" i="4"/>
  <c r="M20" i="4"/>
  <c r="L20" i="4"/>
  <c r="AZ19" i="4"/>
  <c r="AY19" i="4"/>
  <c r="AW19" i="4"/>
  <c r="T19" i="4"/>
  <c r="Q19" i="4"/>
  <c r="N19" i="4"/>
  <c r="M19" i="4"/>
  <c r="L19" i="4"/>
  <c r="AS18" i="4"/>
  <c r="T18" i="4"/>
  <c r="Q18" i="4"/>
  <c r="N18" i="4"/>
  <c r="H18" i="4"/>
  <c r="AS17" i="4"/>
  <c r="T17" i="4"/>
  <c r="Q17" i="4"/>
  <c r="N17" i="4"/>
  <c r="H17" i="4"/>
  <c r="AZ16" i="4"/>
  <c r="AY16" i="4"/>
  <c r="AW16" i="4"/>
  <c r="T16" i="4"/>
  <c r="Q16" i="4"/>
  <c r="N16" i="4"/>
  <c r="M16" i="4"/>
  <c r="L16" i="4"/>
  <c r="AZ15" i="4"/>
  <c r="AY15" i="4"/>
  <c r="AW15" i="4"/>
  <c r="T15" i="4"/>
  <c r="Q15" i="4"/>
  <c r="N15" i="4"/>
  <c r="M15" i="4"/>
  <c r="L15" i="4"/>
  <c r="AU14" i="4"/>
  <c r="AS14" i="4"/>
  <c r="AR14" i="4"/>
  <c r="T14" i="4"/>
  <c r="Q14" i="4"/>
  <c r="N14" i="4"/>
  <c r="J14" i="4"/>
  <c r="H14" i="4"/>
  <c r="M14" i="4" s="1"/>
  <c r="G14" i="4"/>
  <c r="L14" i="4" s="1"/>
  <c r="AZ13" i="4"/>
  <c r="AY13" i="4"/>
  <c r="AW13" i="4"/>
  <c r="T13" i="4"/>
  <c r="Q13" i="4"/>
  <c r="N13" i="4"/>
  <c r="M13" i="4"/>
  <c r="L13" i="4"/>
  <c r="AZ12" i="4"/>
  <c r="AY12" i="4"/>
  <c r="AW12" i="4"/>
  <c r="T12" i="4"/>
  <c r="Q12" i="4"/>
  <c r="N12" i="4"/>
  <c r="M12" i="4"/>
  <c r="L12" i="4"/>
  <c r="AZ11" i="4"/>
  <c r="AY11" i="4"/>
  <c r="AV11" i="4"/>
  <c r="AR11" i="4"/>
  <c r="AW11" i="4" s="1"/>
  <c r="T11" i="4"/>
  <c r="Q11" i="4"/>
  <c r="N11" i="4"/>
  <c r="M11" i="4"/>
  <c r="K11" i="4"/>
  <c r="G11" i="4"/>
  <c r="AZ10" i="4"/>
  <c r="AY10" i="4"/>
  <c r="AW10" i="4"/>
  <c r="T10" i="4"/>
  <c r="Q10" i="4"/>
  <c r="N10" i="4"/>
  <c r="M10" i="4"/>
  <c r="L10" i="4"/>
  <c r="AZ9" i="4"/>
  <c r="AY9" i="4"/>
  <c r="AW9" i="4"/>
  <c r="T9" i="4"/>
  <c r="Q9" i="4"/>
  <c r="N9" i="4"/>
  <c r="M9" i="4"/>
  <c r="L9" i="4"/>
  <c r="AZ8" i="4"/>
  <c r="AY8" i="4"/>
  <c r="AW8" i="4"/>
  <c r="T8" i="4"/>
  <c r="Q8" i="4"/>
  <c r="N8" i="4"/>
  <c r="M8" i="4"/>
  <c r="AZ7" i="4"/>
  <c r="AY7" i="4"/>
  <c r="AW7" i="4"/>
  <c r="T7" i="4"/>
  <c r="Q7" i="4"/>
  <c r="N7" i="4"/>
  <c r="M7" i="4"/>
  <c r="L7" i="4"/>
  <c r="AV6" i="4"/>
  <c r="AU6" i="4"/>
  <c r="AT6" i="4"/>
  <c r="AS6" i="4"/>
  <c r="AR6" i="4"/>
  <c r="AJ6" i="4"/>
  <c r="AI6" i="4"/>
  <c r="AC6" i="4"/>
  <c r="T6" i="4"/>
  <c r="Q6" i="4"/>
  <c r="N6" i="4"/>
  <c r="K6" i="4"/>
  <c r="J6" i="4"/>
  <c r="I6" i="4"/>
  <c r="H6" i="4"/>
  <c r="M6" i="4" s="1"/>
  <c r="G6" i="4"/>
  <c r="AV5" i="4"/>
  <c r="AU5" i="4"/>
  <c r="AT5" i="4"/>
  <c r="AS5" i="4"/>
  <c r="AR5" i="4"/>
  <c r="T5" i="4"/>
  <c r="Q5" i="4"/>
  <c r="N5" i="4"/>
  <c r="K5" i="4"/>
  <c r="J5" i="4"/>
  <c r="I5" i="4"/>
  <c r="H5" i="4"/>
  <c r="G5" i="4"/>
  <c r="AZ4" i="4"/>
  <c r="AW4" i="4"/>
  <c r="AV4" i="4"/>
  <c r="AI4" i="4"/>
  <c r="AY4" i="4" s="1"/>
  <c r="T4" i="4"/>
  <c r="Q4" i="4"/>
  <c r="N4" i="4"/>
  <c r="M4" i="4"/>
  <c r="L4" i="4"/>
  <c r="K4" i="4"/>
  <c r="H43" i="3"/>
  <c r="H42" i="3"/>
  <c r="M41" i="3"/>
  <c r="M17" i="3"/>
  <c r="H40" i="3"/>
  <c r="H41" i="3"/>
  <c r="H17" i="3"/>
  <c r="H38" i="3"/>
  <c r="H37" i="3"/>
  <c r="H36" i="3"/>
  <c r="H35" i="3"/>
  <c r="H33" i="3"/>
  <c r="H31" i="3"/>
  <c r="H30" i="3"/>
  <c r="H18" i="3"/>
  <c r="H28" i="3"/>
  <c r="H25" i="3"/>
  <c r="H20" i="3"/>
  <c r="H16" i="3"/>
  <c r="H14" i="3"/>
  <c r="M4" i="3"/>
  <c r="H46" i="3"/>
  <c r="M11" i="3"/>
  <c r="H11" i="3"/>
  <c r="H10" i="3"/>
  <c r="H9" i="3"/>
  <c r="H8" i="3"/>
  <c r="H7" i="3"/>
  <c r="H5" i="3"/>
  <c r="H4" i="3"/>
  <c r="AW25" i="4" l="1"/>
  <c r="L49" i="4"/>
  <c r="L11" i="4"/>
  <c r="AW30" i="4"/>
  <c r="BA12" i="1"/>
  <c r="BA29" i="1"/>
  <c r="BA22" i="1"/>
  <c r="BA5" i="1"/>
  <c r="BA17" i="1"/>
  <c r="BA28" i="1"/>
  <c r="L30" i="4"/>
  <c r="AW36" i="4"/>
  <c r="AW48" i="4"/>
  <c r="AW51" i="4"/>
  <c r="L5" i="4"/>
  <c r="AW5" i="4"/>
  <c r="AW6" i="4"/>
  <c r="AW14" i="4"/>
  <c r="L36" i="4"/>
  <c r="L48" i="4"/>
  <c r="M5" i="4"/>
  <c r="L6" i="4"/>
  <c r="L25" i="4"/>
  <c r="AW49" i="4"/>
  <c r="AZ5" i="4"/>
  <c r="AY5" i="4"/>
  <c r="AZ6" i="4"/>
  <c r="AY6" i="4"/>
  <c r="AZ14" i="4"/>
  <c r="AY14" i="4"/>
  <c r="M17" i="4"/>
  <c r="L17" i="4"/>
  <c r="AZ17" i="4"/>
  <c r="AY17" i="4"/>
  <c r="AW17" i="4"/>
  <c r="M18" i="4"/>
  <c r="L18" i="4"/>
  <c r="AZ18" i="4"/>
  <c r="AY18" i="4"/>
  <c r="AW18" i="4"/>
  <c r="AZ25" i="4"/>
  <c r="AY25" i="4"/>
  <c r="M29" i="4"/>
  <c r="L29" i="4"/>
  <c r="AZ29" i="4"/>
  <c r="AY29" i="4"/>
  <c r="AW29" i="4"/>
  <c r="AZ30" i="4"/>
  <c r="AY30" i="4"/>
  <c r="AZ35" i="4"/>
  <c r="AY35" i="4"/>
  <c r="AW35" i="4"/>
  <c r="AZ36" i="4"/>
  <c r="AY36" i="4"/>
  <c r="AZ48" i="4"/>
  <c r="AY48" i="4"/>
  <c r="AZ49" i="4"/>
  <c r="AY49" i="4"/>
  <c r="M50" i="4"/>
  <c r="L50" i="4"/>
  <c r="AZ50" i="4"/>
  <c r="AY50" i="4"/>
  <c r="AW50" i="4"/>
  <c r="AZ51" i="4"/>
  <c r="AY51" i="4"/>
  <c r="Q5" i="1" l="1"/>
  <c r="Q6" i="1"/>
  <c r="Q7" i="1"/>
  <c r="Q9" i="1"/>
  <c r="Q10" i="1"/>
  <c r="Q11" i="1"/>
  <c r="Q12" i="1"/>
  <c r="Q14" i="1"/>
  <c r="Q15" i="1"/>
  <c r="Q16" i="1"/>
  <c r="Q4" i="1"/>
  <c r="Q17" i="1"/>
  <c r="Q18" i="1"/>
  <c r="Q20" i="1"/>
  <c r="Q21" i="1"/>
  <c r="Q23" i="1"/>
  <c r="Q24" i="1"/>
  <c r="Q27" i="1"/>
  <c r="Q28" i="1"/>
  <c r="Q33" i="1"/>
  <c r="Q31" i="1"/>
  <c r="T5" i="1"/>
  <c r="T6" i="1"/>
  <c r="T7" i="1"/>
  <c r="T9" i="1"/>
  <c r="T10" i="1"/>
  <c r="T11" i="1"/>
  <c r="T12" i="1"/>
  <c r="T13" i="1"/>
  <c r="T14" i="1"/>
  <c r="T15" i="1"/>
  <c r="T16" i="1"/>
  <c r="T4" i="1"/>
  <c r="T17" i="1"/>
  <c r="T18" i="1"/>
  <c r="T19" i="1"/>
  <c r="T20" i="1"/>
  <c r="T21" i="1"/>
  <c r="T23" i="1"/>
  <c r="T24" i="1"/>
  <c r="T26" i="1"/>
  <c r="T27" i="1"/>
  <c r="T28" i="1"/>
  <c r="T29" i="1"/>
  <c r="T33" i="1"/>
  <c r="T31" i="1"/>
  <c r="M6" i="1"/>
  <c r="M7" i="1"/>
  <c r="M8" i="1"/>
  <c r="M9" i="1"/>
  <c r="M10" i="1"/>
  <c r="M11" i="1"/>
  <c r="M13" i="1"/>
  <c r="M16" i="1"/>
  <c r="M4" i="1"/>
  <c r="M18" i="1"/>
  <c r="M19" i="1"/>
  <c r="M20" i="1"/>
  <c r="M23" i="1"/>
  <c r="M24" i="1"/>
  <c r="M25" i="1"/>
  <c r="M26" i="1"/>
  <c r="M27" i="1"/>
  <c r="M30" i="1"/>
  <c r="M33" i="1"/>
  <c r="M31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3" i="1"/>
  <c r="N31" i="1"/>
  <c r="L31" i="1"/>
  <c r="L33" i="1"/>
  <c r="L30" i="1"/>
  <c r="J29" i="1"/>
  <c r="H29" i="1"/>
  <c r="M29" i="1" s="1"/>
  <c r="G29" i="1"/>
  <c r="J28" i="1"/>
  <c r="H28" i="1"/>
  <c r="M28" i="1" s="1"/>
  <c r="G28" i="1"/>
  <c r="L27" i="1"/>
  <c r="L26" i="1"/>
  <c r="L25" i="1"/>
  <c r="L24" i="1"/>
  <c r="L23" i="1"/>
  <c r="J22" i="1"/>
  <c r="H22" i="1"/>
  <c r="M22" i="1" s="1"/>
  <c r="G22" i="1"/>
  <c r="H21" i="1"/>
  <c r="M21" i="1" s="1"/>
  <c r="L20" i="1"/>
  <c r="L19" i="1"/>
  <c r="L18" i="1"/>
  <c r="J17" i="1"/>
  <c r="H17" i="1"/>
  <c r="M17" i="1" s="1"/>
  <c r="G17" i="1"/>
  <c r="L4" i="1"/>
  <c r="L16" i="1"/>
  <c r="H15" i="1"/>
  <c r="L15" i="1" s="1"/>
  <c r="H14" i="1"/>
  <c r="L14" i="1" s="1"/>
  <c r="L13" i="1"/>
  <c r="J12" i="1"/>
  <c r="H12" i="1"/>
  <c r="M12" i="1" s="1"/>
  <c r="G12" i="1"/>
  <c r="L11" i="1"/>
  <c r="L10" i="1"/>
  <c r="L9" i="1"/>
  <c r="L8" i="1"/>
  <c r="L6" i="1"/>
  <c r="K5" i="1"/>
  <c r="J5" i="1"/>
  <c r="I5" i="1"/>
  <c r="H5" i="1"/>
  <c r="G5" i="1"/>
  <c r="M5" i="1" l="1"/>
  <c r="M15" i="1"/>
  <c r="M14" i="1"/>
  <c r="L12" i="1"/>
  <c r="L22" i="1"/>
  <c r="L29" i="1"/>
  <c r="L5" i="1"/>
  <c r="L28" i="1"/>
  <c r="L17" i="1"/>
  <c r="BD31" i="1" l="1"/>
  <c r="BC31" i="1"/>
  <c r="BC33" i="1" l="1"/>
  <c r="BD33" i="1"/>
  <c r="BD14" i="1" l="1"/>
  <c r="BC14" i="1"/>
  <c r="BD30" i="1"/>
  <c r="BC30" i="1"/>
  <c r="BD21" i="1" l="1"/>
  <c r="BC21" i="1" l="1"/>
  <c r="BD20" i="1" l="1"/>
  <c r="BD27" i="1"/>
  <c r="BD18" i="1" l="1"/>
  <c r="BC18" i="1"/>
  <c r="BD25" i="1" l="1"/>
  <c r="BC25" i="1" l="1"/>
  <c r="BD29" i="1" l="1"/>
  <c r="BD26" i="1"/>
  <c r="BC26" i="1"/>
  <c r="BC29" i="1" l="1"/>
  <c r="BC27" i="1"/>
  <c r="BD28" i="1" l="1"/>
  <c r="BC20" i="1" l="1"/>
  <c r="BC6" i="1" l="1"/>
  <c r="BD17" i="1"/>
  <c r="BD15" i="1"/>
  <c r="BC12" i="1"/>
  <c r="BD6" i="1"/>
  <c r="BC7" i="1"/>
  <c r="BD7" i="1"/>
  <c r="BC8" i="1"/>
  <c r="BD8" i="1"/>
  <c r="BC9" i="1"/>
  <c r="BD9" i="1"/>
  <c r="BC10" i="1"/>
  <c r="BD10" i="1"/>
  <c r="BC11" i="1"/>
  <c r="BD11" i="1"/>
  <c r="BC13" i="1"/>
  <c r="BD13" i="1"/>
  <c r="BC16" i="1"/>
  <c r="BD16" i="1"/>
  <c r="BC4" i="1"/>
  <c r="BD4" i="1"/>
  <c r="BC19" i="1"/>
  <c r="BD19" i="1"/>
  <c r="BC22" i="1"/>
  <c r="BD22" i="1"/>
  <c r="BC23" i="1"/>
  <c r="BD23" i="1"/>
  <c r="BC24" i="1"/>
  <c r="BD24" i="1"/>
  <c r="BC28" i="1"/>
  <c r="BC5" i="1" l="1"/>
  <c r="BD5" i="1"/>
  <c r="BC17" i="1"/>
  <c r="BC15" i="1"/>
  <c r="BD12" i="1"/>
</calcChain>
</file>

<file path=xl/sharedStrings.xml><?xml version="1.0" encoding="utf-8"?>
<sst xmlns="http://schemas.openxmlformats.org/spreadsheetml/2006/main" count="3026" uniqueCount="545">
  <si>
    <t>NO</t>
  </si>
  <si>
    <t>Pozo</t>
  </si>
  <si>
    <t>Fecha de estimulación</t>
  </si>
  <si>
    <t>Detalle de las estimulaciones</t>
  </si>
  <si>
    <t>Volumenes bomebados</t>
  </si>
  <si>
    <t>Total
[m3]</t>
  </si>
  <si>
    <t>Intervalo tratado
[md]</t>
  </si>
  <si>
    <t>Qiny max
[bpm]</t>
  </si>
  <si>
    <t>Incremento</t>
  </si>
  <si>
    <r>
      <rPr>
        <sz val="11"/>
        <color theme="1"/>
        <rFont val="Calibri"/>
        <family val="2"/>
      </rPr>
      <t>Δ</t>
    </r>
    <r>
      <rPr>
        <sz val="11"/>
        <color theme="1"/>
        <rFont val="Arial Nova Cond Light"/>
        <family val="2"/>
      </rPr>
      <t>Qo
[bls]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</si>
  <si>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Arial Nova Cond Light"/>
        <family val="2"/>
      </rPr>
      <t>Qg
[MMpcd]</t>
    </r>
  </si>
  <si>
    <t>Servicios</t>
  </si>
  <si>
    <t>Costo total
[Mmpesos]</t>
  </si>
  <si>
    <t>Costo
[Mmpesos]</t>
  </si>
  <si>
    <t>VPD/VPI</t>
  </si>
  <si>
    <t>Relación ácido/hb
[m3/m]</t>
  </si>
  <si>
    <t>Beneficio de la estimulación</t>
  </si>
  <si>
    <t>Quesqui-1EXP</t>
  </si>
  <si>
    <t>Quesqui-3DEL</t>
  </si>
  <si>
    <t>Quesqui-34</t>
  </si>
  <si>
    <t>Quesqui-4DEL</t>
  </si>
  <si>
    <t>Quesqui-3</t>
  </si>
  <si>
    <t>Quesqui-11</t>
  </si>
  <si>
    <t>Quesqui-14</t>
  </si>
  <si>
    <t>Quesqui-6</t>
  </si>
  <si>
    <t>Quesqui-9</t>
  </si>
  <si>
    <t>Quesqui-10</t>
  </si>
  <si>
    <t>Quesqui-33</t>
  </si>
  <si>
    <t>Quesqui-13</t>
  </si>
  <si>
    <t>Quesqui-40</t>
  </si>
  <si>
    <t>Quesqui-31ST</t>
  </si>
  <si>
    <t>Quesqui-32</t>
  </si>
  <si>
    <t>Quesqui-41</t>
  </si>
  <si>
    <t>Quesqui-5</t>
  </si>
  <si>
    <t>Quesqui-49</t>
  </si>
  <si>
    <t>Quesqui-42</t>
  </si>
  <si>
    <t>Tipo de cédula</t>
  </si>
  <si>
    <t>Liquida</t>
  </si>
  <si>
    <t>SLB</t>
  </si>
  <si>
    <t>HLB</t>
  </si>
  <si>
    <t>WTF</t>
  </si>
  <si>
    <t>SOLV.
[m3]</t>
  </si>
  <si>
    <t>QUEL.
[m3]</t>
  </si>
  <si>
    <t>DIVER.
[m3]</t>
  </si>
  <si>
    <t>SOLVENTE</t>
  </si>
  <si>
    <t>ÁCIDO</t>
  </si>
  <si>
    <t>QUELANTE</t>
  </si>
  <si>
    <t>DIVERGENTE</t>
  </si>
  <si>
    <t>OSA-M</t>
  </si>
  <si>
    <t>CSA
HTA-746
X-TEND</t>
  </si>
  <si>
    <t>ZCA (10%)</t>
  </si>
  <si>
    <t>DESP.</t>
  </si>
  <si>
    <t>N2</t>
  </si>
  <si>
    <t>DESP.
[m3]</t>
  </si>
  <si>
    <t>ACID.
[m3]</t>
  </si>
  <si>
    <t>Terminación del pozo</t>
  </si>
  <si>
    <t>LN RANURADO 5"</t>
  </si>
  <si>
    <t>Formación</t>
  </si>
  <si>
    <t>KI/JST/JSK</t>
  </si>
  <si>
    <t>Quesqui-12</t>
  </si>
  <si>
    <t>JSK</t>
  </si>
  <si>
    <t>AD 4 1/8"</t>
  </si>
  <si>
    <t>CSA (HCl 15%)
HTA-746
X-TEND (HCl 12%)</t>
  </si>
  <si>
    <t>Compañía</t>
  </si>
  <si>
    <t>N2 
TOTAL</t>
  </si>
  <si>
    <t>AD 8 1/2"</t>
  </si>
  <si>
    <t>OILSOLV</t>
  </si>
  <si>
    <t>VISCOGEN</t>
  </si>
  <si>
    <t>Quesqui-8</t>
  </si>
  <si>
    <t>Quesqui-1DEL</t>
  </si>
  <si>
    <t>U820</t>
  </si>
  <si>
    <t>OPR</t>
  </si>
  <si>
    <t>VDA 10%</t>
  </si>
  <si>
    <t>SALMUERA 1.03 GR/CM3</t>
  </si>
  <si>
    <t>PTP final
[psi]</t>
  </si>
  <si>
    <t>Pérdida de lodo
[m3]</t>
  </si>
  <si>
    <t>AD 6 1/8"</t>
  </si>
  <si>
    <t>ZCA</t>
  </si>
  <si>
    <t>CSA
X-TEND</t>
  </si>
  <si>
    <t>Tyac
[°C]</t>
  </si>
  <si>
    <t>Pyac
[psi]</t>
  </si>
  <si>
    <t>KI-JST-JSK</t>
  </si>
  <si>
    <t>LN RANURADO 5" + AD 5 5/8"</t>
  </si>
  <si>
    <t>CLEANSWEEP I</t>
  </si>
  <si>
    <t>Quesqui-44</t>
  </si>
  <si>
    <t>AD 5 5/8"</t>
  </si>
  <si>
    <t>Prueba de Admisión</t>
  </si>
  <si>
    <t>AGUA TRATADA</t>
  </si>
  <si>
    <t>Quesqui-1</t>
  </si>
  <si>
    <t>Quesqui-15</t>
  </si>
  <si>
    <t>Quesqui-29</t>
  </si>
  <si>
    <t>Quesqui-18</t>
  </si>
  <si>
    <t>Quesqui-18ST</t>
  </si>
  <si>
    <t>JST-JSK</t>
  </si>
  <si>
    <t>LN RANURADO + AD</t>
  </si>
  <si>
    <t>AD</t>
  </si>
  <si>
    <t>Base
[md]</t>
  </si>
  <si>
    <t>Cima
[md]</t>
  </si>
  <si>
    <t>hb
[md]</t>
  </si>
  <si>
    <t>hn
[mV]</t>
  </si>
  <si>
    <t>hn
[md]</t>
  </si>
  <si>
    <t>Tipo de fluido</t>
  </si>
  <si>
    <t>Gas y condensado</t>
  </si>
  <si>
    <t>Líquida</t>
  </si>
  <si>
    <t>Líquida-Nitrogenada</t>
  </si>
  <si>
    <t>Estimulación Matricial</t>
  </si>
  <si>
    <t>GEL LINEAL</t>
  </si>
  <si>
    <t>Tipo de tratamiento</t>
  </si>
  <si>
    <t>AD 5 7/8"</t>
  </si>
  <si>
    <t>OPR
MSR 100 ORG 15%</t>
  </si>
  <si>
    <t>CARBOACID</t>
  </si>
  <si>
    <t>DUALSMART</t>
  </si>
  <si>
    <t>SALMUERA 1.01 GR/CM3</t>
  </si>
  <si>
    <t>NARS-400
U820</t>
  </si>
  <si>
    <t>SALMUERA 1.02 GR/CM3</t>
  </si>
  <si>
    <t>CSA
HRA</t>
  </si>
  <si>
    <t>KELASTIM PLUS ACID</t>
  </si>
  <si>
    <t>U820
NARS-400</t>
  </si>
  <si>
    <t>OILSOL</t>
  </si>
  <si>
    <t>X-TEND</t>
  </si>
  <si>
    <t>HTA-746
CSA</t>
  </si>
  <si>
    <t>SALMUERA 1.20 GR/CM3</t>
  </si>
  <si>
    <t>Permeabilidad
[mD]</t>
  </si>
  <si>
    <t>8-12</t>
  </si>
  <si>
    <t>5-13.7</t>
  </si>
  <si>
    <t>AS 6 1/8"</t>
  </si>
  <si>
    <t>Porosidad
[%]</t>
  </si>
  <si>
    <t>KS-JSK</t>
  </si>
  <si>
    <t>4.1-6.2</t>
  </si>
  <si>
    <t>° API</t>
  </si>
  <si>
    <t>LN RANURADO 5" + 
AD 6 1/8"</t>
  </si>
  <si>
    <t>LN LISO 5" + LN RANURADO 
5 1/2" + AD 6 1/8"</t>
  </si>
  <si>
    <t>KI-KM-JST-JSK</t>
  </si>
  <si>
    <t>Estimulación de Limpia</t>
  </si>
  <si>
    <t>Quesqui-47</t>
  </si>
  <si>
    <t>Relación ácido/hn
[m3/m]</t>
  </si>
  <si>
    <t xml:space="preserve">Estimulación Matricial </t>
  </si>
  <si>
    <t>CARBOACID HT</t>
  </si>
  <si>
    <t>AGUA TRATADA 1.0 GR/CM3</t>
  </si>
  <si>
    <t>?</t>
  </si>
  <si>
    <t>4.1 - 6.2</t>
  </si>
  <si>
    <t>Bombeo en Directo</t>
  </si>
  <si>
    <t>Estimulación Matricial Extendida</t>
  </si>
  <si>
    <t>Estimulación de Limpia No Reactiva</t>
  </si>
  <si>
    <t>CSA
X-TE
HTA-746</t>
  </si>
  <si>
    <t>OISOLV</t>
  </si>
  <si>
    <t>5.5-15</t>
  </si>
  <si>
    <t>Quesqui-48ST</t>
  </si>
  <si>
    <t>KM-KI-JST-JSK</t>
  </si>
  <si>
    <t>LN RANURADO 7"</t>
  </si>
  <si>
    <t>SALMUERA CÁLCICA 1.05 GR/CM3</t>
  </si>
  <si>
    <t>4,760-2,860</t>
  </si>
  <si>
    <t>SALMUERA</t>
  </si>
  <si>
    <t>55.7-16.21-12</t>
  </si>
  <si>
    <t>OPR 15%
MASR 100 ORG EQ- 15%</t>
  </si>
  <si>
    <t>CSA (HCl 15%)
X-TEND (HCl 12%)</t>
  </si>
  <si>
    <t>Pmax
[psi]</t>
  </si>
  <si>
    <t>Quesqui-39</t>
  </si>
  <si>
    <t>5.9-3.1-3.3</t>
  </si>
  <si>
    <t>Quesqui-17</t>
  </si>
  <si>
    <t>LN RANURADO 5" + 
AD 5 5/8"</t>
  </si>
  <si>
    <t>Quesqui-21A</t>
  </si>
  <si>
    <t>OPR HT
MSR 100</t>
  </si>
  <si>
    <t>GEL LINEAL #40
AGUA TRATADA</t>
  </si>
  <si>
    <t>SALMUERA CACL2</t>
  </si>
  <si>
    <t>HTA-746</t>
  </si>
  <si>
    <t>Quesqui-38ST4</t>
  </si>
  <si>
    <t xml:space="preserve">LN RANURADO 5" + AD 6 1/8" </t>
  </si>
  <si>
    <t>DIÉSEL + CLEANSWEEP I</t>
  </si>
  <si>
    <t>LODO 0.95 GR/CM3</t>
  </si>
  <si>
    <t>Quesqui-38ST5</t>
  </si>
  <si>
    <t>Quesqui-403</t>
  </si>
  <si>
    <t>LN RANURAD 5"</t>
  </si>
  <si>
    <t>MSR 100 ORG 15%</t>
  </si>
  <si>
    <t>PETROFÍSICA</t>
  </si>
  <si>
    <t>CSA
X-TEND
HRA</t>
  </si>
  <si>
    <t>-</t>
  </si>
  <si>
    <t>DIÉSEL</t>
  </si>
  <si>
    <t>Colocación de Baches</t>
  </si>
  <si>
    <t>Quesqui-29ST</t>
  </si>
  <si>
    <t>Quesqui-38ST</t>
  </si>
  <si>
    <t>Quesqui-36</t>
  </si>
  <si>
    <t>Quesqui-416</t>
  </si>
  <si>
    <t>Quesqui-6A</t>
  </si>
  <si>
    <t>Q-1EXP</t>
  </si>
  <si>
    <t>Q-1DEL</t>
  </si>
  <si>
    <t>Q-3DEL</t>
  </si>
  <si>
    <t>Q-33</t>
  </si>
  <si>
    <t>Q-4DEL</t>
  </si>
  <si>
    <t>Q-10</t>
  </si>
  <si>
    <t>Q-13</t>
  </si>
  <si>
    <t>Q-14</t>
  </si>
  <si>
    <t>Q-8</t>
  </si>
  <si>
    <t>Q-5</t>
  </si>
  <si>
    <t>Q-9</t>
  </si>
  <si>
    <t>Q-17</t>
  </si>
  <si>
    <t>Q-32</t>
  </si>
  <si>
    <t>Q-18ST</t>
  </si>
  <si>
    <t>Q-21A</t>
  </si>
  <si>
    <t>Q-12</t>
  </si>
  <si>
    <t>Q-11</t>
  </si>
  <si>
    <t>Q-39</t>
  </si>
  <si>
    <t>Q-31ST</t>
  </si>
  <si>
    <t>Q-40</t>
  </si>
  <si>
    <t>Q-48ST</t>
  </si>
  <si>
    <t>Q-41</t>
  </si>
  <si>
    <t>Q-38ST4</t>
  </si>
  <si>
    <t>Q-38ST</t>
  </si>
  <si>
    <t>Total acido
[m3]</t>
  </si>
  <si>
    <r>
      <rPr>
        <sz val="11"/>
        <color theme="1"/>
        <rFont val="Calibri"/>
        <family val="2"/>
      </rPr>
      <t>ΔPtp</t>
    </r>
    <r>
      <rPr>
        <sz val="11"/>
        <color theme="1"/>
        <rFont val="Arial Nova Cond Light"/>
        <family val="2"/>
      </rPr>
      <t xml:space="preserve">
[psi]</t>
    </r>
  </si>
  <si>
    <t>Qo antes
[bls]</t>
  </si>
  <si>
    <r>
      <rPr>
        <sz val="11"/>
        <color theme="1"/>
        <rFont val="Calibri"/>
        <family val="2"/>
      </rPr>
      <t>Ptp antes</t>
    </r>
    <r>
      <rPr>
        <sz val="11"/>
        <color theme="1"/>
        <rFont val="Arial Nova Cond Light"/>
        <family val="2"/>
      </rPr>
      <t xml:space="preserve">
[psi]</t>
    </r>
  </si>
  <si>
    <r>
      <rPr>
        <sz val="11"/>
        <color theme="1"/>
        <rFont val="Calibri"/>
        <family val="2"/>
      </rPr>
      <t>Ptp desp</t>
    </r>
    <r>
      <rPr>
        <sz val="11"/>
        <color theme="1"/>
        <rFont val="Arial Nova Cond Light"/>
        <family val="2"/>
      </rPr>
      <t xml:space="preserve">
[psi]</t>
    </r>
  </si>
  <si>
    <t>Superficie</t>
  </si>
  <si>
    <t>Fondo</t>
  </si>
  <si>
    <r>
      <rPr>
        <sz val="11"/>
        <color theme="1"/>
        <rFont val="Calibri"/>
        <family val="2"/>
      </rPr>
      <t>Qo</t>
    </r>
    <r>
      <rPr>
        <sz val="11"/>
        <color theme="1"/>
        <rFont val="Arial Nova Cond Light"/>
        <family val="2"/>
      </rPr>
      <t xml:space="preserve"> desp
[bls]</t>
    </r>
  </si>
  <si>
    <t>Q-416</t>
  </si>
  <si>
    <t>Q-3</t>
  </si>
  <si>
    <t>Q-1</t>
  </si>
  <si>
    <t>Q-15</t>
  </si>
  <si>
    <t>Q-29</t>
  </si>
  <si>
    <t>Q-18</t>
  </si>
  <si>
    <t>Q-6A</t>
  </si>
  <si>
    <t>Q-29ST</t>
  </si>
  <si>
    <t>Intervalo
[md]</t>
  </si>
  <si>
    <t>Q-34</t>
  </si>
  <si>
    <t>Q-6</t>
  </si>
  <si>
    <t>Q-44</t>
  </si>
  <si>
    <t>Q-49</t>
  </si>
  <si>
    <t>Q-42</t>
  </si>
  <si>
    <t>Q-47</t>
  </si>
  <si>
    <t>Q-38ST5</t>
  </si>
  <si>
    <t>Q-403</t>
  </si>
  <si>
    <t>Q-36</t>
  </si>
  <si>
    <t>Quesqui-2DL</t>
  </si>
  <si>
    <t>Quesqui-3DL</t>
  </si>
  <si>
    <t>Q-2DL</t>
  </si>
  <si>
    <t>Q-3DL</t>
  </si>
  <si>
    <t>Quesqui-38</t>
  </si>
  <si>
    <t>Quesqui-16</t>
  </si>
  <si>
    <t>Campo</t>
  </si>
  <si>
    <t>Q-31</t>
  </si>
  <si>
    <t>CHEMIS</t>
  </si>
  <si>
    <r>
      <rPr>
        <sz val="11"/>
        <color theme="1"/>
        <rFont val="Calibri"/>
        <family val="2"/>
      </rPr>
      <t>Ptp antes</t>
    </r>
    <r>
      <rPr>
        <sz val="11"/>
        <color theme="1"/>
        <rFont val="Arial Nova Cond Light"/>
        <family val="2"/>
      </rPr>
      <t xml:space="preserve">
[kg/cm²]</t>
    </r>
  </si>
  <si>
    <r>
      <rPr>
        <sz val="11"/>
        <color theme="1"/>
        <rFont val="Calibri"/>
        <family val="2"/>
      </rPr>
      <t>Ptp desp</t>
    </r>
    <r>
      <rPr>
        <sz val="11"/>
        <color theme="1"/>
        <rFont val="Arial Nova Cond Light"/>
        <family val="2"/>
      </rPr>
      <t xml:space="preserve">
[kg/cm²]</t>
    </r>
  </si>
  <si>
    <r>
      <rPr>
        <sz val="11"/>
        <color theme="1"/>
        <rFont val="Calibri"/>
        <family val="2"/>
      </rPr>
      <t>ΔPtp</t>
    </r>
    <r>
      <rPr>
        <sz val="11"/>
        <color theme="1"/>
        <rFont val="Arial Nova Cond Light"/>
        <family val="2"/>
      </rPr>
      <t xml:space="preserve">
[kg/cm²]</t>
    </r>
  </si>
  <si>
    <t>Q-45</t>
  </si>
  <si>
    <t>Quesqui-45</t>
  </si>
  <si>
    <t>Sensor / Nodal</t>
  </si>
  <si>
    <t>Sensor</t>
  </si>
  <si>
    <t>Nodal</t>
  </si>
  <si>
    <t>KI-JST</t>
  </si>
  <si>
    <t>Pozo1</t>
  </si>
  <si>
    <t>Intervención</t>
  </si>
  <si>
    <t>Cía</t>
  </si>
  <si>
    <t>DESARROLLO</t>
  </si>
  <si>
    <t>DESPLAZAMIENTO N2 [m3]</t>
  </si>
  <si>
    <t xml:space="preserve">Activo </t>
  </si>
  <si>
    <t>Región</t>
  </si>
  <si>
    <t>SOLV. [m3]</t>
  </si>
  <si>
    <t>ACID. [m3]</t>
  </si>
  <si>
    <t>DIVER. [m3]</t>
  </si>
  <si>
    <t>DESPLAZAMIENTO LÍQUIDO [m3]</t>
  </si>
  <si>
    <t>Total [m3]</t>
  </si>
  <si>
    <t>Qo antes [bls]</t>
  </si>
  <si>
    <t>Qo desp [bls]</t>
  </si>
  <si>
    <t>Δqo [bls]</t>
  </si>
  <si>
    <t>Ptp antes [kg/cm²]</t>
  </si>
  <si>
    <t>Ptp desp [kg/cm²]</t>
  </si>
  <si>
    <t>ΔPtp [kg/cm²]</t>
  </si>
  <si>
    <t>Pwf antes [kg/cm²]</t>
  </si>
  <si>
    <t>Pwf desp [kg/cm²]</t>
  </si>
  <si>
    <t>ΔPwf [kg/cm²]</t>
  </si>
  <si>
    <t>Pozo2</t>
  </si>
  <si>
    <t>Pozo3</t>
  </si>
  <si>
    <t>Pozo4</t>
  </si>
  <si>
    <t>Pozo5</t>
  </si>
  <si>
    <t>Pozo6</t>
  </si>
  <si>
    <t>Pozo7</t>
  </si>
  <si>
    <t>Pozo8</t>
  </si>
  <si>
    <t>Pozo9</t>
  </si>
  <si>
    <t>Pozo10</t>
  </si>
  <si>
    <t>Pozo11</t>
  </si>
  <si>
    <t>Pozo12</t>
  </si>
  <si>
    <t>Pozo13</t>
  </si>
  <si>
    <t>Pozo14</t>
  </si>
  <si>
    <t>Pozo15</t>
  </si>
  <si>
    <t>Pozo16</t>
  </si>
  <si>
    <t>Pozo17</t>
  </si>
  <si>
    <t>Pozo18</t>
  </si>
  <si>
    <t>Pozo19</t>
  </si>
  <si>
    <t>Pozo20</t>
  </si>
  <si>
    <t>Pozo21</t>
  </si>
  <si>
    <t>Pozo22</t>
  </si>
  <si>
    <t>Pozo23</t>
  </si>
  <si>
    <t>Pozo24</t>
  </si>
  <si>
    <t>Pozo25</t>
  </si>
  <si>
    <t>Pozo26</t>
  </si>
  <si>
    <t>Pozo27</t>
  </si>
  <si>
    <t>Pozo28</t>
  </si>
  <si>
    <t>Pozo29</t>
  </si>
  <si>
    <t>Pozo30</t>
  </si>
  <si>
    <t>Pozo31</t>
  </si>
  <si>
    <t>Pozo32</t>
  </si>
  <si>
    <t>Pozo33</t>
  </si>
  <si>
    <t>Pozo34</t>
  </si>
  <si>
    <t>Pozo35</t>
  </si>
  <si>
    <t>Pozo36</t>
  </si>
  <si>
    <t>Pozo37</t>
  </si>
  <si>
    <t>Pozo38</t>
  </si>
  <si>
    <t>Sur</t>
  </si>
  <si>
    <t>APSL</t>
  </si>
  <si>
    <t>APBJ</t>
  </si>
  <si>
    <t>APMM</t>
  </si>
  <si>
    <t>APCP</t>
  </si>
  <si>
    <t>SAMARIA</t>
  </si>
  <si>
    <t>CUNDUACAN</t>
  </si>
  <si>
    <t>SINI</t>
  </si>
  <si>
    <t>TOKAL</t>
  </si>
  <si>
    <t>SHISHITO</t>
  </si>
  <si>
    <t xml:space="preserve">BRICOL </t>
  </si>
  <si>
    <t>PUERTO CEIBA</t>
  </si>
  <si>
    <t>CIBIX</t>
  </si>
  <si>
    <t>AYOCOTE</t>
  </si>
  <si>
    <t>GAUCHO</t>
  </si>
  <si>
    <t>TUPILCO</t>
  </si>
  <si>
    <t>BRICOL</t>
  </si>
  <si>
    <t>JACINTO</t>
  </si>
  <si>
    <t>JUJO</t>
  </si>
  <si>
    <t>BELLOTA</t>
  </si>
  <si>
    <t>GUARICHO</t>
  </si>
  <si>
    <t>CHINCHORRO</t>
  </si>
  <si>
    <t>LOS SOLDADOS</t>
  </si>
  <si>
    <t xml:space="preserve">MADREFIL </t>
  </si>
  <si>
    <t>CINCO PRESIDENTES</t>
  </si>
  <si>
    <t>PACHE</t>
  </si>
  <si>
    <t>TIZON</t>
  </si>
  <si>
    <t>SAMARIA 678</t>
  </si>
  <si>
    <t>SAMARIA 695</t>
  </si>
  <si>
    <t>CUNDUACAN 30A</t>
  </si>
  <si>
    <t>SAMARIA 702</t>
  </si>
  <si>
    <t>SINI 2</t>
  </si>
  <si>
    <t>SAMARIA 821</t>
  </si>
  <si>
    <t>TOKAL 7</t>
  </si>
  <si>
    <t>SHISHITO 45</t>
  </si>
  <si>
    <t>SAMARIA 891</t>
  </si>
  <si>
    <t>SHISHITO 11</t>
  </si>
  <si>
    <t>SAMARIA 7076</t>
  </si>
  <si>
    <t>BRICOL 11</t>
  </si>
  <si>
    <t>PUERTO CEIBA 153B</t>
  </si>
  <si>
    <t>TOKAL 2H</t>
  </si>
  <si>
    <t>CIBIX 1001</t>
  </si>
  <si>
    <t>AYOCOTE 21</t>
  </si>
  <si>
    <t>GAUCHO 3</t>
  </si>
  <si>
    <t>TUPILCO 126</t>
  </si>
  <si>
    <t>BRICOL 21</t>
  </si>
  <si>
    <t>JACINTO 15</t>
  </si>
  <si>
    <t>JUJO 54</t>
  </si>
  <si>
    <t>BELLOTA 159</t>
  </si>
  <si>
    <t>GUARICHO 510</t>
  </si>
  <si>
    <t>GUARICHO 515</t>
  </si>
  <si>
    <t>GUARICHO 513</t>
  </si>
  <si>
    <t>CHINCHORRO 29</t>
  </si>
  <si>
    <t>LOS SOLDADOS 499</t>
  </si>
  <si>
    <t>MADREFIL 62</t>
  </si>
  <si>
    <t>MADREFIL 61</t>
  </si>
  <si>
    <t>CINCO PRESIDENTES 932</t>
  </si>
  <si>
    <t>CINCO PRESIDENTES 956</t>
  </si>
  <si>
    <t>CINCO PRESIDENTES 921</t>
  </si>
  <si>
    <t>SHISHITO 22</t>
  </si>
  <si>
    <t>PACHE 1</t>
  </si>
  <si>
    <t>BRICOL 31</t>
  </si>
  <si>
    <t>TIZON 232</t>
  </si>
  <si>
    <t>Costo (USD)</t>
  </si>
  <si>
    <t>Categoría del Pozo</t>
  </si>
  <si>
    <t>LIMPIEZA CON TF</t>
  </si>
  <si>
    <t>ESTIMULACIÓN</t>
  </si>
  <si>
    <t>CIRCULADA</t>
  </si>
  <si>
    <t>INHIB. [m3]</t>
  </si>
  <si>
    <t>NEUTR. [m3]</t>
  </si>
  <si>
    <t>AGUA. [m3]</t>
  </si>
  <si>
    <t>GEL LINEAL. [m3]</t>
  </si>
  <si>
    <t>AGUA TRATADA. [m3]</t>
  </si>
  <si>
    <t>APV</t>
  </si>
  <si>
    <t>TINTAL</t>
  </si>
  <si>
    <t>JOLOTE</t>
  </si>
  <si>
    <t>AGAVE</t>
  </si>
  <si>
    <t>ARROYO PRIETO</t>
  </si>
  <si>
    <t xml:space="preserve">RABASA </t>
  </si>
  <si>
    <t>TECOMINOACAN</t>
  </si>
  <si>
    <t>CASTARRICAL</t>
  </si>
  <si>
    <t>LACAMANGO</t>
  </si>
  <si>
    <t>YAGUAL</t>
  </si>
  <si>
    <t>IRIDE</t>
  </si>
  <si>
    <t>BACAL</t>
  </si>
  <si>
    <t>BRILLANTE</t>
  </si>
  <si>
    <t>PARETO</t>
  </si>
  <si>
    <t>COSTERO</t>
  </si>
  <si>
    <t>CACTUS</t>
  </si>
  <si>
    <t>PAREDON</t>
  </si>
  <si>
    <t>COPANO</t>
  </si>
  <si>
    <t>MADREFIL</t>
  </si>
  <si>
    <t>SUNUAPA</t>
  </si>
  <si>
    <t>GASIFERO</t>
  </si>
  <si>
    <t xml:space="preserve">CASTARRICAL </t>
  </si>
  <si>
    <t>CUPACHE</t>
  </si>
  <si>
    <t>CINCO PRESIDENTES 94</t>
  </si>
  <si>
    <t>TINTAL 3</t>
  </si>
  <si>
    <t>BRICOL 1</t>
  </si>
  <si>
    <t>SHISHITO 16</t>
  </si>
  <si>
    <t>JOLOTE 21</t>
  </si>
  <si>
    <t>JOLOTE 103</t>
  </si>
  <si>
    <t>CINCO PRESIDENTES 19T</t>
  </si>
  <si>
    <t>AGAVE 303</t>
  </si>
  <si>
    <t>ARROYO PRIETO 8</t>
  </si>
  <si>
    <t>TUPILCO 141</t>
  </si>
  <si>
    <t>RABASA  152</t>
  </si>
  <si>
    <t>CINCO PRESIDENTES 2</t>
  </si>
  <si>
    <t>TECOMINOACAN 426</t>
  </si>
  <si>
    <t>CASTARRICAL 88</t>
  </si>
  <si>
    <t>SAMARIA 5199</t>
  </si>
  <si>
    <t>BELLOTA 41</t>
  </si>
  <si>
    <t>RABASA  215</t>
  </si>
  <si>
    <t>JUJO 36A</t>
  </si>
  <si>
    <t>GUARICHO 505</t>
  </si>
  <si>
    <t>RABASA  185</t>
  </si>
  <si>
    <t>LACAMANGO 393</t>
  </si>
  <si>
    <t>JACINTO 1002</t>
  </si>
  <si>
    <t>RABASA  129</t>
  </si>
  <si>
    <t>GUARICHO 5H</t>
  </si>
  <si>
    <t>SAMARIA 7192</t>
  </si>
  <si>
    <t>SAMARIA 5104</t>
  </si>
  <si>
    <t>TECOMINOACAN 529</t>
  </si>
  <si>
    <t>SAMARIA 7114H</t>
  </si>
  <si>
    <t>CINCO PRESIDENTES 915</t>
  </si>
  <si>
    <t>GAUCHO 25</t>
  </si>
  <si>
    <t>CINCO PRESIDENTES 924</t>
  </si>
  <si>
    <t>TUPILCO 147</t>
  </si>
  <si>
    <t>SAMARIA 7128</t>
  </si>
  <si>
    <t>SAMARIA 117</t>
  </si>
  <si>
    <t>TINTAL 51D</t>
  </si>
  <si>
    <t>YAGUAL 22</t>
  </si>
  <si>
    <t>JOLOTE 101</t>
  </si>
  <si>
    <t>LACAMANGO 24</t>
  </si>
  <si>
    <t>PUERTO CEIBA 117</t>
  </si>
  <si>
    <t>AGAVE 82</t>
  </si>
  <si>
    <t>IRIDE 5108</t>
  </si>
  <si>
    <t>CINCO PRESIDENTES 913</t>
  </si>
  <si>
    <t>CINCO PRESIDENTES 928</t>
  </si>
  <si>
    <t>CINCO PRESIDENTES 936</t>
  </si>
  <si>
    <t>CINCO PRESIDENTES 906</t>
  </si>
  <si>
    <t>BACAL 61</t>
  </si>
  <si>
    <t>CINCO PRESIDENTES 935</t>
  </si>
  <si>
    <t>GUARICHO 202</t>
  </si>
  <si>
    <t>CINCO PRESIDENTES 173D</t>
  </si>
  <si>
    <t>BRILLANTE 5</t>
  </si>
  <si>
    <t>CINCO PRESIDENTES 958</t>
  </si>
  <si>
    <t>RABASA  207</t>
  </si>
  <si>
    <t>SAMARIA 71</t>
  </si>
  <si>
    <t>TECOMINOACAN 726</t>
  </si>
  <si>
    <t>PARETO 4</t>
  </si>
  <si>
    <t>CHINCHORRO 5</t>
  </si>
  <si>
    <t>LOS SOLDADOS 161</t>
  </si>
  <si>
    <t>RABASA  213</t>
  </si>
  <si>
    <t>COSTERO 28</t>
  </si>
  <si>
    <t>RABASA  202</t>
  </si>
  <si>
    <t>PUERTO CEIBA 113B</t>
  </si>
  <si>
    <t>BELLOTA 94</t>
  </si>
  <si>
    <t>CACTUS 57</t>
  </si>
  <si>
    <t>BRICOL 3A</t>
  </si>
  <si>
    <t>RABASA  217</t>
  </si>
  <si>
    <t>SAMARIA 6075</t>
  </si>
  <si>
    <t>SAMARIA 4112</t>
  </si>
  <si>
    <t>CINCO PRESIDENTES 957</t>
  </si>
  <si>
    <t>PAREDON 1D</t>
  </si>
  <si>
    <t>COSTERO 13</t>
  </si>
  <si>
    <t>RABASA  147</t>
  </si>
  <si>
    <t>COPANO 61</t>
  </si>
  <si>
    <t>MADREFIL  61</t>
  </si>
  <si>
    <t>MADREFIL  62</t>
  </si>
  <si>
    <t>MADREFIL 11</t>
  </si>
  <si>
    <t>CACTUS 5</t>
  </si>
  <si>
    <t>RABASA  222</t>
  </si>
  <si>
    <t>AGAVE 611</t>
  </si>
  <si>
    <t>CACTUS 1057</t>
  </si>
  <si>
    <t>SAMARIA 7084</t>
  </si>
  <si>
    <t>MADREFIL 3A</t>
  </si>
  <si>
    <t>LACAMANGO 2</t>
  </si>
  <si>
    <t>SAMARIA 7122</t>
  </si>
  <si>
    <t>BACAL 508</t>
  </si>
  <si>
    <t>RABASA  171</t>
  </si>
  <si>
    <t>RABASA  124</t>
  </si>
  <si>
    <t>MADREFIL 51</t>
  </si>
  <si>
    <t>TUPILCO 85D</t>
  </si>
  <si>
    <t>RABASA  188</t>
  </si>
  <si>
    <t>PAREDON 32A</t>
  </si>
  <si>
    <t>CINCO PRESIDENTES 908D</t>
  </si>
  <si>
    <t>PUERTO CEIBA 157</t>
  </si>
  <si>
    <t>BELLOTA 126</t>
  </si>
  <si>
    <t>BRICOL 2DL</t>
  </si>
  <si>
    <t>LACAMANGO 431</t>
  </si>
  <si>
    <t>SUNUAPA 306</t>
  </si>
  <si>
    <t>PUERTO CEIBA 159</t>
  </si>
  <si>
    <t>SAMARIA 917</t>
  </si>
  <si>
    <t>SAMARIA 845</t>
  </si>
  <si>
    <t>PARETO 12</t>
  </si>
  <si>
    <t>PUERTO CEIBA 161</t>
  </si>
  <si>
    <t>BRILLANTE 15</t>
  </si>
  <si>
    <t>PUERTO CEIBA 105B</t>
  </si>
  <si>
    <t>CHINCHORRO 1</t>
  </si>
  <si>
    <t>CHINCHORRO 3</t>
  </si>
  <si>
    <t>GASIFERO 13</t>
  </si>
  <si>
    <t>CUNDUACAN 1011</t>
  </si>
  <si>
    <t>CASTARRICAL  90</t>
  </si>
  <si>
    <t>CASTARRICAL  93</t>
  </si>
  <si>
    <t>BELLOTA 116A</t>
  </si>
  <si>
    <t>PUERTO CEIBA 108</t>
  </si>
  <si>
    <t>BRICOL 102</t>
  </si>
  <si>
    <t>MADREFIL 64</t>
  </si>
  <si>
    <t>CUPACHE 1</t>
  </si>
  <si>
    <t>TUPILCO 208T</t>
  </si>
  <si>
    <t>LIMPIEZA DIRECTA</t>
  </si>
  <si>
    <t>LIMPIEZA LDD</t>
  </si>
  <si>
    <t>ESTIMULACION</t>
  </si>
  <si>
    <t xml:space="preserve">CIRCULADA </t>
  </si>
  <si>
    <t>CONTROL DE POZO</t>
  </si>
  <si>
    <t>LIMPIEZA EN DIRECTO</t>
  </si>
  <si>
    <t>LIMPIEZAS</t>
  </si>
  <si>
    <t>LAP TF Y EST</t>
  </si>
  <si>
    <t>BOMBEO DIVERSO</t>
  </si>
  <si>
    <t>LIMPIEZA CIRCULADA</t>
  </si>
  <si>
    <t>DIRECTA</t>
  </si>
  <si>
    <t>LIMPIEZA DE BAJANTE</t>
  </si>
  <si>
    <t>SALMUERA.      [m3]</t>
  </si>
  <si>
    <t>NS</t>
  </si>
  <si>
    <t>Pera</t>
  </si>
  <si>
    <t>Cima [md]</t>
  </si>
  <si>
    <t>Base [md]</t>
  </si>
  <si>
    <t>Formación Productora</t>
  </si>
  <si>
    <t>Latitud Conductor</t>
  </si>
  <si>
    <t>Longitud Conductor</t>
  </si>
  <si>
    <t>Tiempo de Reacción en fondo (hrs)</t>
  </si>
  <si>
    <t>Contrato</t>
  </si>
  <si>
    <t>Fecha</t>
  </si>
  <si>
    <t>Ingresos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</si>
</sst>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d/mmm/yyyy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 Nova Cond Light"/>
      <family val="2"/>
    </font>
    <font>
      <sz val="11"/>
      <color theme="1"/>
      <name val="Calibri"/>
      <family val="2"/>
    </font>
    <font>
      <sz val="9"/>
      <color theme="1"/>
      <name val="Arial Nova Cond Light"/>
      <family val="2"/>
    </font>
    <font>
      <sz val="11"/>
      <color rgb="FFFF0000"/>
      <name val="Arial Nova Cond Light"/>
      <family val="2"/>
    </font>
    <font>
      <sz val="11"/>
      <name val="Arial Nova Cond Light"/>
      <family val="2"/>
    </font>
    <font>
      <sz val="11"/>
      <color rgb="FF00B050"/>
      <name val="Arial Nova Cond Light"/>
      <family val="2"/>
    </font>
    <font>
      <sz val="9"/>
      <color rgb="FF00B050"/>
      <name val="Arial Nova Cond Light"/>
      <family val="2"/>
    </font>
    <font>
      <sz val="9"/>
      <name val="Arial Nova Cond Light"/>
      <family val="2"/>
    </font>
    <font>
      <sz val="8"/>
      <name val="Calibri"/>
      <family val="2"/>
      <scheme val="minor"/>
    </font>
    <font>
      <sz val="12"/>
      <color theme="1"/>
      <name val="Arial Narrow"/>
      <family val="2"/>
    </font>
    <font>
      <sz val="8"/>
      <color theme="1"/>
      <name val="Montserrat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5" fontId="1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5" fontId="1" fillId="2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4" fillId="2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4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3" fontId="6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3" fontId="5" fillId="3" borderId="0" xfId="0" applyNumberFormat="1" applyFont="1" applyFill="1" applyAlignment="1">
      <alignment horizontal="center" vertical="center" wrapText="1"/>
    </xf>
    <xf numFmtId="15" fontId="6" fillId="3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5" fontId="5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7" fontId="6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3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5" fontId="1" fillId="6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3" fontId="1" fillId="6" borderId="0" xfId="0" applyNumberFormat="1" applyFont="1" applyFill="1" applyAlignment="1">
      <alignment horizontal="center" vertical="center" wrapText="1"/>
    </xf>
    <xf numFmtId="4" fontId="5" fillId="6" borderId="0" xfId="0" applyNumberFormat="1" applyFont="1" applyFill="1" applyAlignment="1">
      <alignment horizontal="center" vertical="center" wrapText="1"/>
    </xf>
    <xf numFmtId="3" fontId="5" fillId="6" borderId="0" xfId="0" applyNumberFormat="1" applyFont="1" applyFill="1" applyAlignment="1">
      <alignment horizontal="center" vertical="center" wrapText="1"/>
    </xf>
    <xf numFmtId="4" fontId="1" fillId="6" borderId="0" xfId="0" applyNumberFormat="1" applyFont="1" applyFill="1" applyAlignment="1">
      <alignment horizontal="center" vertical="center" wrapText="1"/>
    </xf>
    <xf numFmtId="3" fontId="6" fillId="6" borderId="0" xfId="0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  <xf numFmtId="15" fontId="6" fillId="6" borderId="0" xfId="0" applyNumberFormat="1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15" fontId="5" fillId="6" borderId="0" xfId="0" applyNumberFormat="1" applyFont="1" applyFill="1" applyAlignment="1">
      <alignment horizontal="center" vertical="center" wrapText="1"/>
    </xf>
    <xf numFmtId="3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2" fontId="5" fillId="6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vertical="center"/>
    </xf>
    <xf numFmtId="14" fontId="12" fillId="11" borderId="1" xfId="0" applyNumberFormat="1" applyFont="1" applyFill="1" applyBorder="1" applyAlignment="1">
      <alignment horizontal="center" vertical="center"/>
    </xf>
    <xf numFmtId="165" fontId="12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vertical="center"/>
    </xf>
    <xf numFmtId="165" fontId="14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12" borderId="2" xfId="0" applyFont="1" applyFill="1" applyBorder="1" applyAlignment="1">
      <alignment horizontal="center" vertical="center" wrapText="1"/>
    </xf>
    <xf numFmtId="4" fontId="1" fillId="3" borderId="2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6" fontId="10" fillId="6" borderId="1" xfId="0" applyNumberFormat="1" applyFont="1" applyFill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5" fontId="10" fillId="6" borderId="1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5" fontId="10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3" borderId="11" xfId="0" applyNumberFormat="1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4" fontId="1" fillId="3" borderId="7" xfId="0" applyNumberFormat="1" applyFont="1" applyFill="1" applyBorder="1" applyAlignment="1">
      <alignment horizontal="center" vertical="center" wrapText="1"/>
    </xf>
    <xf numFmtId="4" fontId="1" fillId="3" borderId="8" xfId="0" applyNumberFormat="1" applyFont="1" applyFill="1" applyBorder="1" applyAlignment="1">
      <alignment horizontal="center" vertical="center" wrapText="1"/>
    </xf>
    <xf numFmtId="4" fontId="1" fillId="3" borderId="9" xfId="0" applyNumberFormat="1" applyFont="1" applyFill="1" applyBorder="1" applyAlignment="1">
      <alignment horizontal="center" vertical="center" wrapText="1"/>
    </xf>
    <xf numFmtId="4" fontId="1" fillId="3" borderId="10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orig'!$G$3</c:f>
              <c:strCache>
                <c:ptCount val="1"/>
                <c:pt idx="0">
                  <c:v>SOLV.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orig'!$G$4:$G$59</c:f>
              <c:numCache>
                <c:formatCode>#,##0</c:formatCode>
                <c:ptCount val="56"/>
                <c:pt idx="0" formatCode="#,##0.00">
                  <c:v>27</c:v>
                </c:pt>
                <c:pt idx="1">
                  <c:v>40</c:v>
                </c:pt>
                <c:pt idx="2">
                  <c:v>45</c:v>
                </c:pt>
                <c:pt idx="3">
                  <c:v>35</c:v>
                </c:pt>
                <c:pt idx="4">
                  <c:v>60</c:v>
                </c:pt>
                <c:pt idx="5">
                  <c:v>28</c:v>
                </c:pt>
                <c:pt idx="6">
                  <c:v>36</c:v>
                </c:pt>
                <c:pt idx="7">
                  <c:v>50</c:v>
                </c:pt>
                <c:pt idx="8">
                  <c:v>30</c:v>
                </c:pt>
                <c:pt idx="9">
                  <c:v>50</c:v>
                </c:pt>
                <c:pt idx="10">
                  <c:v>50</c:v>
                </c:pt>
                <c:pt idx="11">
                  <c:v>48</c:v>
                </c:pt>
                <c:pt idx="12" formatCode="#,##0.00">
                  <c:v>23</c:v>
                </c:pt>
                <c:pt idx="13" formatCode="#,##0.00">
                  <c:v>45</c:v>
                </c:pt>
                <c:pt idx="14">
                  <c:v>40</c:v>
                </c:pt>
                <c:pt idx="15">
                  <c:v>27</c:v>
                </c:pt>
                <c:pt idx="16">
                  <c:v>30</c:v>
                </c:pt>
                <c:pt idx="17">
                  <c:v>50</c:v>
                </c:pt>
                <c:pt idx="18">
                  <c:v>45</c:v>
                </c:pt>
                <c:pt idx="19">
                  <c:v>62</c:v>
                </c:pt>
                <c:pt idx="20">
                  <c:v>47</c:v>
                </c:pt>
                <c:pt idx="21">
                  <c:v>5</c:v>
                </c:pt>
                <c:pt idx="22">
                  <c:v>0</c:v>
                </c:pt>
                <c:pt idx="23">
                  <c:v>100</c:v>
                </c:pt>
                <c:pt idx="24">
                  <c:v>60</c:v>
                </c:pt>
                <c:pt idx="25">
                  <c:v>3</c:v>
                </c:pt>
                <c:pt idx="26" formatCode="#,##0.00">
                  <c:v>51</c:v>
                </c:pt>
                <c:pt idx="27" formatCode="#,##0.00">
                  <c:v>9</c:v>
                </c:pt>
                <c:pt idx="28" formatCode="#,##0.00">
                  <c:v>32</c:v>
                </c:pt>
                <c:pt idx="29" formatCode="#,##0.00">
                  <c:v>48</c:v>
                </c:pt>
                <c:pt idx="30" formatCode="#,##0.00">
                  <c:v>34</c:v>
                </c:pt>
                <c:pt idx="31" formatCode="#,##0.00">
                  <c:v>30</c:v>
                </c:pt>
                <c:pt idx="32" formatCode="#,##0.00">
                  <c:v>26</c:v>
                </c:pt>
                <c:pt idx="33" formatCode="#,##0.00">
                  <c:v>29</c:v>
                </c:pt>
                <c:pt idx="34" formatCode="#,##0.00">
                  <c:v>25</c:v>
                </c:pt>
                <c:pt idx="35" formatCode="#,##0.00">
                  <c:v>48</c:v>
                </c:pt>
                <c:pt idx="36" formatCode="General">
                  <c:v>17</c:v>
                </c:pt>
                <c:pt idx="37" formatCode="General">
                  <c:v>7</c:v>
                </c:pt>
                <c:pt idx="38" formatCode="#,##0.00">
                  <c:v>26</c:v>
                </c:pt>
                <c:pt idx="39" formatCode="#,##0.0">
                  <c:v>3</c:v>
                </c:pt>
                <c:pt idx="40" formatCode="#,##0.00">
                  <c:v>0</c:v>
                </c:pt>
                <c:pt idx="41" formatCode="#,##0.00">
                  <c:v>21</c:v>
                </c:pt>
                <c:pt idx="42" formatCode="#,##0.00">
                  <c:v>30</c:v>
                </c:pt>
                <c:pt idx="43" formatCode="#,##0.0">
                  <c:v>28</c:v>
                </c:pt>
                <c:pt idx="44" formatCode="#,##0.00">
                  <c:v>22</c:v>
                </c:pt>
                <c:pt idx="45" formatCode="General">
                  <c:v>29</c:v>
                </c:pt>
                <c:pt idx="46" formatCode="General">
                  <c:v>11</c:v>
                </c:pt>
                <c:pt idx="47" formatCode="General">
                  <c:v>5</c:v>
                </c:pt>
                <c:pt idx="48" formatCode="General">
                  <c:v>60</c:v>
                </c:pt>
                <c:pt idx="49" formatCode="General">
                  <c:v>13</c:v>
                </c:pt>
                <c:pt idx="50" formatCode="General">
                  <c:v>18</c:v>
                </c:pt>
                <c:pt idx="51" formatCode="General">
                  <c:v>39</c:v>
                </c:pt>
                <c:pt idx="52" formatCode="General">
                  <c:v>10</c:v>
                </c:pt>
                <c:pt idx="53" formatCode="General">
                  <c:v>26</c:v>
                </c:pt>
                <c:pt idx="54" formatCode="General">
                  <c:v>16</c:v>
                </c:pt>
                <c:pt idx="55" formatCode="General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F-490C-A4A3-9E4B546690C5}"/>
            </c:ext>
          </c:extLst>
        </c:ser>
        <c:ser>
          <c:idx val="1"/>
          <c:order val="1"/>
          <c:tx>
            <c:strRef>
              <c:f>'Q base orig'!$H$3</c:f>
              <c:strCache>
                <c:ptCount val="1"/>
                <c:pt idx="0">
                  <c:v>ACID.
[m3]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orig'!$H$4:$H$59</c:f>
              <c:numCache>
                <c:formatCode>#,##0</c:formatCode>
                <c:ptCount val="56"/>
                <c:pt idx="0" formatCode="#,##0.00">
                  <c:v>110</c:v>
                </c:pt>
                <c:pt idx="1">
                  <c:v>110</c:v>
                </c:pt>
                <c:pt idx="2">
                  <c:v>145</c:v>
                </c:pt>
                <c:pt idx="3">
                  <c:v>180</c:v>
                </c:pt>
                <c:pt idx="4">
                  <c:v>140</c:v>
                </c:pt>
                <c:pt idx="5">
                  <c:v>77</c:v>
                </c:pt>
                <c:pt idx="6">
                  <c:v>27</c:v>
                </c:pt>
                <c:pt idx="7">
                  <c:v>5</c:v>
                </c:pt>
                <c:pt idx="8">
                  <c:v>30</c:v>
                </c:pt>
                <c:pt idx="9">
                  <c:v>85</c:v>
                </c:pt>
                <c:pt idx="10">
                  <c:v>35</c:v>
                </c:pt>
                <c:pt idx="11">
                  <c:v>63</c:v>
                </c:pt>
                <c:pt idx="12" formatCode="#,##0.00">
                  <c:v>0</c:v>
                </c:pt>
                <c:pt idx="13" formatCode="#,##0.00">
                  <c:v>85</c:v>
                </c:pt>
                <c:pt idx="14">
                  <c:v>80</c:v>
                </c:pt>
                <c:pt idx="15">
                  <c:v>62</c:v>
                </c:pt>
                <c:pt idx="16">
                  <c:v>95</c:v>
                </c:pt>
                <c:pt idx="17">
                  <c:v>150</c:v>
                </c:pt>
                <c:pt idx="18">
                  <c:v>135</c:v>
                </c:pt>
                <c:pt idx="19">
                  <c:v>0</c:v>
                </c:pt>
                <c:pt idx="20">
                  <c:v>62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</c:v>
                </c:pt>
                <c:pt idx="26" formatCode="#,##0.00">
                  <c:v>90</c:v>
                </c:pt>
                <c:pt idx="27" formatCode="#,##0.00">
                  <c:v>90</c:v>
                </c:pt>
                <c:pt idx="28" formatCode="#,##0.00">
                  <c:v>115</c:v>
                </c:pt>
                <c:pt idx="29" formatCode="#,##0.00">
                  <c:v>0</c:v>
                </c:pt>
                <c:pt idx="30" formatCode="#,##0.00">
                  <c:v>115</c:v>
                </c:pt>
                <c:pt idx="31" formatCode="#,##0.00">
                  <c:v>106</c:v>
                </c:pt>
                <c:pt idx="32" formatCode="#,##0.00">
                  <c:v>165</c:v>
                </c:pt>
                <c:pt idx="33" formatCode="#,##0.00">
                  <c:v>111</c:v>
                </c:pt>
                <c:pt idx="34" formatCode="#,##0.00">
                  <c:v>138</c:v>
                </c:pt>
                <c:pt idx="35" formatCode="#,##0.00">
                  <c:v>117</c:v>
                </c:pt>
                <c:pt idx="36" formatCode="General">
                  <c:v>0</c:v>
                </c:pt>
                <c:pt idx="37" formatCode="General">
                  <c:v>10</c:v>
                </c:pt>
                <c:pt idx="38" formatCode="#,##0.00">
                  <c:v>78</c:v>
                </c:pt>
                <c:pt idx="39" formatCode="#,##0.0">
                  <c:v>10</c:v>
                </c:pt>
                <c:pt idx="40" formatCode="#,##0.00">
                  <c:v>0</c:v>
                </c:pt>
                <c:pt idx="41" formatCode="#,##0.00">
                  <c:v>87</c:v>
                </c:pt>
                <c:pt idx="42" formatCode="#,##0.00">
                  <c:v>102</c:v>
                </c:pt>
                <c:pt idx="43" formatCode="#,##0.0">
                  <c:v>80</c:v>
                </c:pt>
                <c:pt idx="44" formatCode="#,##0.00">
                  <c:v>86</c:v>
                </c:pt>
                <c:pt idx="45" formatCode="General">
                  <c:v>84</c:v>
                </c:pt>
                <c:pt idx="46" formatCode="General">
                  <c:v>41.7</c:v>
                </c:pt>
                <c:pt idx="47" formatCode="General">
                  <c:v>7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50</c:v>
                </c:pt>
                <c:pt idx="52" formatCode="General">
                  <c:v>0</c:v>
                </c:pt>
                <c:pt idx="53" formatCode="General">
                  <c:v>50</c:v>
                </c:pt>
                <c:pt idx="54" formatCode="General">
                  <c:v>60</c:v>
                </c:pt>
                <c:pt idx="55" formatCode="General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F-490C-A4A3-9E4B546690C5}"/>
            </c:ext>
          </c:extLst>
        </c:ser>
        <c:ser>
          <c:idx val="2"/>
          <c:order val="2"/>
          <c:tx>
            <c:strRef>
              <c:f>'Q base orig'!$I$3</c:f>
              <c:strCache>
                <c:ptCount val="1"/>
                <c:pt idx="0">
                  <c:v>QUEL.
[m3]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orig'!$I$4:$I$59</c:f>
              <c:numCache>
                <c:formatCode>#,##0</c:formatCode>
                <c:ptCount val="56"/>
                <c:pt idx="0" formatCode="#,##0.0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120</c:v>
                </c:pt>
                <c:pt idx="5">
                  <c:v>35</c:v>
                </c:pt>
                <c:pt idx="6">
                  <c:v>50</c:v>
                </c:pt>
                <c:pt idx="7">
                  <c:v>0</c:v>
                </c:pt>
                <c:pt idx="8">
                  <c:v>60</c:v>
                </c:pt>
                <c:pt idx="9">
                  <c:v>25</c:v>
                </c:pt>
                <c:pt idx="10">
                  <c:v>46</c:v>
                </c:pt>
                <c:pt idx="11">
                  <c:v>95.9</c:v>
                </c:pt>
                <c:pt idx="12" formatCode="#,##0.00">
                  <c:v>0</c:v>
                </c:pt>
                <c:pt idx="13" formatCode="#,##0.00">
                  <c:v>0</c:v>
                </c:pt>
                <c:pt idx="14">
                  <c:v>65</c:v>
                </c:pt>
                <c:pt idx="15">
                  <c:v>71</c:v>
                </c:pt>
                <c:pt idx="16">
                  <c:v>105</c:v>
                </c:pt>
                <c:pt idx="17">
                  <c:v>30</c:v>
                </c:pt>
                <c:pt idx="18">
                  <c:v>40</c:v>
                </c:pt>
                <c:pt idx="19">
                  <c:v>0</c:v>
                </c:pt>
                <c:pt idx="20">
                  <c:v>71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 formatCode="#,##0.00">
                  <c:v>0</c:v>
                </c:pt>
                <c:pt idx="34" formatCode="#,##0.00">
                  <c:v>0</c:v>
                </c:pt>
                <c:pt idx="35" formatCode="#,##0.00">
                  <c:v>10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 formatCode="#,##0.00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28</c:v>
                </c:pt>
                <c:pt idx="44" formatCode="#,##0.00">
                  <c:v>0</c:v>
                </c:pt>
                <c:pt idx="45" formatCode="0.00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20</c:v>
                </c:pt>
                <c:pt idx="49" formatCode="General">
                  <c:v>0</c:v>
                </c:pt>
                <c:pt idx="50" formatCode="General">
                  <c:v>20</c:v>
                </c:pt>
                <c:pt idx="51" formatCode="General">
                  <c:v>72</c:v>
                </c:pt>
                <c:pt idx="52" formatCode="General">
                  <c:v>20</c:v>
                </c:pt>
                <c:pt idx="53" formatCode="General">
                  <c:v>60</c:v>
                </c:pt>
                <c:pt idx="54" formatCode="General">
                  <c:v>80</c:v>
                </c:pt>
                <c:pt idx="55" formatCode="General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F-490C-A4A3-9E4B546690C5}"/>
            </c:ext>
          </c:extLst>
        </c:ser>
        <c:ser>
          <c:idx val="3"/>
          <c:order val="3"/>
          <c:tx>
            <c:strRef>
              <c:f>'Q base orig'!$J$3</c:f>
              <c:strCache>
                <c:ptCount val="1"/>
                <c:pt idx="0">
                  <c:v>DIVER.
[m3]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orig'!$J$4:$J$59</c:f>
              <c:numCache>
                <c:formatCode>#,##0</c:formatCode>
                <c:ptCount val="56"/>
                <c:pt idx="0" formatCode="#,##0.00">
                  <c:v>30</c:v>
                </c:pt>
                <c:pt idx="1">
                  <c:v>30</c:v>
                </c:pt>
                <c:pt idx="2">
                  <c:v>37</c:v>
                </c:pt>
                <c:pt idx="3">
                  <c:v>42</c:v>
                </c:pt>
                <c:pt idx="4">
                  <c:v>43</c:v>
                </c:pt>
                <c:pt idx="5">
                  <c:v>21</c:v>
                </c:pt>
                <c:pt idx="6">
                  <c:v>28</c:v>
                </c:pt>
                <c:pt idx="7">
                  <c:v>0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29</c:v>
                </c:pt>
                <c:pt idx="12" formatCode="#,##0.00">
                  <c:v>0</c:v>
                </c:pt>
                <c:pt idx="13" formatCode="#,##0.00">
                  <c:v>20</c:v>
                </c:pt>
                <c:pt idx="14">
                  <c:v>20</c:v>
                </c:pt>
                <c:pt idx="15">
                  <c:v>29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0</c:v>
                </c:pt>
                <c:pt idx="20">
                  <c:v>31</c:v>
                </c:pt>
                <c:pt idx="21">
                  <c:v>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.00">
                  <c:v>18</c:v>
                </c:pt>
                <c:pt idx="27" formatCode="#,##0.00">
                  <c:v>20</c:v>
                </c:pt>
                <c:pt idx="28" formatCode="#,##0.00">
                  <c:v>28</c:v>
                </c:pt>
                <c:pt idx="29" formatCode="#,##0.00">
                  <c:v>0</c:v>
                </c:pt>
                <c:pt idx="30" formatCode="#,##0.00">
                  <c:v>28</c:v>
                </c:pt>
                <c:pt idx="31" formatCode="#,##0.00">
                  <c:v>26</c:v>
                </c:pt>
                <c:pt idx="32" formatCode="#,##0.00">
                  <c:v>34</c:v>
                </c:pt>
                <c:pt idx="33" formatCode="#,##0.00">
                  <c:v>23</c:v>
                </c:pt>
                <c:pt idx="34" formatCode="#,##0.00">
                  <c:v>31</c:v>
                </c:pt>
                <c:pt idx="35" formatCode="#,##0.00">
                  <c:v>27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18</c:v>
                </c:pt>
                <c:pt idx="39" formatCode="#,##0.00">
                  <c:v>0</c:v>
                </c:pt>
                <c:pt idx="40" formatCode="#,##0.00">
                  <c:v>0</c:v>
                </c:pt>
                <c:pt idx="41" formatCode="#,##0.00">
                  <c:v>20</c:v>
                </c:pt>
                <c:pt idx="42" formatCode="#,##0.00">
                  <c:v>30</c:v>
                </c:pt>
                <c:pt idx="43" formatCode="#,##0.00">
                  <c:v>22</c:v>
                </c:pt>
                <c:pt idx="44" formatCode="#,##0.00">
                  <c:v>12</c:v>
                </c:pt>
                <c:pt idx="45" formatCode="General">
                  <c:v>13</c:v>
                </c:pt>
                <c:pt idx="46" formatCode="General">
                  <c:v>6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27</c:v>
                </c:pt>
                <c:pt idx="52" formatCode="General">
                  <c:v>0</c:v>
                </c:pt>
                <c:pt idx="53" formatCode="General">
                  <c:v>25</c:v>
                </c:pt>
                <c:pt idx="54" formatCode="General">
                  <c:v>30</c:v>
                </c:pt>
                <c:pt idx="55" formatCode="General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F-490C-A4A3-9E4B5466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895519"/>
        <c:axId val="1435565919"/>
      </c:barChart>
      <c:catAx>
        <c:axId val="9868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65919"/>
        <c:crosses val="autoZero"/>
        <c:auto val="1"/>
        <c:lblAlgn val="ctr"/>
        <c:lblOffset val="100"/>
        <c:noMultiLvlLbl val="0"/>
      </c:catAx>
      <c:valAx>
        <c:axId val="14355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68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orig'!$G$3</c:f>
              <c:strCache>
                <c:ptCount val="1"/>
                <c:pt idx="0">
                  <c:v>SOLV.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orig'!$G$4:$G$59</c:f>
              <c:numCache>
                <c:formatCode>#,##0</c:formatCode>
                <c:ptCount val="56"/>
                <c:pt idx="0" formatCode="#,##0.00">
                  <c:v>27</c:v>
                </c:pt>
                <c:pt idx="1">
                  <c:v>40</c:v>
                </c:pt>
                <c:pt idx="2">
                  <c:v>45</c:v>
                </c:pt>
                <c:pt idx="3">
                  <c:v>35</c:v>
                </c:pt>
                <c:pt idx="4">
                  <c:v>60</c:v>
                </c:pt>
                <c:pt idx="5">
                  <c:v>28</c:v>
                </c:pt>
                <c:pt idx="6">
                  <c:v>36</c:v>
                </c:pt>
                <c:pt idx="7">
                  <c:v>50</c:v>
                </c:pt>
                <c:pt idx="8">
                  <c:v>30</c:v>
                </c:pt>
                <c:pt idx="9">
                  <c:v>50</c:v>
                </c:pt>
                <c:pt idx="10">
                  <c:v>50</c:v>
                </c:pt>
                <c:pt idx="11">
                  <c:v>48</c:v>
                </c:pt>
                <c:pt idx="12" formatCode="#,##0.00">
                  <c:v>23</c:v>
                </c:pt>
                <c:pt idx="13" formatCode="#,##0.00">
                  <c:v>45</c:v>
                </c:pt>
                <c:pt idx="14">
                  <c:v>40</c:v>
                </c:pt>
                <c:pt idx="15">
                  <c:v>27</c:v>
                </c:pt>
                <c:pt idx="16">
                  <c:v>30</c:v>
                </c:pt>
                <c:pt idx="17">
                  <c:v>50</c:v>
                </c:pt>
                <c:pt idx="18">
                  <c:v>45</c:v>
                </c:pt>
                <c:pt idx="19">
                  <c:v>62</c:v>
                </c:pt>
                <c:pt idx="20">
                  <c:v>47</c:v>
                </c:pt>
                <c:pt idx="21">
                  <c:v>5</c:v>
                </c:pt>
                <c:pt idx="22">
                  <c:v>0</c:v>
                </c:pt>
                <c:pt idx="23">
                  <c:v>100</c:v>
                </c:pt>
                <c:pt idx="24">
                  <c:v>60</c:v>
                </c:pt>
                <c:pt idx="25">
                  <c:v>3</c:v>
                </c:pt>
                <c:pt idx="26" formatCode="#,##0.00">
                  <c:v>51</c:v>
                </c:pt>
                <c:pt idx="27" formatCode="#,##0.00">
                  <c:v>9</c:v>
                </c:pt>
                <c:pt idx="28" formatCode="#,##0.00">
                  <c:v>32</c:v>
                </c:pt>
                <c:pt idx="29" formatCode="#,##0.00">
                  <c:v>48</c:v>
                </c:pt>
                <c:pt idx="30" formatCode="#,##0.00">
                  <c:v>34</c:v>
                </c:pt>
                <c:pt idx="31" formatCode="#,##0.00">
                  <c:v>30</c:v>
                </c:pt>
                <c:pt idx="32" formatCode="#,##0.00">
                  <c:v>26</c:v>
                </c:pt>
                <c:pt idx="33" formatCode="#,##0.00">
                  <c:v>29</c:v>
                </c:pt>
                <c:pt idx="34" formatCode="#,##0.00">
                  <c:v>25</c:v>
                </c:pt>
                <c:pt idx="35" formatCode="#,##0.00">
                  <c:v>48</c:v>
                </c:pt>
                <c:pt idx="36" formatCode="General">
                  <c:v>17</c:v>
                </c:pt>
                <c:pt idx="37" formatCode="General">
                  <c:v>7</c:v>
                </c:pt>
                <c:pt idx="38" formatCode="#,##0.00">
                  <c:v>26</c:v>
                </c:pt>
                <c:pt idx="39" formatCode="#,##0.0">
                  <c:v>3</c:v>
                </c:pt>
                <c:pt idx="40" formatCode="#,##0.00">
                  <c:v>0</c:v>
                </c:pt>
                <c:pt idx="41" formatCode="#,##0.00">
                  <c:v>21</c:v>
                </c:pt>
                <c:pt idx="42" formatCode="#,##0.00">
                  <c:v>30</c:v>
                </c:pt>
                <c:pt idx="43" formatCode="#,##0.0">
                  <c:v>28</c:v>
                </c:pt>
                <c:pt idx="44" formatCode="#,##0.00">
                  <c:v>22</c:v>
                </c:pt>
                <c:pt idx="45" formatCode="General">
                  <c:v>29</c:v>
                </c:pt>
                <c:pt idx="46" formatCode="General">
                  <c:v>11</c:v>
                </c:pt>
                <c:pt idx="47" formatCode="General">
                  <c:v>5</c:v>
                </c:pt>
                <c:pt idx="48" formatCode="General">
                  <c:v>60</c:v>
                </c:pt>
                <c:pt idx="49" formatCode="General">
                  <c:v>13</c:v>
                </c:pt>
                <c:pt idx="50" formatCode="General">
                  <c:v>18</c:v>
                </c:pt>
                <c:pt idx="51" formatCode="General">
                  <c:v>39</c:v>
                </c:pt>
                <c:pt idx="52" formatCode="General">
                  <c:v>10</c:v>
                </c:pt>
                <c:pt idx="53" formatCode="General">
                  <c:v>26</c:v>
                </c:pt>
                <c:pt idx="54" formatCode="General">
                  <c:v>16</c:v>
                </c:pt>
                <c:pt idx="55" formatCode="General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0-4186-A70E-26C3B50F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53967"/>
        <c:axId val="1435555007"/>
      </c:barChart>
      <c:catAx>
        <c:axId val="758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55007"/>
        <c:crosses val="autoZero"/>
        <c:auto val="1"/>
        <c:lblAlgn val="ctr"/>
        <c:lblOffset val="100"/>
        <c:noMultiLvlLbl val="0"/>
      </c:catAx>
      <c:valAx>
        <c:axId val="14355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3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orig'!$H$3</c:f>
              <c:strCache>
                <c:ptCount val="1"/>
                <c:pt idx="0">
                  <c:v>ACID.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orig'!$H$4:$H$59</c:f>
              <c:numCache>
                <c:formatCode>#,##0</c:formatCode>
                <c:ptCount val="56"/>
                <c:pt idx="0" formatCode="#,##0.00">
                  <c:v>110</c:v>
                </c:pt>
                <c:pt idx="1">
                  <c:v>110</c:v>
                </c:pt>
                <c:pt idx="2">
                  <c:v>145</c:v>
                </c:pt>
                <c:pt idx="3">
                  <c:v>180</c:v>
                </c:pt>
                <c:pt idx="4">
                  <c:v>140</c:v>
                </c:pt>
                <c:pt idx="5">
                  <c:v>77</c:v>
                </c:pt>
                <c:pt idx="6">
                  <c:v>27</c:v>
                </c:pt>
                <c:pt idx="7">
                  <c:v>5</c:v>
                </c:pt>
                <c:pt idx="8">
                  <c:v>30</c:v>
                </c:pt>
                <c:pt idx="9">
                  <c:v>85</c:v>
                </c:pt>
                <c:pt idx="10">
                  <c:v>35</c:v>
                </c:pt>
                <c:pt idx="11">
                  <c:v>63</c:v>
                </c:pt>
                <c:pt idx="12" formatCode="#,##0.00">
                  <c:v>0</c:v>
                </c:pt>
                <c:pt idx="13" formatCode="#,##0.00">
                  <c:v>85</c:v>
                </c:pt>
                <c:pt idx="14">
                  <c:v>80</c:v>
                </c:pt>
                <c:pt idx="15">
                  <c:v>62</c:v>
                </c:pt>
                <c:pt idx="16">
                  <c:v>95</c:v>
                </c:pt>
                <c:pt idx="17">
                  <c:v>150</c:v>
                </c:pt>
                <c:pt idx="18">
                  <c:v>135</c:v>
                </c:pt>
                <c:pt idx="19">
                  <c:v>0</c:v>
                </c:pt>
                <c:pt idx="20">
                  <c:v>62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</c:v>
                </c:pt>
                <c:pt idx="26" formatCode="#,##0.00">
                  <c:v>90</c:v>
                </c:pt>
                <c:pt idx="27" formatCode="#,##0.00">
                  <c:v>90</c:v>
                </c:pt>
                <c:pt idx="28" formatCode="#,##0.00">
                  <c:v>115</c:v>
                </c:pt>
                <c:pt idx="29" formatCode="#,##0.00">
                  <c:v>0</c:v>
                </c:pt>
                <c:pt idx="30" formatCode="#,##0.00">
                  <c:v>115</c:v>
                </c:pt>
                <c:pt idx="31" formatCode="#,##0.00">
                  <c:v>106</c:v>
                </c:pt>
                <c:pt idx="32" formatCode="#,##0.00">
                  <c:v>165</c:v>
                </c:pt>
                <c:pt idx="33" formatCode="#,##0.00">
                  <c:v>111</c:v>
                </c:pt>
                <c:pt idx="34" formatCode="#,##0.00">
                  <c:v>138</c:v>
                </c:pt>
                <c:pt idx="35" formatCode="#,##0.00">
                  <c:v>117</c:v>
                </c:pt>
                <c:pt idx="36" formatCode="General">
                  <c:v>0</c:v>
                </c:pt>
                <c:pt idx="37" formatCode="General">
                  <c:v>10</c:v>
                </c:pt>
                <c:pt idx="38" formatCode="#,##0.00">
                  <c:v>78</c:v>
                </c:pt>
                <c:pt idx="39" formatCode="#,##0.0">
                  <c:v>10</c:v>
                </c:pt>
                <c:pt idx="40" formatCode="#,##0.00">
                  <c:v>0</c:v>
                </c:pt>
                <c:pt idx="41" formatCode="#,##0.00">
                  <c:v>87</c:v>
                </c:pt>
                <c:pt idx="42" formatCode="#,##0.00">
                  <c:v>102</c:v>
                </c:pt>
                <c:pt idx="43" formatCode="#,##0.0">
                  <c:v>80</c:v>
                </c:pt>
                <c:pt idx="44" formatCode="#,##0.00">
                  <c:v>86</c:v>
                </c:pt>
                <c:pt idx="45" formatCode="General">
                  <c:v>84</c:v>
                </c:pt>
                <c:pt idx="46" formatCode="General">
                  <c:v>41.7</c:v>
                </c:pt>
                <c:pt idx="47" formatCode="General">
                  <c:v>7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50</c:v>
                </c:pt>
                <c:pt idx="52" formatCode="General">
                  <c:v>0</c:v>
                </c:pt>
                <c:pt idx="53" formatCode="General">
                  <c:v>50</c:v>
                </c:pt>
                <c:pt idx="54" formatCode="General">
                  <c:v>60</c:v>
                </c:pt>
                <c:pt idx="55" formatCode="General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2-4CF2-99BB-4E5AA827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53967"/>
        <c:axId val="1435555007"/>
      </c:barChart>
      <c:catAx>
        <c:axId val="758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55007"/>
        <c:crosses val="autoZero"/>
        <c:auto val="1"/>
        <c:lblAlgn val="ctr"/>
        <c:lblOffset val="100"/>
        <c:noMultiLvlLbl val="0"/>
      </c:catAx>
      <c:valAx>
        <c:axId val="14355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3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orig'!$I$3</c:f>
              <c:strCache>
                <c:ptCount val="1"/>
                <c:pt idx="0">
                  <c:v>QUEL.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orig'!$I$4:$I$59</c:f>
              <c:numCache>
                <c:formatCode>#,##0</c:formatCode>
                <c:ptCount val="56"/>
                <c:pt idx="0" formatCode="#,##0.0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120</c:v>
                </c:pt>
                <c:pt idx="5">
                  <c:v>35</c:v>
                </c:pt>
                <c:pt idx="6">
                  <c:v>50</c:v>
                </c:pt>
                <c:pt idx="7">
                  <c:v>0</c:v>
                </c:pt>
                <c:pt idx="8">
                  <c:v>60</c:v>
                </c:pt>
                <c:pt idx="9">
                  <c:v>25</c:v>
                </c:pt>
                <c:pt idx="10">
                  <c:v>46</c:v>
                </c:pt>
                <c:pt idx="11">
                  <c:v>95.9</c:v>
                </c:pt>
                <c:pt idx="12" formatCode="#,##0.00">
                  <c:v>0</c:v>
                </c:pt>
                <c:pt idx="13" formatCode="#,##0.00">
                  <c:v>0</c:v>
                </c:pt>
                <c:pt idx="14">
                  <c:v>65</c:v>
                </c:pt>
                <c:pt idx="15">
                  <c:v>71</c:v>
                </c:pt>
                <c:pt idx="16">
                  <c:v>105</c:v>
                </c:pt>
                <c:pt idx="17">
                  <c:v>30</c:v>
                </c:pt>
                <c:pt idx="18">
                  <c:v>40</c:v>
                </c:pt>
                <c:pt idx="19">
                  <c:v>0</c:v>
                </c:pt>
                <c:pt idx="20">
                  <c:v>71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 formatCode="#,##0.00">
                  <c:v>0</c:v>
                </c:pt>
                <c:pt idx="34" formatCode="#,##0.00">
                  <c:v>0</c:v>
                </c:pt>
                <c:pt idx="35" formatCode="#,##0.00">
                  <c:v>10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 formatCode="#,##0.00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28</c:v>
                </c:pt>
                <c:pt idx="44" formatCode="#,##0.00">
                  <c:v>0</c:v>
                </c:pt>
                <c:pt idx="45" formatCode="0.00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20</c:v>
                </c:pt>
                <c:pt idx="49" formatCode="General">
                  <c:v>0</c:v>
                </c:pt>
                <c:pt idx="50" formatCode="General">
                  <c:v>20</c:v>
                </c:pt>
                <c:pt idx="51" formatCode="General">
                  <c:v>72</c:v>
                </c:pt>
                <c:pt idx="52" formatCode="General">
                  <c:v>20</c:v>
                </c:pt>
                <c:pt idx="53" formatCode="General">
                  <c:v>60</c:v>
                </c:pt>
                <c:pt idx="54" formatCode="General">
                  <c:v>80</c:v>
                </c:pt>
                <c:pt idx="55" formatCode="General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1-465D-9633-086D827C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53967"/>
        <c:axId val="1435555007"/>
      </c:barChart>
      <c:catAx>
        <c:axId val="758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55007"/>
        <c:crosses val="autoZero"/>
        <c:auto val="1"/>
        <c:lblAlgn val="ctr"/>
        <c:lblOffset val="100"/>
        <c:noMultiLvlLbl val="0"/>
      </c:catAx>
      <c:valAx>
        <c:axId val="14355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3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orig'!$L$3</c:f>
              <c:strCache>
                <c:ptCount val="1"/>
                <c:pt idx="0">
                  <c:v>Total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F21-4DF7-B131-2BDBC3BC107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orig'!$L$3:$L$58</c:f>
              <c:numCache>
                <c:formatCode>#,##0.00</c:formatCode>
                <c:ptCount val="56"/>
                <c:pt idx="0" formatCode="General">
                  <c:v>0</c:v>
                </c:pt>
                <c:pt idx="1">
                  <c:v>167</c:v>
                </c:pt>
                <c:pt idx="2">
                  <c:v>200</c:v>
                </c:pt>
                <c:pt idx="3">
                  <c:v>335</c:v>
                </c:pt>
                <c:pt idx="4">
                  <c:v>357</c:v>
                </c:pt>
                <c:pt idx="5" formatCode="#,##0">
                  <c:v>363</c:v>
                </c:pt>
                <c:pt idx="6" formatCode="#,##0">
                  <c:v>229</c:v>
                </c:pt>
                <c:pt idx="7" formatCode="#,##0">
                  <c:v>216</c:v>
                </c:pt>
                <c:pt idx="8" formatCode="#,##0">
                  <c:v>345</c:v>
                </c:pt>
                <c:pt idx="9" formatCode="#,##0">
                  <c:v>215</c:v>
                </c:pt>
                <c:pt idx="10" formatCode="#,##0">
                  <c:v>190</c:v>
                </c:pt>
                <c:pt idx="11" formatCode="#,##0">
                  <c:v>225</c:v>
                </c:pt>
                <c:pt idx="12" formatCode="#,##0">
                  <c:v>235.9</c:v>
                </c:pt>
                <c:pt idx="13">
                  <c:v>23</c:v>
                </c:pt>
                <c:pt idx="14">
                  <c:v>226</c:v>
                </c:pt>
                <c:pt idx="15" formatCode="#,##0">
                  <c:v>205</c:v>
                </c:pt>
                <c:pt idx="16" formatCode="#,##0">
                  <c:v>189</c:v>
                </c:pt>
                <c:pt idx="17" formatCode="#,##0">
                  <c:v>355</c:v>
                </c:pt>
                <c:pt idx="18" formatCode="#,##0">
                  <c:v>269</c:v>
                </c:pt>
                <c:pt idx="19" formatCode="#,##0">
                  <c:v>318</c:v>
                </c:pt>
                <c:pt idx="20" formatCode="#,##0">
                  <c:v>150.1</c:v>
                </c:pt>
                <c:pt idx="21" formatCode="#,##0">
                  <c:v>211</c:v>
                </c:pt>
                <c:pt idx="22" formatCode="#,##0">
                  <c:v>90</c:v>
                </c:pt>
                <c:pt idx="23" formatCode="#,##0">
                  <c:v>32.5</c:v>
                </c:pt>
                <c:pt idx="24" formatCode="#,##0">
                  <c:v>100</c:v>
                </c:pt>
                <c:pt idx="25" formatCode="#,##0">
                  <c:v>60</c:v>
                </c:pt>
                <c:pt idx="26" formatCode="#,##0">
                  <c:v>44</c:v>
                </c:pt>
                <c:pt idx="27">
                  <c:v>159</c:v>
                </c:pt>
                <c:pt idx="28">
                  <c:v>119</c:v>
                </c:pt>
                <c:pt idx="29">
                  <c:v>175</c:v>
                </c:pt>
                <c:pt idx="30">
                  <c:v>48</c:v>
                </c:pt>
                <c:pt idx="31">
                  <c:v>177</c:v>
                </c:pt>
                <c:pt idx="32">
                  <c:v>40</c:v>
                </c:pt>
                <c:pt idx="33">
                  <c:v>225</c:v>
                </c:pt>
                <c:pt idx="34">
                  <c:v>163</c:v>
                </c:pt>
                <c:pt idx="35">
                  <c:v>194</c:v>
                </c:pt>
                <c:pt idx="36">
                  <c:v>202</c:v>
                </c:pt>
                <c:pt idx="37">
                  <c:v>39.5</c:v>
                </c:pt>
                <c:pt idx="38">
                  <c:v>34</c:v>
                </c:pt>
                <c:pt idx="39">
                  <c:v>122</c:v>
                </c:pt>
                <c:pt idx="40">
                  <c:v>26</c:v>
                </c:pt>
                <c:pt idx="41">
                  <c:v>9.5299999999999994</c:v>
                </c:pt>
                <c:pt idx="43">
                  <c:v>162</c:v>
                </c:pt>
                <c:pt idx="44">
                  <c:v>158</c:v>
                </c:pt>
                <c:pt idx="45">
                  <c:v>120</c:v>
                </c:pt>
                <c:pt idx="46">
                  <c:v>126</c:v>
                </c:pt>
                <c:pt idx="47">
                  <c:v>58.7</c:v>
                </c:pt>
                <c:pt idx="48">
                  <c:v>18</c:v>
                </c:pt>
                <c:pt idx="49">
                  <c:v>113</c:v>
                </c:pt>
                <c:pt idx="50">
                  <c:v>46</c:v>
                </c:pt>
                <c:pt idx="51">
                  <c:v>38</c:v>
                </c:pt>
                <c:pt idx="52">
                  <c:v>188</c:v>
                </c:pt>
                <c:pt idx="53">
                  <c:v>30</c:v>
                </c:pt>
                <c:pt idx="54">
                  <c:v>161</c:v>
                </c:pt>
                <c:pt idx="5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1-4DF7-B131-2BDBC3BC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53967"/>
        <c:axId val="1435555007"/>
      </c:barChart>
      <c:catAx>
        <c:axId val="758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55007"/>
        <c:crosses val="autoZero"/>
        <c:auto val="1"/>
        <c:lblAlgn val="ctr"/>
        <c:lblOffset val="100"/>
        <c:noMultiLvlLbl val="0"/>
      </c:catAx>
      <c:valAx>
        <c:axId val="143555500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3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orig'!$O$3</c:f>
              <c:strCache>
                <c:ptCount val="1"/>
                <c:pt idx="0">
                  <c:v>Qo antes
[bls]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orig'!$O$4:$O$59</c:f>
              <c:numCache>
                <c:formatCode>General</c:formatCode>
                <c:ptCount val="56"/>
                <c:pt idx="2" formatCode="#,##0">
                  <c:v>4600</c:v>
                </c:pt>
                <c:pt idx="3" formatCode="#,##0">
                  <c:v>4430</c:v>
                </c:pt>
                <c:pt idx="6" formatCode="#,##0">
                  <c:v>5300</c:v>
                </c:pt>
                <c:pt idx="8" formatCode="#,##0">
                  <c:v>4400</c:v>
                </c:pt>
                <c:pt idx="10" formatCode="#,##0">
                  <c:v>3742</c:v>
                </c:pt>
                <c:pt idx="12" formatCode="#,##0">
                  <c:v>2607</c:v>
                </c:pt>
                <c:pt idx="14" formatCode="#,##0">
                  <c:v>3900</c:v>
                </c:pt>
                <c:pt idx="17" formatCode="#,##0">
                  <c:v>3300</c:v>
                </c:pt>
                <c:pt idx="29" formatCode="#,##0">
                  <c:v>5353</c:v>
                </c:pt>
                <c:pt idx="31" formatCode="#,##0">
                  <c:v>3430</c:v>
                </c:pt>
                <c:pt idx="33" formatCode="#,##0">
                  <c:v>4000</c:v>
                </c:pt>
                <c:pt idx="34" formatCode="#,##0">
                  <c:v>2500</c:v>
                </c:pt>
                <c:pt idx="43" formatCode="#,##0">
                  <c:v>4000</c:v>
                </c:pt>
                <c:pt idx="44" formatCode="#,##0">
                  <c:v>3200</c:v>
                </c:pt>
                <c:pt idx="46" formatCode="#,##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C-46CA-B5CD-F9BB515A330A}"/>
            </c:ext>
          </c:extLst>
        </c:ser>
        <c:ser>
          <c:idx val="1"/>
          <c:order val="1"/>
          <c:tx>
            <c:strRef>
              <c:f>'Q base orig'!$P$3</c:f>
              <c:strCache>
                <c:ptCount val="1"/>
                <c:pt idx="0">
                  <c:v>Qo desp
[bls]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orig'!$P$4:$P$59</c:f>
              <c:numCache>
                <c:formatCode>General</c:formatCode>
                <c:ptCount val="56"/>
                <c:pt idx="2" formatCode="#,##0">
                  <c:v>6412</c:v>
                </c:pt>
                <c:pt idx="3" formatCode="#,##0">
                  <c:v>4720</c:v>
                </c:pt>
                <c:pt idx="6" formatCode="#,##0">
                  <c:v>5400</c:v>
                </c:pt>
                <c:pt idx="8" formatCode="#,##0">
                  <c:v>4800</c:v>
                </c:pt>
                <c:pt idx="10" formatCode="#,##0">
                  <c:v>4127</c:v>
                </c:pt>
                <c:pt idx="12" formatCode="#,##0">
                  <c:v>4357</c:v>
                </c:pt>
                <c:pt idx="14" formatCode="#,##0">
                  <c:v>5400</c:v>
                </c:pt>
                <c:pt idx="17" formatCode="#,##0">
                  <c:v>4300</c:v>
                </c:pt>
                <c:pt idx="29" formatCode="#,##0">
                  <c:v>5800</c:v>
                </c:pt>
                <c:pt idx="31" formatCode="#,##0">
                  <c:v>3874</c:v>
                </c:pt>
                <c:pt idx="33" formatCode="#,##0">
                  <c:v>4200</c:v>
                </c:pt>
                <c:pt idx="34" formatCode="#,##0">
                  <c:v>3550</c:v>
                </c:pt>
                <c:pt idx="43" formatCode="#,##0">
                  <c:v>4510</c:v>
                </c:pt>
                <c:pt idx="44" formatCode="#,##0">
                  <c:v>3400</c:v>
                </c:pt>
                <c:pt idx="46" formatCode="#,##0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C-46CA-B5CD-F9BB515A3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695679"/>
        <c:axId val="1608084815"/>
      </c:barChart>
      <c:catAx>
        <c:axId val="10936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8084815"/>
        <c:crosses val="autoZero"/>
        <c:auto val="1"/>
        <c:lblAlgn val="ctr"/>
        <c:lblOffset val="100"/>
        <c:noMultiLvlLbl val="0"/>
      </c:catAx>
      <c:valAx>
        <c:axId val="16080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6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orig'!$Q$3</c:f>
              <c:strCache>
                <c:ptCount val="1"/>
                <c:pt idx="0">
                  <c:v>ΔQo
[bls]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orig'!$Q$4:$Q$59</c:f>
              <c:numCache>
                <c:formatCode>#,##0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1812</c:v>
                </c:pt>
                <c:pt idx="3">
                  <c:v>290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400</c:v>
                </c:pt>
                <c:pt idx="9">
                  <c:v>0</c:v>
                </c:pt>
                <c:pt idx="10">
                  <c:v>385</c:v>
                </c:pt>
                <c:pt idx="11">
                  <c:v>0</c:v>
                </c:pt>
                <c:pt idx="12">
                  <c:v>1750</c:v>
                </c:pt>
                <c:pt idx="13">
                  <c:v>0</c:v>
                </c:pt>
                <c:pt idx="14">
                  <c:v>1500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447</c:v>
                </c:pt>
                <c:pt idx="30">
                  <c:v>0</c:v>
                </c:pt>
                <c:pt idx="31">
                  <c:v>444</c:v>
                </c:pt>
                <c:pt idx="32">
                  <c:v>0</c:v>
                </c:pt>
                <c:pt idx="33">
                  <c:v>200</c:v>
                </c:pt>
                <c:pt idx="34">
                  <c:v>1050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510</c:v>
                </c:pt>
                <c:pt idx="44">
                  <c:v>200</c:v>
                </c:pt>
                <c:pt idx="45">
                  <c:v>0</c:v>
                </c:pt>
                <c:pt idx="46">
                  <c:v>500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1-49C0-9A08-1CA01DFF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740319"/>
        <c:axId val="2142556399"/>
      </c:barChart>
      <c:catAx>
        <c:axId val="10937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2556399"/>
        <c:crosses val="autoZero"/>
        <c:auto val="1"/>
        <c:lblAlgn val="ctr"/>
        <c:lblOffset val="100"/>
        <c:noMultiLvlLbl val="0"/>
      </c:catAx>
      <c:valAx>
        <c:axId val="21425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74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342899</xdr:colOff>
      <xdr:row>3</xdr:row>
      <xdr:rowOff>104775</xdr:rowOff>
    </xdr:from>
    <xdr:to>
      <xdr:col>27</xdr:col>
      <xdr:colOff>314325</xdr:colOff>
      <xdr:row>15</xdr:row>
      <xdr:rowOff>314331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4D84F8-6B71-40BC-9015-567EF825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595311</xdr:colOff>
      <xdr:row>19</xdr:row>
      <xdr:rowOff>285756</xdr:rowOff>
    </xdr:from>
    <xdr:to>
      <xdr:col>25</xdr:col>
      <xdr:colOff>761999</xdr:colOff>
      <xdr:row>30</xdr:row>
      <xdr:rowOff>323856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0AF6E8-51A4-41AB-AF8F-37648552A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552450</xdr:colOff>
      <xdr:row>31</xdr:row>
      <xdr:rowOff>28575</xdr:rowOff>
    </xdr:from>
    <xdr:to>
      <xdr:col>24</xdr:col>
      <xdr:colOff>666750</xdr:colOff>
      <xdr:row>37</xdr:row>
      <xdr:rowOff>419100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D6C2BE-95CC-4E5F-9543-1420C7402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561975</xdr:colOff>
      <xdr:row>38</xdr:row>
      <xdr:rowOff>95250</xdr:rowOff>
    </xdr:from>
    <xdr:to>
      <xdr:col>24</xdr:col>
      <xdr:colOff>676275</xdr:colOff>
      <xdr:row>47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EE10CD-004E-4FF5-BC17-428ECC6F1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47</xdr:row>
      <xdr:rowOff>333375</xdr:rowOff>
    </xdr:from>
    <xdr:to>
      <xdr:col>24</xdr:col>
      <xdr:colOff>1000125</xdr:colOff>
      <xdr:row>59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9CD082-607C-4E60-8C5C-4C4BFAE67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566737</xdr:colOff>
      <xdr:row>68</xdr:row>
      <xdr:rowOff>133356</xdr:rowOff>
    </xdr:from>
    <xdr:to>
      <xdr:col>28</xdr:col>
      <xdr:colOff>309562</xdr:colOff>
      <xdr:row>82</xdr:row>
      <xdr:rowOff>161931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0053D87-A540-408D-B04B-64F5D9FD4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90487</xdr:colOff>
      <xdr:row>59</xdr:row>
      <xdr:rowOff>0</xdr:rowOff>
    </xdr:from>
    <xdr:to>
      <xdr:col>27</xdr:col>
      <xdr:colOff>357187</xdr:colOff>
      <xdr:row>68</xdr:row>
      <xdr:rowOff>95256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B85FEC1-E4C8-4BE5-94BA-294A9C6C3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9"/>
  <sheetViews>
    <sheetView tabSelected="1" zoomScale="110" zoomScaleNormal="110" workbookViewId="0">
      <pane xSplit="2" ySplit="1" topLeftCell="AI2" activePane="bottomRight" state="frozen"/>
      <selection pane="topRight" activeCell="B1" sqref="B1"/>
      <selection pane="bottomLeft" activeCell="A4" sqref="A4"/>
      <selection pane="bottomRight" activeCell="AN2" sqref="AN2:AN199"/>
    </sheetView>
  </sheetViews>
  <sheetFormatPr baseColWidth="10" defaultColWidth="11.41796875" defaultRowHeight="15" x14ac:dyDescent="0.55000000000000004"/>
  <cols>
    <col min="1" max="1" width="15.89453125" style="98" customWidth="1"/>
    <col min="2" max="2" width="18.89453125" style="98" bestFit="1" customWidth="1"/>
    <col min="3" max="3" width="21.41796875" style="98" customWidth="1"/>
    <col min="4" max="4" width="26" style="98" customWidth="1"/>
    <col min="5" max="6" width="21.68359375" style="98" customWidth="1"/>
    <col min="7" max="7" width="17.20703125" style="102" bestFit="1" customWidth="1"/>
    <col min="8" max="8" width="17.20703125" style="102" customWidth="1"/>
    <col min="9" max="9" width="16.68359375" style="98" bestFit="1" customWidth="1"/>
    <col min="10" max="10" width="23.5234375" style="98" bestFit="1" customWidth="1"/>
    <col min="11" max="11" width="21.1015625" style="98" customWidth="1"/>
    <col min="12" max="12" width="13.89453125" style="102" bestFit="1" customWidth="1"/>
    <col min="13" max="13" width="13.89453125" style="102" customWidth="1"/>
    <col min="14" max="14" width="16.68359375" style="98" bestFit="1" customWidth="1"/>
    <col min="15" max="15" width="16.5234375" style="98" bestFit="1" customWidth="1"/>
    <col min="16" max="16" width="16.68359375" style="98" bestFit="1" customWidth="1"/>
    <col min="17" max="21" width="16.68359375" style="98" customWidth="1"/>
    <col min="22" max="22" width="17.89453125" style="98" bestFit="1" customWidth="1"/>
    <col min="23" max="23" width="17.20703125" style="102" bestFit="1" customWidth="1"/>
    <col min="24" max="24" width="23.41796875" style="102" bestFit="1" customWidth="1"/>
    <col min="25" max="25" width="15.68359375" style="98" bestFit="1" customWidth="1"/>
    <col min="26" max="26" width="15.68359375" style="98" customWidth="1"/>
    <col min="27" max="27" width="16.20703125" style="102" bestFit="1" customWidth="1"/>
    <col min="28" max="28" width="19.41796875" style="102" bestFit="1" customWidth="1"/>
    <col min="29" max="29" width="19.89453125" style="102" bestFit="1" customWidth="1"/>
    <col min="30" max="30" width="19.1015625" style="102" bestFit="1" customWidth="1"/>
    <col min="31" max="31" width="14.68359375" style="102" bestFit="1" customWidth="1"/>
    <col min="32" max="32" width="20.41796875" style="102" bestFit="1" customWidth="1"/>
    <col min="33" max="33" width="19.5234375" style="102" bestFit="1" customWidth="1"/>
    <col min="34" max="34" width="19.1015625" style="102" bestFit="1" customWidth="1"/>
    <col min="35" max="35" width="20.41796875" style="98" bestFit="1" customWidth="1"/>
    <col min="36" max="36" width="19.5234375" style="98" bestFit="1" customWidth="1"/>
    <col min="37" max="37" width="26.1015625" style="98" bestFit="1" customWidth="1"/>
    <col min="38" max="39" width="19.1015625" style="98" bestFit="1" customWidth="1"/>
    <col min="40" max="16384" width="11.41796875" style="98"/>
  </cols>
  <sheetData>
    <row r="1" spans="1:40" s="92" customFormat="1" ht="30" x14ac:dyDescent="0.55000000000000004">
      <c r="A1" s="92" t="s">
        <v>258</v>
      </c>
      <c r="B1" s="91" t="s">
        <v>257</v>
      </c>
      <c r="C1" s="97" t="s">
        <v>240</v>
      </c>
      <c r="D1" s="97" t="s">
        <v>1</v>
      </c>
      <c r="E1" s="97" t="s">
        <v>539</v>
      </c>
      <c r="F1" s="97" t="s">
        <v>540</v>
      </c>
      <c r="G1" s="101" t="s">
        <v>535</v>
      </c>
      <c r="H1" s="101" t="s">
        <v>373</v>
      </c>
      <c r="I1" s="115" t="s">
        <v>543</v>
      </c>
      <c r="J1" s="103" t="s">
        <v>374</v>
      </c>
      <c r="K1" s="91" t="s">
        <v>253</v>
      </c>
      <c r="L1" s="101" t="s">
        <v>254</v>
      </c>
      <c r="M1" s="105" t="s">
        <v>542</v>
      </c>
      <c r="N1" s="93" t="s">
        <v>259</v>
      </c>
      <c r="O1" s="93" t="s">
        <v>260</v>
      </c>
      <c r="P1" s="93" t="s">
        <v>261</v>
      </c>
      <c r="Q1" s="93" t="s">
        <v>378</v>
      </c>
      <c r="R1" s="93" t="s">
        <v>379</v>
      </c>
      <c r="S1" s="93" t="s">
        <v>381</v>
      </c>
      <c r="T1" s="93" t="s">
        <v>382</v>
      </c>
      <c r="U1" s="93" t="s">
        <v>533</v>
      </c>
      <c r="V1" s="93" t="s">
        <v>380</v>
      </c>
      <c r="W1" s="105" t="s">
        <v>262</v>
      </c>
      <c r="X1" s="105" t="s">
        <v>256</v>
      </c>
      <c r="Y1" s="107" t="s">
        <v>263</v>
      </c>
      <c r="Z1" s="107" t="s">
        <v>538</v>
      </c>
      <c r="AA1" s="105" t="s">
        <v>536</v>
      </c>
      <c r="AB1" s="105" t="s">
        <v>537</v>
      </c>
      <c r="AC1" s="105" t="s">
        <v>264</v>
      </c>
      <c r="AD1" s="105" t="s">
        <v>265</v>
      </c>
      <c r="AE1" s="105" t="s">
        <v>266</v>
      </c>
      <c r="AF1" s="105" t="s">
        <v>267</v>
      </c>
      <c r="AG1" s="105" t="s">
        <v>268</v>
      </c>
      <c r="AH1" s="105" t="s">
        <v>269</v>
      </c>
      <c r="AI1" s="94" t="s">
        <v>270</v>
      </c>
      <c r="AJ1" s="94" t="s">
        <v>271</v>
      </c>
      <c r="AK1" s="94" t="s">
        <v>248</v>
      </c>
      <c r="AL1" s="95" t="s">
        <v>272</v>
      </c>
      <c r="AM1" s="95" t="s">
        <v>541</v>
      </c>
      <c r="AN1" s="92" t="s">
        <v>544</v>
      </c>
    </row>
    <row r="2" spans="1:40" s="85" customFormat="1" x14ac:dyDescent="0.55000000000000004">
      <c r="A2" s="82" t="s">
        <v>310</v>
      </c>
      <c r="B2" s="82" t="s">
        <v>311</v>
      </c>
      <c r="C2" s="82" t="s">
        <v>315</v>
      </c>
      <c r="D2" s="82" t="s">
        <v>337</v>
      </c>
      <c r="E2" s="82"/>
      <c r="F2" s="82"/>
      <c r="G2" s="60" t="s">
        <v>252</v>
      </c>
      <c r="H2" s="110">
        <v>35920.800000000003</v>
      </c>
      <c r="I2" s="100">
        <v>44081</v>
      </c>
      <c r="J2" s="104" t="s">
        <v>255</v>
      </c>
      <c r="K2" s="82" t="s">
        <v>375</v>
      </c>
      <c r="L2" s="82" t="s">
        <v>534</v>
      </c>
      <c r="M2" s="82"/>
      <c r="N2" s="82">
        <v>10</v>
      </c>
      <c r="O2" s="82"/>
      <c r="P2" s="82"/>
      <c r="Q2" s="82"/>
      <c r="R2" s="82"/>
      <c r="S2" s="82"/>
      <c r="T2" s="82"/>
      <c r="U2" s="82"/>
      <c r="V2" s="82"/>
      <c r="W2" s="60">
        <v>58</v>
      </c>
      <c r="X2" s="60"/>
      <c r="Y2" s="82">
        <f>SUM(N2:V2)</f>
        <v>10</v>
      </c>
      <c r="Z2" s="82"/>
      <c r="AA2" s="60">
        <v>215</v>
      </c>
      <c r="AB2" s="60">
        <v>82</v>
      </c>
      <c r="AC2" s="60">
        <v>6497</v>
      </c>
      <c r="AD2" s="60">
        <v>8498</v>
      </c>
      <c r="AE2" s="60">
        <f t="shared" ref="AE2:AE31" si="0">AD2-AC2</f>
        <v>2001</v>
      </c>
      <c r="AF2" s="60">
        <v>283</v>
      </c>
      <c r="AG2" s="60">
        <v>426</v>
      </c>
      <c r="AH2" s="60">
        <f t="shared" ref="AH2:AH39" si="1">AG2-AF2</f>
        <v>143</v>
      </c>
      <c r="AI2" s="60"/>
      <c r="AJ2" s="60"/>
      <c r="AK2" s="82" t="s">
        <v>250</v>
      </c>
      <c r="AL2" s="96">
        <f t="shared" ref="AL2:AL39" si="2">AJ2-AI2</f>
        <v>0</v>
      </c>
      <c r="AM2" s="96"/>
      <c r="AN2" s="85">
        <v>65</v>
      </c>
    </row>
    <row r="3" spans="1:40" s="85" customFormat="1" x14ac:dyDescent="0.55000000000000004">
      <c r="A3" s="82" t="s">
        <v>310</v>
      </c>
      <c r="B3" s="82" t="s">
        <v>311</v>
      </c>
      <c r="C3" s="82" t="s">
        <v>315</v>
      </c>
      <c r="D3" s="82" t="s">
        <v>338</v>
      </c>
      <c r="E3" s="82"/>
      <c r="F3" s="82"/>
      <c r="G3" s="60" t="s">
        <v>273</v>
      </c>
      <c r="H3" s="110">
        <v>35920.800000000003</v>
      </c>
      <c r="I3" s="100">
        <v>44081</v>
      </c>
      <c r="J3" s="104" t="s">
        <v>255</v>
      </c>
      <c r="K3" s="82" t="s">
        <v>375</v>
      </c>
      <c r="L3" s="82" t="s">
        <v>534</v>
      </c>
      <c r="M3" s="82"/>
      <c r="N3" s="82">
        <v>10</v>
      </c>
      <c r="O3" s="82"/>
      <c r="P3" s="82"/>
      <c r="Q3" s="82"/>
      <c r="R3" s="82"/>
      <c r="S3" s="82"/>
      <c r="T3" s="82"/>
      <c r="U3" s="82"/>
      <c r="V3" s="82"/>
      <c r="W3" s="60">
        <f>58</f>
        <v>58</v>
      </c>
      <c r="X3" s="60"/>
      <c r="Y3" s="82">
        <f t="shared" ref="Y3:Y65" si="3">SUM(N3:V3)</f>
        <v>10</v>
      </c>
      <c r="Z3" s="82"/>
      <c r="AA3" s="60">
        <v>232</v>
      </c>
      <c r="AB3" s="60">
        <v>880</v>
      </c>
      <c r="AC3" s="60">
        <v>4600</v>
      </c>
      <c r="AD3" s="60">
        <v>6412</v>
      </c>
      <c r="AE3" s="60">
        <f t="shared" si="0"/>
        <v>1812</v>
      </c>
      <c r="AF3" s="60">
        <v>430</v>
      </c>
      <c r="AG3" s="60">
        <v>456</v>
      </c>
      <c r="AH3" s="60">
        <f t="shared" si="1"/>
        <v>26</v>
      </c>
      <c r="AI3" s="82">
        <v>600</v>
      </c>
      <c r="AJ3" s="82">
        <v>756</v>
      </c>
      <c r="AK3" s="82" t="s">
        <v>249</v>
      </c>
      <c r="AL3" s="96">
        <f t="shared" si="2"/>
        <v>156</v>
      </c>
      <c r="AM3" s="96"/>
      <c r="AN3" s="85">
        <v>65</v>
      </c>
    </row>
    <row r="4" spans="1:40" s="85" customFormat="1" x14ac:dyDescent="0.55000000000000004">
      <c r="A4" s="82" t="s">
        <v>310</v>
      </c>
      <c r="B4" s="82" t="s">
        <v>311</v>
      </c>
      <c r="C4" s="82" t="s">
        <v>316</v>
      </c>
      <c r="D4" s="82" t="s">
        <v>339</v>
      </c>
      <c r="E4" s="82"/>
      <c r="F4" s="82"/>
      <c r="G4" s="60" t="s">
        <v>274</v>
      </c>
      <c r="H4" s="110">
        <v>32169.426899999999</v>
      </c>
      <c r="I4" s="100">
        <v>44096</v>
      </c>
      <c r="J4" s="104" t="s">
        <v>255</v>
      </c>
      <c r="K4" s="82" t="s">
        <v>375</v>
      </c>
      <c r="L4" s="82" t="s">
        <v>534</v>
      </c>
      <c r="M4" s="82"/>
      <c r="N4" s="82">
        <v>10</v>
      </c>
      <c r="O4" s="82">
        <v>10</v>
      </c>
      <c r="P4" s="82"/>
      <c r="Q4" s="82">
        <v>5</v>
      </c>
      <c r="R4" s="82">
        <v>5</v>
      </c>
      <c r="S4" s="82"/>
      <c r="T4" s="82"/>
      <c r="U4" s="82"/>
      <c r="V4" s="82"/>
      <c r="W4" s="60">
        <v>80</v>
      </c>
      <c r="X4" s="60"/>
      <c r="Y4" s="82">
        <f t="shared" si="3"/>
        <v>30</v>
      </c>
      <c r="Z4" s="82"/>
      <c r="AA4" s="60">
        <v>242</v>
      </c>
      <c r="AB4" s="60">
        <v>765</v>
      </c>
      <c r="AC4" s="60">
        <v>3000</v>
      </c>
      <c r="AD4" s="60">
        <v>5800</v>
      </c>
      <c r="AE4" s="60">
        <f t="shared" si="0"/>
        <v>2800</v>
      </c>
      <c r="AF4" s="60">
        <v>300</v>
      </c>
      <c r="AG4" s="60">
        <v>470</v>
      </c>
      <c r="AH4" s="60">
        <f t="shared" si="1"/>
        <v>170</v>
      </c>
      <c r="AI4" s="82">
        <v>520</v>
      </c>
      <c r="AJ4" s="82">
        <v>710</v>
      </c>
      <c r="AK4" s="82" t="s">
        <v>249</v>
      </c>
      <c r="AL4" s="96">
        <f t="shared" si="2"/>
        <v>190</v>
      </c>
      <c r="AM4" s="96"/>
      <c r="AN4" s="85">
        <v>65</v>
      </c>
    </row>
    <row r="5" spans="1:40" s="85" customFormat="1" x14ac:dyDescent="0.55000000000000004">
      <c r="A5" s="82" t="s">
        <v>310</v>
      </c>
      <c r="B5" s="82" t="s">
        <v>311</v>
      </c>
      <c r="C5" s="82" t="s">
        <v>315</v>
      </c>
      <c r="D5" s="82" t="s">
        <v>340</v>
      </c>
      <c r="E5" s="82"/>
      <c r="F5" s="82"/>
      <c r="G5" s="60" t="s">
        <v>275</v>
      </c>
      <c r="H5" s="110">
        <v>14831.8</v>
      </c>
      <c r="I5" s="100">
        <v>44134</v>
      </c>
      <c r="J5" s="104" t="s">
        <v>255</v>
      </c>
      <c r="K5" s="82" t="s">
        <v>375</v>
      </c>
      <c r="L5" s="82" t="s">
        <v>534</v>
      </c>
      <c r="M5" s="82"/>
      <c r="N5" s="82">
        <v>10</v>
      </c>
      <c r="O5" s="82"/>
      <c r="P5" s="82"/>
      <c r="Q5" s="82"/>
      <c r="R5" s="82"/>
      <c r="S5" s="82"/>
      <c r="T5" s="82"/>
      <c r="U5" s="82"/>
      <c r="V5" s="82"/>
      <c r="W5" s="60">
        <v>74</v>
      </c>
      <c r="X5" s="60"/>
      <c r="Y5" s="82">
        <f t="shared" si="3"/>
        <v>10</v>
      </c>
      <c r="Z5" s="82"/>
      <c r="AA5" s="60">
        <v>303</v>
      </c>
      <c r="AB5" s="60">
        <v>906</v>
      </c>
      <c r="AC5" s="60">
        <v>0</v>
      </c>
      <c r="AD5" s="60">
        <v>0</v>
      </c>
      <c r="AE5" s="60">
        <f t="shared" si="0"/>
        <v>0</v>
      </c>
      <c r="AF5" s="60">
        <v>0</v>
      </c>
      <c r="AG5" s="60">
        <v>0</v>
      </c>
      <c r="AH5" s="60">
        <f t="shared" si="1"/>
        <v>0</v>
      </c>
      <c r="AI5" s="60"/>
      <c r="AJ5" s="60"/>
      <c r="AK5" s="82" t="s">
        <v>250</v>
      </c>
      <c r="AL5" s="96">
        <f t="shared" si="2"/>
        <v>0</v>
      </c>
      <c r="AM5" s="96"/>
      <c r="AN5" s="85">
        <v>65</v>
      </c>
    </row>
    <row r="6" spans="1:40" s="85" customFormat="1" x14ac:dyDescent="0.55000000000000004">
      <c r="A6" s="82" t="s">
        <v>310</v>
      </c>
      <c r="B6" s="82" t="s">
        <v>311</v>
      </c>
      <c r="C6" s="82" t="s">
        <v>317</v>
      </c>
      <c r="D6" s="82" t="s">
        <v>341</v>
      </c>
      <c r="E6" s="82"/>
      <c r="F6" s="82"/>
      <c r="G6" s="60" t="s">
        <v>276</v>
      </c>
      <c r="H6" s="110">
        <v>34867.739600000001</v>
      </c>
      <c r="I6" s="100">
        <v>44153</v>
      </c>
      <c r="J6" s="104" t="s">
        <v>255</v>
      </c>
      <c r="K6" s="82" t="s">
        <v>375</v>
      </c>
      <c r="L6" s="82" t="s">
        <v>534</v>
      </c>
      <c r="M6" s="82"/>
      <c r="N6" s="82">
        <v>20</v>
      </c>
      <c r="O6" s="82">
        <v>3</v>
      </c>
      <c r="P6" s="82"/>
      <c r="Q6" s="82">
        <v>1.5</v>
      </c>
      <c r="R6" s="82">
        <v>1.5</v>
      </c>
      <c r="S6" s="82"/>
      <c r="T6" s="82"/>
      <c r="U6" s="82"/>
      <c r="V6" s="82"/>
      <c r="W6" s="60">
        <v>68</v>
      </c>
      <c r="X6" s="60"/>
      <c r="Y6" s="82">
        <f t="shared" si="3"/>
        <v>26</v>
      </c>
      <c r="Z6" s="82"/>
      <c r="AA6" s="60">
        <v>133</v>
      </c>
      <c r="AB6" s="60">
        <v>1005</v>
      </c>
      <c r="AC6" s="60">
        <v>2800</v>
      </c>
      <c r="AD6" s="60">
        <v>4600</v>
      </c>
      <c r="AE6" s="60">
        <f t="shared" si="0"/>
        <v>1800</v>
      </c>
      <c r="AF6" s="60">
        <v>400</v>
      </c>
      <c r="AG6" s="60">
        <v>432</v>
      </c>
      <c r="AH6" s="60">
        <f t="shared" si="1"/>
        <v>32</v>
      </c>
      <c r="AI6" s="82">
        <v>610</v>
      </c>
      <c r="AJ6" s="82">
        <v>650</v>
      </c>
      <c r="AK6" s="82" t="s">
        <v>249</v>
      </c>
      <c r="AL6" s="96">
        <f t="shared" si="2"/>
        <v>40</v>
      </c>
      <c r="AM6" s="96"/>
      <c r="AN6" s="85">
        <v>65</v>
      </c>
    </row>
    <row r="7" spans="1:40" s="85" customFormat="1" x14ac:dyDescent="0.55000000000000004">
      <c r="A7" s="82" t="s">
        <v>310</v>
      </c>
      <c r="B7" s="82" t="s">
        <v>311</v>
      </c>
      <c r="C7" s="82" t="s">
        <v>315</v>
      </c>
      <c r="D7" s="82" t="s">
        <v>342</v>
      </c>
      <c r="E7" s="82"/>
      <c r="F7" s="82"/>
      <c r="G7" s="60" t="s">
        <v>277</v>
      </c>
      <c r="H7" s="110">
        <v>14831.8</v>
      </c>
      <c r="I7" s="100">
        <v>44169</v>
      </c>
      <c r="J7" s="104" t="s">
        <v>255</v>
      </c>
      <c r="K7" s="82" t="s">
        <v>375</v>
      </c>
      <c r="L7" s="82" t="s">
        <v>534</v>
      </c>
      <c r="M7" s="82"/>
      <c r="N7" s="82">
        <v>10</v>
      </c>
      <c r="O7" s="82"/>
      <c r="P7" s="82"/>
      <c r="Q7" s="82"/>
      <c r="R7" s="82"/>
      <c r="S7" s="82"/>
      <c r="T7" s="82"/>
      <c r="U7" s="82"/>
      <c r="V7" s="82"/>
      <c r="W7" s="60">
        <v>75</v>
      </c>
      <c r="X7" s="60"/>
      <c r="Y7" s="82">
        <f t="shared" si="3"/>
        <v>10</v>
      </c>
      <c r="Z7" s="82"/>
      <c r="AA7" s="60">
        <v>105</v>
      </c>
      <c r="AB7" s="60">
        <v>1200</v>
      </c>
      <c r="AC7" s="60">
        <v>5353</v>
      </c>
      <c r="AD7" s="60">
        <v>5800</v>
      </c>
      <c r="AE7" s="60">
        <f t="shared" si="0"/>
        <v>447</v>
      </c>
      <c r="AF7" s="60">
        <v>376</v>
      </c>
      <c r="AG7" s="60">
        <v>322</v>
      </c>
      <c r="AH7" s="60">
        <f t="shared" si="1"/>
        <v>-54</v>
      </c>
      <c r="AI7" s="82">
        <v>630</v>
      </c>
      <c r="AJ7" s="82">
        <v>640</v>
      </c>
      <c r="AK7" s="82" t="s">
        <v>249</v>
      </c>
      <c r="AL7" s="96">
        <f t="shared" si="2"/>
        <v>10</v>
      </c>
      <c r="AM7" s="96"/>
      <c r="AN7" s="85">
        <v>65</v>
      </c>
    </row>
    <row r="8" spans="1:40" s="85" customFormat="1" x14ac:dyDescent="0.55000000000000004">
      <c r="A8" s="82" t="s">
        <v>310</v>
      </c>
      <c r="B8" s="82" t="s">
        <v>312</v>
      </c>
      <c r="C8" s="82" t="s">
        <v>318</v>
      </c>
      <c r="D8" s="82" t="s">
        <v>343</v>
      </c>
      <c r="E8" s="82"/>
      <c r="F8" s="82"/>
      <c r="G8" s="60" t="s">
        <v>278</v>
      </c>
      <c r="H8" s="110">
        <v>17945.900000000001</v>
      </c>
      <c r="I8" s="100">
        <v>44175</v>
      </c>
      <c r="J8" s="104" t="s">
        <v>255</v>
      </c>
      <c r="K8" s="82" t="s">
        <v>375</v>
      </c>
      <c r="L8" s="82" t="s">
        <v>534</v>
      </c>
      <c r="M8" s="82"/>
      <c r="N8" s="82">
        <v>15</v>
      </c>
      <c r="O8" s="82"/>
      <c r="P8" s="82"/>
      <c r="Q8" s="82"/>
      <c r="R8" s="82"/>
      <c r="S8" s="82"/>
      <c r="T8" s="82"/>
      <c r="U8" s="82"/>
      <c r="V8" s="82"/>
      <c r="W8" s="60">
        <v>65</v>
      </c>
      <c r="X8" s="60"/>
      <c r="Y8" s="82">
        <f t="shared" si="3"/>
        <v>15</v>
      </c>
      <c r="Z8" s="82"/>
      <c r="AA8" s="60">
        <v>120</v>
      </c>
      <c r="AB8" s="60">
        <v>1257</v>
      </c>
      <c r="AC8" s="60">
        <v>3742</v>
      </c>
      <c r="AD8" s="60">
        <v>4127</v>
      </c>
      <c r="AE8" s="60">
        <f t="shared" si="0"/>
        <v>385</v>
      </c>
      <c r="AF8" s="60">
        <v>313</v>
      </c>
      <c r="AG8" s="60">
        <v>315</v>
      </c>
      <c r="AH8" s="60">
        <f t="shared" si="1"/>
        <v>2</v>
      </c>
      <c r="AI8" s="82">
        <v>530</v>
      </c>
      <c r="AJ8" s="82">
        <v>635</v>
      </c>
      <c r="AK8" s="82" t="s">
        <v>249</v>
      </c>
      <c r="AL8" s="96">
        <f t="shared" si="2"/>
        <v>105</v>
      </c>
      <c r="AM8" s="96"/>
      <c r="AN8" s="85">
        <v>65</v>
      </c>
    </row>
    <row r="9" spans="1:40" s="85" customFormat="1" x14ac:dyDescent="0.55000000000000004">
      <c r="A9" s="82" t="s">
        <v>310</v>
      </c>
      <c r="B9" s="82" t="s">
        <v>313</v>
      </c>
      <c r="C9" s="82" t="s">
        <v>319</v>
      </c>
      <c r="D9" s="82" t="s">
        <v>344</v>
      </c>
      <c r="E9" s="82"/>
      <c r="F9" s="82"/>
      <c r="G9" s="60" t="s">
        <v>279</v>
      </c>
      <c r="H9" s="110">
        <v>100387.9</v>
      </c>
      <c r="I9" s="100">
        <v>44178</v>
      </c>
      <c r="J9" s="104" t="s">
        <v>255</v>
      </c>
      <c r="K9" s="82" t="s">
        <v>376</v>
      </c>
      <c r="L9" s="82" t="s">
        <v>534</v>
      </c>
      <c r="M9" s="82"/>
      <c r="N9" s="82">
        <v>10</v>
      </c>
      <c r="O9" s="82">
        <v>73</v>
      </c>
      <c r="P9" s="82"/>
      <c r="Q9" s="82"/>
      <c r="R9" s="82"/>
      <c r="S9" s="82"/>
      <c r="T9" s="82">
        <v>7</v>
      </c>
      <c r="U9" s="82"/>
      <c r="V9" s="82"/>
      <c r="W9" s="60"/>
      <c r="X9" s="60">
        <v>21750</v>
      </c>
      <c r="Y9" s="82">
        <f t="shared" si="3"/>
        <v>90</v>
      </c>
      <c r="Z9" s="82"/>
      <c r="AA9" s="60">
        <v>140</v>
      </c>
      <c r="AB9" s="60">
        <v>791</v>
      </c>
      <c r="AC9" s="60">
        <v>3497</v>
      </c>
      <c r="AD9" s="60">
        <v>6975</v>
      </c>
      <c r="AE9" s="60">
        <f t="shared" si="0"/>
        <v>3478</v>
      </c>
      <c r="AF9" s="60">
        <v>206</v>
      </c>
      <c r="AG9" s="60">
        <v>260</v>
      </c>
      <c r="AH9" s="60">
        <f t="shared" si="1"/>
        <v>54</v>
      </c>
      <c r="AI9" s="60"/>
      <c r="AJ9" s="60"/>
      <c r="AK9" s="82" t="s">
        <v>250</v>
      </c>
      <c r="AL9" s="96">
        <f t="shared" si="2"/>
        <v>0</v>
      </c>
      <c r="AM9" s="96"/>
      <c r="AN9" s="85">
        <v>65</v>
      </c>
    </row>
    <row r="10" spans="1:40" s="85" customFormat="1" x14ac:dyDescent="0.55000000000000004">
      <c r="A10" s="82" t="s">
        <v>310</v>
      </c>
      <c r="B10" s="82" t="s">
        <v>311</v>
      </c>
      <c r="C10" s="82" t="s">
        <v>315</v>
      </c>
      <c r="D10" s="82" t="s">
        <v>345</v>
      </c>
      <c r="E10" s="82"/>
      <c r="F10" s="82"/>
      <c r="G10" s="60" t="s">
        <v>280</v>
      </c>
      <c r="H10" s="110">
        <v>14831.8</v>
      </c>
      <c r="I10" s="100">
        <v>44179</v>
      </c>
      <c r="J10" s="104" t="s">
        <v>255</v>
      </c>
      <c r="K10" s="82" t="s">
        <v>375</v>
      </c>
      <c r="L10" s="82" t="s">
        <v>534</v>
      </c>
      <c r="M10" s="82"/>
      <c r="N10" s="82">
        <v>5</v>
      </c>
      <c r="O10" s="82"/>
      <c r="P10" s="82"/>
      <c r="Q10" s="82"/>
      <c r="R10" s="82"/>
      <c r="S10" s="82"/>
      <c r="T10" s="82"/>
      <c r="U10" s="82"/>
      <c r="V10" s="82"/>
      <c r="W10" s="60">
        <v>70</v>
      </c>
      <c r="X10" s="60"/>
      <c r="Y10" s="82">
        <f t="shared" si="3"/>
        <v>5</v>
      </c>
      <c r="Z10" s="82"/>
      <c r="AA10" s="60">
        <v>105</v>
      </c>
      <c r="AB10" s="60">
        <v>1029</v>
      </c>
      <c r="AC10" s="60">
        <v>4800</v>
      </c>
      <c r="AD10" s="60">
        <v>4902</v>
      </c>
      <c r="AE10" s="60">
        <f t="shared" si="0"/>
        <v>102</v>
      </c>
      <c r="AF10" s="60">
        <v>320</v>
      </c>
      <c r="AG10" s="60">
        <v>392</v>
      </c>
      <c r="AH10" s="60">
        <f t="shared" si="1"/>
        <v>72</v>
      </c>
      <c r="AI10" s="82">
        <v>414</v>
      </c>
      <c r="AJ10" s="82">
        <v>488</v>
      </c>
      <c r="AK10" s="82" t="s">
        <v>249</v>
      </c>
      <c r="AL10" s="96">
        <f t="shared" si="2"/>
        <v>74</v>
      </c>
      <c r="AM10" s="96"/>
      <c r="AN10" s="85">
        <v>65</v>
      </c>
    </row>
    <row r="11" spans="1:40" s="85" customFormat="1" x14ac:dyDescent="0.55000000000000004">
      <c r="A11" s="82" t="s">
        <v>310</v>
      </c>
      <c r="B11" s="82" t="s">
        <v>313</v>
      </c>
      <c r="C11" s="82" t="s">
        <v>319</v>
      </c>
      <c r="D11" s="82" t="s">
        <v>346</v>
      </c>
      <c r="E11" s="82"/>
      <c r="F11" s="82"/>
      <c r="G11" s="60" t="s">
        <v>281</v>
      </c>
      <c r="H11" s="111">
        <v>97350.54</v>
      </c>
      <c r="I11" s="100">
        <v>44186</v>
      </c>
      <c r="J11" s="104" t="s">
        <v>255</v>
      </c>
      <c r="K11" s="82" t="s">
        <v>376</v>
      </c>
      <c r="L11" s="82" t="s">
        <v>534</v>
      </c>
      <c r="M11" s="82"/>
      <c r="N11" s="82">
        <v>19</v>
      </c>
      <c r="O11" s="82">
        <v>71</v>
      </c>
      <c r="P11" s="82"/>
      <c r="Q11" s="82"/>
      <c r="R11" s="82"/>
      <c r="S11" s="82"/>
      <c r="T11" s="82">
        <v>12</v>
      </c>
      <c r="U11" s="82"/>
      <c r="V11" s="82"/>
      <c r="W11" s="60"/>
      <c r="X11" s="60">
        <v>27022</v>
      </c>
      <c r="Y11" s="82">
        <f t="shared" si="3"/>
        <v>102</v>
      </c>
      <c r="Z11" s="82"/>
      <c r="AA11" s="60">
        <v>187.9</v>
      </c>
      <c r="AB11" s="60">
        <v>475</v>
      </c>
      <c r="AC11" s="60">
        <v>3900</v>
      </c>
      <c r="AD11" s="60">
        <v>5400</v>
      </c>
      <c r="AE11" s="60">
        <f t="shared" si="0"/>
        <v>1500</v>
      </c>
      <c r="AF11" s="60">
        <v>280</v>
      </c>
      <c r="AG11" s="60">
        <v>340</v>
      </c>
      <c r="AH11" s="60">
        <f t="shared" si="1"/>
        <v>60</v>
      </c>
      <c r="AI11" s="82">
        <v>408</v>
      </c>
      <c r="AJ11" s="82">
        <v>554</v>
      </c>
      <c r="AK11" s="82" t="s">
        <v>249</v>
      </c>
      <c r="AL11" s="96">
        <f t="shared" si="2"/>
        <v>146</v>
      </c>
      <c r="AM11" s="96"/>
      <c r="AN11" s="85">
        <v>65</v>
      </c>
    </row>
    <row r="12" spans="1:40" s="85" customFormat="1" x14ac:dyDescent="0.55000000000000004">
      <c r="A12" s="82" t="s">
        <v>310</v>
      </c>
      <c r="B12" s="82" t="s">
        <v>311</v>
      </c>
      <c r="C12" s="82" t="s">
        <v>315</v>
      </c>
      <c r="D12" s="82" t="s">
        <v>347</v>
      </c>
      <c r="E12" s="82"/>
      <c r="F12" s="82"/>
      <c r="G12" s="60" t="s">
        <v>282</v>
      </c>
      <c r="H12" s="110">
        <v>13776.97</v>
      </c>
      <c r="I12" s="100">
        <v>44217</v>
      </c>
      <c r="J12" s="104" t="s">
        <v>255</v>
      </c>
      <c r="K12" s="82" t="s">
        <v>377</v>
      </c>
      <c r="L12" s="82" t="s">
        <v>534</v>
      </c>
      <c r="M12" s="82"/>
      <c r="N12" s="82">
        <v>2.5</v>
      </c>
      <c r="O12" s="82">
        <v>8</v>
      </c>
      <c r="P12" s="82"/>
      <c r="Q12" s="82">
        <v>2.5</v>
      </c>
      <c r="R12" s="82">
        <v>2.5</v>
      </c>
      <c r="S12" s="82"/>
      <c r="T12" s="82"/>
      <c r="U12" s="82"/>
      <c r="V12" s="82"/>
      <c r="W12" s="60">
        <v>76</v>
      </c>
      <c r="X12" s="60"/>
      <c r="Y12" s="82">
        <f t="shared" si="3"/>
        <v>15.5</v>
      </c>
      <c r="Z12" s="82"/>
      <c r="AA12" s="60">
        <v>105</v>
      </c>
      <c r="AB12" s="60">
        <v>1264</v>
      </c>
      <c r="AC12" s="60">
        <v>2400</v>
      </c>
      <c r="AD12" s="60">
        <v>2905</v>
      </c>
      <c r="AE12" s="60">
        <f t="shared" si="0"/>
        <v>505</v>
      </c>
      <c r="AF12" s="60">
        <v>100</v>
      </c>
      <c r="AG12" s="60">
        <v>126</v>
      </c>
      <c r="AH12" s="60">
        <f t="shared" si="1"/>
        <v>26</v>
      </c>
      <c r="AI12" s="82">
        <v>283</v>
      </c>
      <c r="AJ12" s="82">
        <v>313</v>
      </c>
      <c r="AK12" s="82" t="s">
        <v>249</v>
      </c>
      <c r="AL12" s="96">
        <f t="shared" si="2"/>
        <v>30</v>
      </c>
      <c r="AM12" s="96"/>
      <c r="AN12" s="85">
        <v>65</v>
      </c>
    </row>
    <row r="13" spans="1:40" s="85" customFormat="1" x14ac:dyDescent="0.55000000000000004">
      <c r="A13" s="82" t="s">
        <v>310</v>
      </c>
      <c r="B13" s="82" t="s">
        <v>312</v>
      </c>
      <c r="C13" s="82" t="s">
        <v>320</v>
      </c>
      <c r="D13" s="82" t="s">
        <v>348</v>
      </c>
      <c r="E13" s="82"/>
      <c r="F13" s="82"/>
      <c r="G13" s="60" t="s">
        <v>283</v>
      </c>
      <c r="H13" s="110">
        <v>14831.8</v>
      </c>
      <c r="I13" s="100">
        <v>44217</v>
      </c>
      <c r="J13" s="104" t="s">
        <v>255</v>
      </c>
      <c r="K13" s="82" t="s">
        <v>377</v>
      </c>
      <c r="L13" s="82" t="s">
        <v>534</v>
      </c>
      <c r="M13" s="82"/>
      <c r="N13" s="82">
        <v>10</v>
      </c>
      <c r="O13" s="82"/>
      <c r="P13" s="82"/>
      <c r="Q13" s="82"/>
      <c r="R13" s="82"/>
      <c r="S13" s="82"/>
      <c r="T13" s="82"/>
      <c r="U13" s="82"/>
      <c r="V13" s="82"/>
      <c r="W13" s="60"/>
      <c r="X13" s="60">
        <v>25038</v>
      </c>
      <c r="Y13" s="82">
        <f t="shared" si="3"/>
        <v>10</v>
      </c>
      <c r="Z13" s="82"/>
      <c r="AA13" s="60">
        <v>165</v>
      </c>
      <c r="AB13" s="60">
        <v>935</v>
      </c>
      <c r="AC13" s="60">
        <v>5300</v>
      </c>
      <c r="AD13" s="60">
        <v>5400</v>
      </c>
      <c r="AE13" s="60">
        <f t="shared" si="0"/>
        <v>100</v>
      </c>
      <c r="AF13" s="60">
        <v>250</v>
      </c>
      <c r="AG13" s="60">
        <v>280</v>
      </c>
      <c r="AH13" s="60">
        <f t="shared" si="1"/>
        <v>30</v>
      </c>
      <c r="AI13" s="82">
        <v>443</v>
      </c>
      <c r="AJ13" s="82">
        <v>480</v>
      </c>
      <c r="AK13" s="82" t="s">
        <v>249</v>
      </c>
      <c r="AL13" s="96">
        <f t="shared" si="2"/>
        <v>37</v>
      </c>
      <c r="AM13" s="96"/>
      <c r="AN13" s="85">
        <v>65</v>
      </c>
    </row>
    <row r="14" spans="1:40" s="114" customFormat="1" x14ac:dyDescent="0.55000000000000004">
      <c r="A14" s="60" t="s">
        <v>310</v>
      </c>
      <c r="B14" s="60" t="s">
        <v>312</v>
      </c>
      <c r="C14" s="60" t="s">
        <v>321</v>
      </c>
      <c r="D14" s="60" t="s">
        <v>349</v>
      </c>
      <c r="E14" s="60"/>
      <c r="F14" s="60"/>
      <c r="G14" s="60" t="s">
        <v>284</v>
      </c>
      <c r="H14" s="112"/>
      <c r="I14" s="108">
        <v>44218</v>
      </c>
      <c r="J14" s="109" t="s">
        <v>255</v>
      </c>
      <c r="K14" s="60" t="s">
        <v>375</v>
      </c>
      <c r="L14" s="60" t="s">
        <v>534</v>
      </c>
      <c r="M14" s="60"/>
      <c r="N14" s="60">
        <v>37.5</v>
      </c>
      <c r="O14" s="60"/>
      <c r="P14" s="60"/>
      <c r="Q14" s="60"/>
      <c r="R14" s="60"/>
      <c r="S14" s="60"/>
      <c r="T14" s="60"/>
      <c r="U14" s="60"/>
      <c r="V14" s="60"/>
      <c r="W14" s="60"/>
      <c r="X14" s="60">
        <v>27569</v>
      </c>
      <c r="Y14" s="60">
        <f t="shared" si="3"/>
        <v>37.5</v>
      </c>
      <c r="Z14" s="60"/>
      <c r="AA14" s="60">
        <v>219</v>
      </c>
      <c r="AB14" s="60">
        <v>866</v>
      </c>
      <c r="AC14" s="60">
        <v>4430</v>
      </c>
      <c r="AD14" s="60">
        <v>4720</v>
      </c>
      <c r="AE14" s="60">
        <f t="shared" si="0"/>
        <v>290</v>
      </c>
      <c r="AF14" s="60">
        <v>342</v>
      </c>
      <c r="AG14" s="60">
        <v>270</v>
      </c>
      <c r="AH14" s="60">
        <f t="shared" si="1"/>
        <v>-72</v>
      </c>
      <c r="AI14" s="60">
        <v>523</v>
      </c>
      <c r="AJ14" s="60">
        <v>547</v>
      </c>
      <c r="AK14" s="60" t="s">
        <v>249</v>
      </c>
      <c r="AL14" s="113">
        <f t="shared" si="2"/>
        <v>24</v>
      </c>
      <c r="AM14" s="96"/>
      <c r="AN14" s="85">
        <v>65</v>
      </c>
    </row>
    <row r="15" spans="1:40" s="85" customFormat="1" x14ac:dyDescent="0.55000000000000004">
      <c r="A15" s="82" t="s">
        <v>310</v>
      </c>
      <c r="B15" s="82" t="s">
        <v>312</v>
      </c>
      <c r="C15" s="82" t="s">
        <v>318</v>
      </c>
      <c r="D15" s="82" t="s">
        <v>350</v>
      </c>
      <c r="E15" s="82"/>
      <c r="F15" s="82"/>
      <c r="G15" s="60" t="s">
        <v>285</v>
      </c>
      <c r="H15" s="110">
        <v>22247.7</v>
      </c>
      <c r="I15" s="100">
        <v>44218</v>
      </c>
      <c r="J15" s="104" t="s">
        <v>255</v>
      </c>
      <c r="K15" s="82" t="s">
        <v>375</v>
      </c>
      <c r="L15" s="82" t="s">
        <v>534</v>
      </c>
      <c r="M15" s="82"/>
      <c r="N15" s="82">
        <v>15</v>
      </c>
      <c r="O15" s="82"/>
      <c r="P15" s="82"/>
      <c r="Q15" s="82"/>
      <c r="R15" s="82"/>
      <c r="S15" s="82"/>
      <c r="T15" s="82"/>
      <c r="U15" s="82"/>
      <c r="V15" s="82"/>
      <c r="W15" s="106"/>
      <c r="X15" s="106">
        <v>23079.439999999999</v>
      </c>
      <c r="Y15" s="82">
        <f t="shared" si="3"/>
        <v>15</v>
      </c>
      <c r="Z15" s="82"/>
      <c r="AA15" s="60">
        <v>108</v>
      </c>
      <c r="AB15" s="60">
        <v>377</v>
      </c>
      <c r="AC15" s="60">
        <v>9057</v>
      </c>
      <c r="AD15" s="60">
        <v>11101</v>
      </c>
      <c r="AE15" s="60">
        <f t="shared" si="0"/>
        <v>2044</v>
      </c>
      <c r="AF15" s="60">
        <v>126</v>
      </c>
      <c r="AG15" s="60">
        <v>152</v>
      </c>
      <c r="AH15" s="60">
        <f t="shared" si="1"/>
        <v>26</v>
      </c>
      <c r="AI15" s="60"/>
      <c r="AJ15" s="60"/>
      <c r="AK15" s="82" t="s">
        <v>250</v>
      </c>
      <c r="AL15" s="96">
        <f t="shared" si="2"/>
        <v>0</v>
      </c>
      <c r="AM15" s="96"/>
      <c r="AN15" s="85">
        <v>65</v>
      </c>
    </row>
    <row r="16" spans="1:40" s="85" customFormat="1" x14ac:dyDescent="0.55000000000000004">
      <c r="A16" s="82" t="s">
        <v>310</v>
      </c>
      <c r="B16" s="82" t="s">
        <v>312</v>
      </c>
      <c r="C16" s="82" t="s">
        <v>322</v>
      </c>
      <c r="D16" s="82" t="s">
        <v>351</v>
      </c>
      <c r="E16" s="82"/>
      <c r="F16" s="82"/>
      <c r="G16" s="60" t="s">
        <v>286</v>
      </c>
      <c r="H16" s="110">
        <v>32503.24</v>
      </c>
      <c r="I16" s="100">
        <v>44218</v>
      </c>
      <c r="J16" s="104" t="s">
        <v>255</v>
      </c>
      <c r="K16" s="82" t="s">
        <v>375</v>
      </c>
      <c r="L16" s="82" t="s">
        <v>534</v>
      </c>
      <c r="M16" s="82"/>
      <c r="N16" s="82">
        <v>20</v>
      </c>
      <c r="O16" s="82"/>
      <c r="P16" s="82"/>
      <c r="Q16" s="82"/>
      <c r="R16" s="82"/>
      <c r="S16" s="82"/>
      <c r="T16" s="82"/>
      <c r="U16" s="82"/>
      <c r="V16" s="82"/>
      <c r="W16" s="60"/>
      <c r="X16" s="60">
        <v>25727</v>
      </c>
      <c r="Y16" s="82">
        <f t="shared" si="3"/>
        <v>20</v>
      </c>
      <c r="Z16" s="82"/>
      <c r="AA16" s="60">
        <v>110</v>
      </c>
      <c r="AB16" s="60">
        <v>454</v>
      </c>
      <c r="AC16" s="60">
        <v>403</v>
      </c>
      <c r="AD16" s="60">
        <v>3610</v>
      </c>
      <c r="AE16" s="60">
        <f t="shared" si="0"/>
        <v>3207</v>
      </c>
      <c r="AF16" s="60">
        <v>200</v>
      </c>
      <c r="AG16" s="60">
        <v>243</v>
      </c>
      <c r="AH16" s="60">
        <f t="shared" si="1"/>
        <v>43</v>
      </c>
      <c r="AI16" s="60"/>
      <c r="AJ16" s="60"/>
      <c r="AK16" s="82" t="s">
        <v>250</v>
      </c>
      <c r="AL16" s="96">
        <f t="shared" si="2"/>
        <v>0</v>
      </c>
      <c r="AM16" s="96"/>
      <c r="AN16" s="85">
        <v>65</v>
      </c>
    </row>
    <row r="17" spans="1:40" s="114" customFormat="1" x14ac:dyDescent="0.55000000000000004">
      <c r="A17" s="60" t="s">
        <v>310</v>
      </c>
      <c r="B17" s="60" t="s">
        <v>314</v>
      </c>
      <c r="C17" s="60" t="s">
        <v>323</v>
      </c>
      <c r="D17" s="60" t="s">
        <v>352</v>
      </c>
      <c r="E17" s="60"/>
      <c r="F17" s="60"/>
      <c r="G17" s="60" t="s">
        <v>287</v>
      </c>
      <c r="H17" s="112"/>
      <c r="I17" s="108">
        <v>44218</v>
      </c>
      <c r="J17" s="109" t="s">
        <v>255</v>
      </c>
      <c r="K17" s="60" t="s">
        <v>375</v>
      </c>
      <c r="L17" s="60" t="s">
        <v>534</v>
      </c>
      <c r="M17" s="60"/>
      <c r="N17" s="60">
        <v>7</v>
      </c>
      <c r="O17" s="60">
        <v>2.5</v>
      </c>
      <c r="P17" s="60"/>
      <c r="Q17" s="60">
        <v>1.5</v>
      </c>
      <c r="R17" s="60">
        <v>1.5</v>
      </c>
      <c r="S17" s="60"/>
      <c r="T17" s="60"/>
      <c r="U17" s="60"/>
      <c r="V17" s="60"/>
      <c r="W17" s="60"/>
      <c r="X17" s="60">
        <v>19013</v>
      </c>
      <c r="Y17" s="60">
        <f t="shared" si="3"/>
        <v>12.5</v>
      </c>
      <c r="Z17" s="60"/>
      <c r="AA17" s="60">
        <v>143</v>
      </c>
      <c r="AB17" s="60">
        <v>154</v>
      </c>
      <c r="AC17" s="60">
        <v>4400</v>
      </c>
      <c r="AD17" s="60">
        <v>4800</v>
      </c>
      <c r="AE17" s="60">
        <f t="shared" si="0"/>
        <v>400</v>
      </c>
      <c r="AF17" s="60">
        <v>300</v>
      </c>
      <c r="AG17" s="60">
        <v>307</v>
      </c>
      <c r="AH17" s="60">
        <f t="shared" si="1"/>
        <v>7</v>
      </c>
      <c r="AI17" s="60">
        <v>468</v>
      </c>
      <c r="AJ17" s="60">
        <v>489</v>
      </c>
      <c r="AK17" s="60" t="s">
        <v>249</v>
      </c>
      <c r="AL17" s="113">
        <f t="shared" si="2"/>
        <v>21</v>
      </c>
      <c r="AM17" s="96"/>
      <c r="AN17" s="85">
        <v>65</v>
      </c>
    </row>
    <row r="18" spans="1:40" s="114" customFormat="1" x14ac:dyDescent="0.55000000000000004">
      <c r="A18" s="60" t="s">
        <v>310</v>
      </c>
      <c r="B18" s="60" t="s">
        <v>313</v>
      </c>
      <c r="C18" s="60" t="s">
        <v>324</v>
      </c>
      <c r="D18" s="60" t="s">
        <v>353</v>
      </c>
      <c r="E18" s="60"/>
      <c r="F18" s="60"/>
      <c r="G18" s="60" t="s">
        <v>288</v>
      </c>
      <c r="H18" s="112"/>
      <c r="I18" s="108">
        <v>44219</v>
      </c>
      <c r="J18" s="109" t="s">
        <v>255</v>
      </c>
      <c r="K18" s="60" t="s">
        <v>375</v>
      </c>
      <c r="L18" s="60" t="s">
        <v>534</v>
      </c>
      <c r="M18" s="60"/>
      <c r="N18" s="60">
        <v>10</v>
      </c>
      <c r="O18" s="60">
        <v>4</v>
      </c>
      <c r="P18" s="60"/>
      <c r="Q18" s="60">
        <v>2</v>
      </c>
      <c r="R18" s="60">
        <v>2</v>
      </c>
      <c r="S18" s="60"/>
      <c r="T18" s="60"/>
      <c r="U18" s="60"/>
      <c r="V18" s="60"/>
      <c r="W18" s="60"/>
      <c r="X18" s="60">
        <v>22000</v>
      </c>
      <c r="Y18" s="60">
        <f t="shared" si="3"/>
        <v>18</v>
      </c>
      <c r="Z18" s="60"/>
      <c r="AA18" s="60">
        <v>0</v>
      </c>
      <c r="AB18" s="60">
        <v>406</v>
      </c>
      <c r="AC18" s="60">
        <v>3600</v>
      </c>
      <c r="AD18" s="60">
        <v>3800</v>
      </c>
      <c r="AE18" s="60">
        <f t="shared" si="0"/>
        <v>200</v>
      </c>
      <c r="AF18" s="60">
        <v>245</v>
      </c>
      <c r="AG18" s="60">
        <v>287</v>
      </c>
      <c r="AH18" s="60">
        <f t="shared" si="1"/>
        <v>42</v>
      </c>
      <c r="AI18" s="60">
        <v>430</v>
      </c>
      <c r="AJ18" s="60">
        <v>440</v>
      </c>
      <c r="AK18" s="60" t="s">
        <v>249</v>
      </c>
      <c r="AL18" s="113">
        <f t="shared" si="2"/>
        <v>10</v>
      </c>
      <c r="AM18" s="96"/>
      <c r="AN18" s="85">
        <v>65</v>
      </c>
    </row>
    <row r="19" spans="1:40" s="85" customFormat="1" x14ac:dyDescent="0.55000000000000004">
      <c r="A19" s="82" t="s">
        <v>310</v>
      </c>
      <c r="B19" s="82" t="s">
        <v>312</v>
      </c>
      <c r="C19" s="82" t="s">
        <v>325</v>
      </c>
      <c r="D19" s="82" t="s">
        <v>354</v>
      </c>
      <c r="E19" s="82"/>
      <c r="F19" s="82"/>
      <c r="G19" s="60" t="s">
        <v>289</v>
      </c>
      <c r="H19" s="110">
        <v>8103</v>
      </c>
      <c r="I19" s="100">
        <v>44222</v>
      </c>
      <c r="J19" s="104" t="s">
        <v>255</v>
      </c>
      <c r="K19" s="82" t="s">
        <v>375</v>
      </c>
      <c r="L19" s="82" t="s">
        <v>534</v>
      </c>
      <c r="M19" s="82"/>
      <c r="N19" s="82"/>
      <c r="O19" s="82"/>
      <c r="P19" s="82"/>
      <c r="Q19" s="82"/>
      <c r="R19" s="82"/>
      <c r="S19" s="82">
        <v>20</v>
      </c>
      <c r="T19" s="82"/>
      <c r="U19" s="82"/>
      <c r="V19" s="82"/>
      <c r="W19" s="60"/>
      <c r="X19" s="60">
        <v>21500</v>
      </c>
      <c r="Y19" s="82">
        <f t="shared" si="3"/>
        <v>20</v>
      </c>
      <c r="Z19" s="82"/>
      <c r="AA19" s="60">
        <v>132</v>
      </c>
      <c r="AB19" s="60">
        <v>360</v>
      </c>
      <c r="AC19" s="60">
        <v>2500</v>
      </c>
      <c r="AD19" s="60">
        <v>3550</v>
      </c>
      <c r="AE19" s="60">
        <f t="shared" si="0"/>
        <v>1050</v>
      </c>
      <c r="AF19" s="60">
        <v>123</v>
      </c>
      <c r="AG19" s="60">
        <v>155</v>
      </c>
      <c r="AH19" s="60">
        <f t="shared" si="1"/>
        <v>32</v>
      </c>
      <c r="AI19" s="82">
        <v>246</v>
      </c>
      <c r="AJ19" s="82">
        <v>340</v>
      </c>
      <c r="AK19" s="82" t="s">
        <v>249</v>
      </c>
      <c r="AL19" s="96">
        <f t="shared" si="2"/>
        <v>94</v>
      </c>
      <c r="AM19" s="96"/>
      <c r="AN19" s="85">
        <v>65</v>
      </c>
    </row>
    <row r="20" spans="1:40" s="85" customFormat="1" x14ac:dyDescent="0.55000000000000004">
      <c r="A20" s="82" t="s">
        <v>310</v>
      </c>
      <c r="B20" s="82" t="s">
        <v>312</v>
      </c>
      <c r="C20" s="82" t="s">
        <v>326</v>
      </c>
      <c r="D20" s="82" t="s">
        <v>355</v>
      </c>
      <c r="E20" s="82"/>
      <c r="F20" s="82"/>
      <c r="G20" s="60" t="s">
        <v>290</v>
      </c>
      <c r="H20" s="110">
        <v>23284.29</v>
      </c>
      <c r="I20" s="100">
        <v>44223</v>
      </c>
      <c r="J20" s="104" t="s">
        <v>255</v>
      </c>
      <c r="K20" s="82" t="s">
        <v>377</v>
      </c>
      <c r="L20" s="82" t="s">
        <v>534</v>
      </c>
      <c r="M20" s="82"/>
      <c r="N20" s="82">
        <v>10</v>
      </c>
      <c r="O20" s="82">
        <v>3</v>
      </c>
      <c r="P20" s="82"/>
      <c r="Q20" s="82"/>
      <c r="R20" s="82">
        <v>1.5</v>
      </c>
      <c r="S20" s="82"/>
      <c r="T20" s="82"/>
      <c r="U20" s="82"/>
      <c r="V20" s="82"/>
      <c r="W20" s="60"/>
      <c r="X20" s="60">
        <v>22750</v>
      </c>
      <c r="Y20" s="82">
        <f t="shared" si="3"/>
        <v>14.5</v>
      </c>
      <c r="Z20" s="82"/>
      <c r="AA20" s="60">
        <v>199</v>
      </c>
      <c r="AB20" s="60">
        <v>542</v>
      </c>
      <c r="AC20" s="60">
        <v>4000</v>
      </c>
      <c r="AD20" s="60">
        <v>4200</v>
      </c>
      <c r="AE20" s="60">
        <f t="shared" si="0"/>
        <v>200</v>
      </c>
      <c r="AF20" s="60">
        <v>210</v>
      </c>
      <c r="AG20" s="60">
        <v>245</v>
      </c>
      <c r="AH20" s="60">
        <f t="shared" si="1"/>
        <v>35</v>
      </c>
      <c r="AI20" s="82">
        <v>356</v>
      </c>
      <c r="AJ20" s="82">
        <v>420</v>
      </c>
      <c r="AK20" s="82" t="s">
        <v>249</v>
      </c>
      <c r="AL20" s="96">
        <f t="shared" si="2"/>
        <v>64</v>
      </c>
      <c r="AM20" s="96"/>
      <c r="AN20" s="85">
        <v>65</v>
      </c>
    </row>
    <row r="21" spans="1:40" s="85" customFormat="1" x14ac:dyDescent="0.55000000000000004">
      <c r="A21" s="82" t="s">
        <v>310</v>
      </c>
      <c r="B21" s="82" t="s">
        <v>312</v>
      </c>
      <c r="C21" s="82" t="s">
        <v>327</v>
      </c>
      <c r="D21" s="82" t="s">
        <v>356</v>
      </c>
      <c r="E21" s="82"/>
      <c r="F21" s="82"/>
      <c r="G21" s="60" t="s">
        <v>291</v>
      </c>
      <c r="H21" s="110">
        <v>49699.54</v>
      </c>
      <c r="I21" s="100">
        <v>44224</v>
      </c>
      <c r="J21" s="104" t="s">
        <v>255</v>
      </c>
      <c r="K21" s="82" t="s">
        <v>375</v>
      </c>
      <c r="L21" s="82" t="s">
        <v>534</v>
      </c>
      <c r="M21" s="82"/>
      <c r="N21" s="82">
        <v>30</v>
      </c>
      <c r="O21" s="82">
        <v>3</v>
      </c>
      <c r="P21" s="82"/>
      <c r="Q21" s="82">
        <v>1.5</v>
      </c>
      <c r="R21" s="82">
        <v>1.5</v>
      </c>
      <c r="S21" s="82"/>
      <c r="T21" s="82"/>
      <c r="U21" s="82"/>
      <c r="V21" s="82"/>
      <c r="W21" s="60"/>
      <c r="X21" s="60">
        <v>22800</v>
      </c>
      <c r="Y21" s="82">
        <f t="shared" si="3"/>
        <v>36</v>
      </c>
      <c r="Z21" s="82"/>
      <c r="AA21" s="60">
        <v>134</v>
      </c>
      <c r="AB21" s="60">
        <v>874</v>
      </c>
      <c r="AC21" s="60">
        <v>3300</v>
      </c>
      <c r="AD21" s="60">
        <v>4300</v>
      </c>
      <c r="AE21" s="60">
        <f t="shared" si="0"/>
        <v>1000</v>
      </c>
      <c r="AF21" s="60">
        <v>187</v>
      </c>
      <c r="AG21" s="60">
        <v>290</v>
      </c>
      <c r="AH21" s="60">
        <f t="shared" si="1"/>
        <v>103</v>
      </c>
      <c r="AI21" s="82">
        <v>300</v>
      </c>
      <c r="AJ21" s="82">
        <v>410</v>
      </c>
      <c r="AK21" s="82" t="s">
        <v>249</v>
      </c>
      <c r="AL21" s="96">
        <f t="shared" si="2"/>
        <v>110</v>
      </c>
      <c r="AM21" s="96"/>
      <c r="AN21" s="85">
        <v>65</v>
      </c>
    </row>
    <row r="22" spans="1:40" s="85" customFormat="1" x14ac:dyDescent="0.55000000000000004">
      <c r="A22" s="82" t="s">
        <v>310</v>
      </c>
      <c r="B22" s="82" t="s">
        <v>312</v>
      </c>
      <c r="C22" s="82" t="s">
        <v>328</v>
      </c>
      <c r="D22" s="82" t="s">
        <v>357</v>
      </c>
      <c r="E22" s="82"/>
      <c r="F22" s="82"/>
      <c r="G22" s="60" t="s">
        <v>292</v>
      </c>
      <c r="H22" s="110">
        <v>14831.8</v>
      </c>
      <c r="I22" s="100">
        <v>44226</v>
      </c>
      <c r="J22" s="104" t="s">
        <v>255</v>
      </c>
      <c r="K22" s="82" t="s">
        <v>377</v>
      </c>
      <c r="L22" s="82" t="s">
        <v>534</v>
      </c>
      <c r="M22" s="82"/>
      <c r="N22" s="82">
        <v>10</v>
      </c>
      <c r="O22" s="82"/>
      <c r="P22" s="82"/>
      <c r="Q22" s="82"/>
      <c r="R22" s="82"/>
      <c r="S22" s="82"/>
      <c r="T22" s="82"/>
      <c r="U22" s="82"/>
      <c r="V22" s="82"/>
      <c r="W22" s="60"/>
      <c r="X22" s="60">
        <v>16000</v>
      </c>
      <c r="Y22" s="82">
        <f t="shared" si="3"/>
        <v>10</v>
      </c>
      <c r="Z22" s="82"/>
      <c r="AA22" s="60">
        <v>169</v>
      </c>
      <c r="AB22" s="60">
        <v>295.78999999999996</v>
      </c>
      <c r="AC22" s="60">
        <v>3200</v>
      </c>
      <c r="AD22" s="60">
        <v>3400</v>
      </c>
      <c r="AE22" s="60">
        <f t="shared" si="0"/>
        <v>200</v>
      </c>
      <c r="AF22" s="60">
        <v>252</v>
      </c>
      <c r="AG22" s="60">
        <v>268</v>
      </c>
      <c r="AH22" s="60">
        <f t="shared" si="1"/>
        <v>16</v>
      </c>
      <c r="AI22" s="82">
        <v>460</v>
      </c>
      <c r="AJ22" s="82">
        <v>470</v>
      </c>
      <c r="AK22" s="82" t="s">
        <v>249</v>
      </c>
      <c r="AL22" s="96">
        <f t="shared" si="2"/>
        <v>10</v>
      </c>
      <c r="AM22" s="96"/>
      <c r="AN22" s="85">
        <v>65</v>
      </c>
    </row>
    <row r="23" spans="1:40" s="85" customFormat="1" x14ac:dyDescent="0.55000000000000004">
      <c r="A23" s="82" t="s">
        <v>310</v>
      </c>
      <c r="B23" s="82" t="s">
        <v>312</v>
      </c>
      <c r="C23" s="82" t="s">
        <v>328</v>
      </c>
      <c r="D23" s="82" t="s">
        <v>357</v>
      </c>
      <c r="E23" s="82"/>
      <c r="F23" s="82"/>
      <c r="G23" s="60" t="s">
        <v>293</v>
      </c>
      <c r="H23" s="110">
        <v>18181.29</v>
      </c>
      <c r="I23" s="100">
        <v>44228</v>
      </c>
      <c r="J23" s="104" t="s">
        <v>255</v>
      </c>
      <c r="K23" s="82" t="s">
        <v>377</v>
      </c>
      <c r="L23" s="82" t="s">
        <v>534</v>
      </c>
      <c r="M23" s="82"/>
      <c r="N23" s="82">
        <v>10</v>
      </c>
      <c r="O23" s="82">
        <v>3</v>
      </c>
      <c r="P23" s="82"/>
      <c r="Q23" s="82">
        <v>1.5</v>
      </c>
      <c r="R23" s="82">
        <v>1.5</v>
      </c>
      <c r="S23" s="82"/>
      <c r="T23" s="82"/>
      <c r="U23" s="82"/>
      <c r="V23" s="82"/>
      <c r="W23" s="60"/>
      <c r="X23" s="60">
        <v>22600</v>
      </c>
      <c r="Y23" s="82">
        <f t="shared" si="3"/>
        <v>16</v>
      </c>
      <c r="Z23" s="82"/>
      <c r="AA23" s="60">
        <v>96</v>
      </c>
      <c r="AB23" s="60">
        <v>593</v>
      </c>
      <c r="AC23" s="60">
        <v>2607</v>
      </c>
      <c r="AD23" s="60">
        <v>4357</v>
      </c>
      <c r="AE23" s="60">
        <f t="shared" si="0"/>
        <v>1750</v>
      </c>
      <c r="AF23" s="60">
        <v>206</v>
      </c>
      <c r="AG23" s="60">
        <v>208</v>
      </c>
      <c r="AH23" s="60">
        <f t="shared" si="1"/>
        <v>2</v>
      </c>
      <c r="AI23" s="82">
        <v>237</v>
      </c>
      <c r="AJ23" s="82">
        <v>380</v>
      </c>
      <c r="AK23" s="82" t="s">
        <v>249</v>
      </c>
      <c r="AL23" s="96">
        <f t="shared" si="2"/>
        <v>143</v>
      </c>
      <c r="AM23" s="96"/>
      <c r="AN23" s="85">
        <v>65</v>
      </c>
    </row>
    <row r="24" spans="1:40" s="85" customFormat="1" x14ac:dyDescent="0.55000000000000004">
      <c r="A24" s="82" t="s">
        <v>310</v>
      </c>
      <c r="B24" s="82" t="s">
        <v>312</v>
      </c>
      <c r="C24" s="82" t="s">
        <v>329</v>
      </c>
      <c r="D24" s="82" t="s">
        <v>358</v>
      </c>
      <c r="E24" s="82"/>
      <c r="F24" s="82"/>
      <c r="G24" s="60" t="s">
        <v>294</v>
      </c>
      <c r="H24" s="99">
        <v>8423949.534</v>
      </c>
      <c r="I24" s="100">
        <v>44231</v>
      </c>
      <c r="J24" s="104" t="s">
        <v>255</v>
      </c>
      <c r="K24" s="82" t="s">
        <v>377</v>
      </c>
      <c r="L24" s="82" t="s">
        <v>534</v>
      </c>
      <c r="M24" s="82"/>
      <c r="N24" s="82">
        <v>10</v>
      </c>
      <c r="O24" s="82">
        <v>3</v>
      </c>
      <c r="P24" s="82"/>
      <c r="Q24" s="82"/>
      <c r="R24" s="82">
        <v>1.5</v>
      </c>
      <c r="S24" s="82"/>
      <c r="T24" s="82"/>
      <c r="U24" s="82"/>
      <c r="V24" s="82"/>
      <c r="W24" s="60"/>
      <c r="X24" s="60">
        <v>22944.400000000001</v>
      </c>
      <c r="Y24" s="82">
        <f t="shared" si="3"/>
        <v>14.5</v>
      </c>
      <c r="Z24" s="82"/>
      <c r="AA24" s="60">
        <v>132</v>
      </c>
      <c r="AB24" s="60">
        <v>763</v>
      </c>
      <c r="AC24" s="60">
        <v>3300</v>
      </c>
      <c r="AD24" s="60">
        <v>4000</v>
      </c>
      <c r="AE24" s="60">
        <f t="shared" si="0"/>
        <v>700</v>
      </c>
      <c r="AF24" s="60">
        <v>131</v>
      </c>
      <c r="AG24" s="60">
        <v>210</v>
      </c>
      <c r="AH24" s="60">
        <f t="shared" si="1"/>
        <v>79</v>
      </c>
      <c r="AI24" s="82">
        <v>262</v>
      </c>
      <c r="AJ24" s="82">
        <v>401</v>
      </c>
      <c r="AK24" s="82" t="s">
        <v>249</v>
      </c>
      <c r="AL24" s="96">
        <f t="shared" si="2"/>
        <v>139</v>
      </c>
      <c r="AM24" s="96"/>
      <c r="AN24" s="85">
        <v>65</v>
      </c>
    </row>
    <row r="25" spans="1:40" s="85" customFormat="1" x14ac:dyDescent="0.55000000000000004">
      <c r="A25" s="82" t="s">
        <v>310</v>
      </c>
      <c r="B25" s="82" t="s">
        <v>314</v>
      </c>
      <c r="C25" s="82" t="s">
        <v>330</v>
      </c>
      <c r="D25" s="82" t="s">
        <v>359</v>
      </c>
      <c r="E25" s="82"/>
      <c r="F25" s="82"/>
      <c r="G25" s="60" t="s">
        <v>295</v>
      </c>
      <c r="H25" s="99">
        <v>3227796</v>
      </c>
      <c r="I25" s="100">
        <v>44231</v>
      </c>
      <c r="J25" s="104" t="s">
        <v>255</v>
      </c>
      <c r="K25" s="82" t="s">
        <v>375</v>
      </c>
      <c r="L25" s="82" t="s">
        <v>534</v>
      </c>
      <c r="M25" s="82"/>
      <c r="N25" s="82">
        <v>12</v>
      </c>
      <c r="O25" s="82"/>
      <c r="P25" s="82"/>
      <c r="Q25" s="82"/>
      <c r="R25" s="82"/>
      <c r="S25" s="82"/>
      <c r="T25" s="82"/>
      <c r="U25" s="82"/>
      <c r="V25" s="82"/>
      <c r="W25" s="60"/>
      <c r="X25" s="60">
        <v>25515</v>
      </c>
      <c r="Y25" s="82">
        <f t="shared" si="3"/>
        <v>12</v>
      </c>
      <c r="Z25" s="82"/>
      <c r="AA25" s="60">
        <v>130</v>
      </c>
      <c r="AB25" s="60">
        <v>672.23999999999978</v>
      </c>
      <c r="AC25" s="60">
        <v>4000</v>
      </c>
      <c r="AD25" s="60">
        <v>4510</v>
      </c>
      <c r="AE25" s="60">
        <f t="shared" si="0"/>
        <v>510</v>
      </c>
      <c r="AF25" s="60">
        <v>153</v>
      </c>
      <c r="AG25" s="60">
        <v>164</v>
      </c>
      <c r="AH25" s="60">
        <f t="shared" si="1"/>
        <v>11</v>
      </c>
      <c r="AI25" s="82">
        <v>316</v>
      </c>
      <c r="AJ25" s="82">
        <v>328</v>
      </c>
      <c r="AK25" s="82" t="s">
        <v>249</v>
      </c>
      <c r="AL25" s="96">
        <f t="shared" si="2"/>
        <v>12</v>
      </c>
      <c r="AM25" s="96"/>
      <c r="AN25" s="85">
        <v>65</v>
      </c>
    </row>
    <row r="26" spans="1:40" s="85" customFormat="1" x14ac:dyDescent="0.55000000000000004">
      <c r="A26" s="82" t="s">
        <v>310</v>
      </c>
      <c r="B26" s="82" t="s">
        <v>314</v>
      </c>
      <c r="C26" s="82" t="s">
        <v>330</v>
      </c>
      <c r="D26" s="82" t="s">
        <v>360</v>
      </c>
      <c r="E26" s="82"/>
      <c r="F26" s="82"/>
      <c r="G26" s="60" t="s">
        <v>296</v>
      </c>
      <c r="H26" s="99">
        <v>6226266.4463999998</v>
      </c>
      <c r="I26" s="100">
        <v>44234</v>
      </c>
      <c r="J26" s="104" t="s">
        <v>255</v>
      </c>
      <c r="K26" s="82" t="s">
        <v>375</v>
      </c>
      <c r="L26" s="82" t="s">
        <v>534</v>
      </c>
      <c r="M26" s="82"/>
      <c r="N26" s="82">
        <v>14</v>
      </c>
      <c r="O26" s="82"/>
      <c r="P26" s="82"/>
      <c r="Q26" s="82"/>
      <c r="R26" s="82"/>
      <c r="S26" s="82"/>
      <c r="T26" s="82"/>
      <c r="U26" s="82"/>
      <c r="V26" s="82"/>
      <c r="W26" s="60"/>
      <c r="X26" s="60">
        <v>24045</v>
      </c>
      <c r="Y26" s="82">
        <f t="shared" si="3"/>
        <v>14</v>
      </c>
      <c r="Z26" s="82"/>
      <c r="AA26" s="60">
        <v>98</v>
      </c>
      <c r="AB26" s="60">
        <v>506</v>
      </c>
      <c r="AC26" s="60">
        <v>4000</v>
      </c>
      <c r="AD26" s="60">
        <v>5259</v>
      </c>
      <c r="AE26" s="60">
        <f t="shared" si="0"/>
        <v>1259</v>
      </c>
      <c r="AF26" s="60">
        <v>188</v>
      </c>
      <c r="AG26" s="60">
        <v>211</v>
      </c>
      <c r="AH26" s="60">
        <f t="shared" si="1"/>
        <v>23</v>
      </c>
      <c r="AI26" s="82">
        <v>377</v>
      </c>
      <c r="AJ26" s="82">
        <v>383</v>
      </c>
      <c r="AK26" s="82" t="s">
        <v>249</v>
      </c>
      <c r="AL26" s="96">
        <f t="shared" si="2"/>
        <v>6</v>
      </c>
      <c r="AM26" s="96"/>
      <c r="AN26" s="85">
        <v>65</v>
      </c>
    </row>
    <row r="27" spans="1:40" s="85" customFormat="1" x14ac:dyDescent="0.55000000000000004">
      <c r="A27" s="82" t="s">
        <v>310</v>
      </c>
      <c r="B27" s="82" t="s">
        <v>314</v>
      </c>
      <c r="C27" s="82" t="s">
        <v>330</v>
      </c>
      <c r="D27" s="82" t="s">
        <v>361</v>
      </c>
      <c r="E27" s="82"/>
      <c r="F27" s="82"/>
      <c r="G27" s="60" t="s">
        <v>297</v>
      </c>
      <c r="H27" s="99">
        <v>14940018.178800002</v>
      </c>
      <c r="I27" s="100">
        <v>44236</v>
      </c>
      <c r="J27" s="104" t="s">
        <v>255</v>
      </c>
      <c r="K27" s="82" t="s">
        <v>375</v>
      </c>
      <c r="L27" s="82" t="s">
        <v>534</v>
      </c>
      <c r="M27" s="82"/>
      <c r="N27" s="82">
        <v>12</v>
      </c>
      <c r="O27" s="82"/>
      <c r="P27" s="82"/>
      <c r="Q27" s="82"/>
      <c r="R27" s="82"/>
      <c r="S27" s="82"/>
      <c r="T27" s="82"/>
      <c r="U27" s="82"/>
      <c r="V27" s="82"/>
      <c r="W27" s="60"/>
      <c r="X27" s="60">
        <v>14419</v>
      </c>
      <c r="Y27" s="82">
        <f t="shared" si="3"/>
        <v>12</v>
      </c>
      <c r="Z27" s="82"/>
      <c r="AA27" s="60">
        <v>97</v>
      </c>
      <c r="AB27" s="60">
        <v>484</v>
      </c>
      <c r="AC27" s="60">
        <v>3800</v>
      </c>
      <c r="AD27" s="60">
        <v>4300</v>
      </c>
      <c r="AE27" s="60">
        <f t="shared" si="0"/>
        <v>500</v>
      </c>
      <c r="AF27" s="60">
        <v>163</v>
      </c>
      <c r="AG27" s="60">
        <v>180</v>
      </c>
      <c r="AH27" s="60">
        <f t="shared" si="1"/>
        <v>17</v>
      </c>
      <c r="AI27" s="82">
        <v>347</v>
      </c>
      <c r="AJ27" s="82">
        <v>370</v>
      </c>
      <c r="AK27" s="82" t="s">
        <v>249</v>
      </c>
      <c r="AL27" s="96">
        <f t="shared" si="2"/>
        <v>23</v>
      </c>
      <c r="AM27" s="96"/>
      <c r="AN27" s="85">
        <v>65</v>
      </c>
    </row>
    <row r="28" spans="1:40" s="85" customFormat="1" x14ac:dyDescent="0.55000000000000004">
      <c r="A28" s="82" t="s">
        <v>310</v>
      </c>
      <c r="B28" s="82" t="s">
        <v>312</v>
      </c>
      <c r="C28" s="82" t="s">
        <v>331</v>
      </c>
      <c r="D28" s="82" t="s">
        <v>362</v>
      </c>
      <c r="E28" s="82"/>
      <c r="F28" s="82"/>
      <c r="G28" s="60" t="s">
        <v>298</v>
      </c>
      <c r="H28" s="99">
        <v>2099937.84</v>
      </c>
      <c r="I28" s="100">
        <v>44234</v>
      </c>
      <c r="J28" s="104" t="s">
        <v>255</v>
      </c>
      <c r="K28" s="82" t="s">
        <v>375</v>
      </c>
      <c r="L28" s="82" t="s">
        <v>534</v>
      </c>
      <c r="M28" s="82"/>
      <c r="N28" s="82">
        <v>20</v>
      </c>
      <c r="O28" s="82"/>
      <c r="P28" s="82"/>
      <c r="Q28" s="82"/>
      <c r="R28" s="82"/>
      <c r="S28" s="82"/>
      <c r="T28" s="82"/>
      <c r="U28" s="82"/>
      <c r="V28" s="82"/>
      <c r="W28" s="60"/>
      <c r="X28" s="60">
        <v>24654</v>
      </c>
      <c r="Y28" s="82">
        <f t="shared" si="3"/>
        <v>20</v>
      </c>
      <c r="Z28" s="82"/>
      <c r="AA28" s="60">
        <v>149</v>
      </c>
      <c r="AB28" s="60">
        <v>571</v>
      </c>
      <c r="AC28" s="60">
        <v>1700</v>
      </c>
      <c r="AD28" s="60">
        <v>2930</v>
      </c>
      <c r="AE28" s="60">
        <f t="shared" si="0"/>
        <v>1230</v>
      </c>
      <c r="AF28" s="60">
        <v>56</v>
      </c>
      <c r="AG28" s="60">
        <v>176</v>
      </c>
      <c r="AH28" s="60">
        <f t="shared" si="1"/>
        <v>120</v>
      </c>
      <c r="AI28" s="82">
        <v>280</v>
      </c>
      <c r="AJ28" s="82">
        <v>324</v>
      </c>
      <c r="AK28" s="82" t="s">
        <v>249</v>
      </c>
      <c r="AL28" s="96">
        <f t="shared" si="2"/>
        <v>44</v>
      </c>
      <c r="AM28" s="96"/>
      <c r="AN28" s="85">
        <v>65</v>
      </c>
    </row>
    <row r="29" spans="1:40" s="85" customFormat="1" x14ac:dyDescent="0.55000000000000004">
      <c r="A29" s="82" t="s">
        <v>310</v>
      </c>
      <c r="B29" s="82" t="s">
        <v>314</v>
      </c>
      <c r="C29" s="82" t="s">
        <v>332</v>
      </c>
      <c r="D29" s="82" t="s">
        <v>363</v>
      </c>
      <c r="E29" s="82"/>
      <c r="F29" s="82"/>
      <c r="G29" s="60" t="s">
        <v>299</v>
      </c>
      <c r="H29" s="99">
        <v>3189477.72</v>
      </c>
      <c r="I29" s="100">
        <v>44237</v>
      </c>
      <c r="J29" s="104" t="s">
        <v>255</v>
      </c>
      <c r="K29" s="82" t="s">
        <v>375</v>
      </c>
      <c r="L29" s="82" t="s">
        <v>534</v>
      </c>
      <c r="M29" s="82"/>
      <c r="N29" s="82">
        <v>18</v>
      </c>
      <c r="O29" s="82"/>
      <c r="P29" s="82"/>
      <c r="Q29" s="82"/>
      <c r="R29" s="82"/>
      <c r="S29" s="82"/>
      <c r="T29" s="82"/>
      <c r="U29" s="82"/>
      <c r="V29" s="82"/>
      <c r="W29" s="60"/>
      <c r="X29" s="60">
        <v>17112.900000000001</v>
      </c>
      <c r="Y29" s="82">
        <f t="shared" si="3"/>
        <v>18</v>
      </c>
      <c r="Z29" s="82"/>
      <c r="AA29" s="60">
        <v>170</v>
      </c>
      <c r="AB29" s="60">
        <v>909</v>
      </c>
      <c r="AC29" s="60">
        <v>2300</v>
      </c>
      <c r="AD29" s="60">
        <v>2600</v>
      </c>
      <c r="AE29" s="60">
        <f t="shared" si="0"/>
        <v>300</v>
      </c>
      <c r="AF29" s="60">
        <v>112</v>
      </c>
      <c r="AG29" s="60">
        <v>160</v>
      </c>
      <c r="AH29" s="60">
        <f t="shared" si="1"/>
        <v>48</v>
      </c>
      <c r="AI29" s="82">
        <v>305</v>
      </c>
      <c r="AJ29" s="82">
        <v>320</v>
      </c>
      <c r="AK29" s="82" t="s">
        <v>249</v>
      </c>
      <c r="AL29" s="96">
        <f t="shared" si="2"/>
        <v>15</v>
      </c>
      <c r="AM29" s="96"/>
      <c r="AN29" s="85">
        <v>65</v>
      </c>
    </row>
    <row r="30" spans="1:40" s="85" customFormat="1" x14ac:dyDescent="0.55000000000000004">
      <c r="A30" s="82" t="s">
        <v>310</v>
      </c>
      <c r="B30" s="82" t="s">
        <v>312</v>
      </c>
      <c r="C30" s="82" t="s">
        <v>333</v>
      </c>
      <c r="D30" s="82" t="s">
        <v>364</v>
      </c>
      <c r="E30" s="82"/>
      <c r="F30" s="82"/>
      <c r="G30" s="60" t="s">
        <v>300</v>
      </c>
      <c r="H30" s="99">
        <v>6311510.8055999996</v>
      </c>
      <c r="I30" s="100">
        <v>44241</v>
      </c>
      <c r="J30" s="104" t="s">
        <v>255</v>
      </c>
      <c r="K30" s="82" t="s">
        <v>375</v>
      </c>
      <c r="L30" s="82" t="s">
        <v>534</v>
      </c>
      <c r="M30" s="82"/>
      <c r="N30" s="82">
        <v>9</v>
      </c>
      <c r="O30" s="82">
        <v>6</v>
      </c>
      <c r="P30" s="82"/>
      <c r="Q30" s="82"/>
      <c r="R30" s="82">
        <v>3</v>
      </c>
      <c r="S30" s="82"/>
      <c r="T30" s="82">
        <v>10</v>
      </c>
      <c r="U30" s="82"/>
      <c r="V30" s="82"/>
      <c r="W30" s="60"/>
      <c r="X30" s="60">
        <v>24654</v>
      </c>
      <c r="Y30" s="82">
        <f t="shared" si="3"/>
        <v>28</v>
      </c>
      <c r="Z30" s="82"/>
      <c r="AA30" s="60">
        <v>149</v>
      </c>
      <c r="AB30" s="60">
        <v>0</v>
      </c>
      <c r="AC30" s="60">
        <v>3500</v>
      </c>
      <c r="AD30" s="60">
        <v>3856</v>
      </c>
      <c r="AE30" s="60">
        <f t="shared" si="0"/>
        <v>356</v>
      </c>
      <c r="AF30" s="60">
        <v>130</v>
      </c>
      <c r="AG30" s="60">
        <v>152</v>
      </c>
      <c r="AH30" s="60">
        <f t="shared" si="1"/>
        <v>22</v>
      </c>
      <c r="AI30" s="82">
        <v>283</v>
      </c>
      <c r="AJ30" s="82">
        <v>313</v>
      </c>
      <c r="AK30" s="82" t="s">
        <v>249</v>
      </c>
      <c r="AL30" s="96">
        <f t="shared" si="2"/>
        <v>30</v>
      </c>
      <c r="AM30" s="96"/>
      <c r="AN30" s="85">
        <v>65</v>
      </c>
    </row>
    <row r="31" spans="1:40" s="85" customFormat="1" x14ac:dyDescent="0.55000000000000004">
      <c r="A31" s="82" t="s">
        <v>310</v>
      </c>
      <c r="B31" s="82" t="s">
        <v>312</v>
      </c>
      <c r="C31" s="82" t="s">
        <v>333</v>
      </c>
      <c r="D31" s="82" t="s">
        <v>365</v>
      </c>
      <c r="E31" s="82"/>
      <c r="F31" s="82"/>
      <c r="G31" s="60" t="s">
        <v>301</v>
      </c>
      <c r="H31" s="99"/>
      <c r="I31" s="100">
        <v>44243</v>
      </c>
      <c r="J31" s="104" t="s">
        <v>255</v>
      </c>
      <c r="K31" s="82" t="s">
        <v>375</v>
      </c>
      <c r="L31" s="82" t="s">
        <v>534</v>
      </c>
      <c r="M31" s="82"/>
      <c r="N31" s="82">
        <v>60</v>
      </c>
      <c r="O31" s="82"/>
      <c r="P31" s="82"/>
      <c r="Q31" s="82"/>
      <c r="R31" s="82"/>
      <c r="S31" s="82">
        <v>40</v>
      </c>
      <c r="T31" s="82"/>
      <c r="U31" s="82"/>
      <c r="V31" s="82"/>
      <c r="W31" s="60"/>
      <c r="X31" s="60">
        <v>19334</v>
      </c>
      <c r="Y31" s="82">
        <f t="shared" si="3"/>
        <v>100</v>
      </c>
      <c r="Z31" s="82"/>
      <c r="AA31" s="60">
        <v>135</v>
      </c>
      <c r="AB31" s="60">
        <v>592</v>
      </c>
      <c r="AC31" s="60">
        <v>1400</v>
      </c>
      <c r="AD31" s="60">
        <v>3805</v>
      </c>
      <c r="AE31" s="60">
        <f t="shared" si="0"/>
        <v>2405</v>
      </c>
      <c r="AF31" s="60">
        <v>122</v>
      </c>
      <c r="AG31" s="60">
        <v>120</v>
      </c>
      <c r="AH31" s="60">
        <f t="shared" si="1"/>
        <v>-2</v>
      </c>
      <c r="AI31" s="82">
        <v>280</v>
      </c>
      <c r="AJ31" s="82">
        <v>315</v>
      </c>
      <c r="AK31" s="82" t="s">
        <v>249</v>
      </c>
      <c r="AL31" s="96">
        <f t="shared" si="2"/>
        <v>35</v>
      </c>
      <c r="AM31" s="96"/>
      <c r="AN31" s="85">
        <v>65</v>
      </c>
    </row>
    <row r="32" spans="1:40" s="85" customFormat="1" x14ac:dyDescent="0.55000000000000004">
      <c r="A32" s="82" t="s">
        <v>310</v>
      </c>
      <c r="B32" s="82" t="s">
        <v>314</v>
      </c>
      <c r="C32" s="82" t="s">
        <v>334</v>
      </c>
      <c r="D32" s="82" t="s">
        <v>366</v>
      </c>
      <c r="E32" s="82"/>
      <c r="F32" s="82"/>
      <c r="G32" s="60" t="s">
        <v>302</v>
      </c>
      <c r="H32" s="99">
        <v>13467780.699999999</v>
      </c>
      <c r="I32" s="100">
        <v>44242</v>
      </c>
      <c r="J32" s="104" t="s">
        <v>255</v>
      </c>
      <c r="K32" s="82" t="s">
        <v>375</v>
      </c>
      <c r="L32" s="82" t="s">
        <v>534</v>
      </c>
      <c r="M32" s="82"/>
      <c r="N32" s="82">
        <v>5</v>
      </c>
      <c r="O32" s="82"/>
      <c r="P32" s="82"/>
      <c r="Q32" s="82"/>
      <c r="R32" s="82"/>
      <c r="S32" s="82"/>
      <c r="T32" s="82"/>
      <c r="U32" s="82"/>
      <c r="V32" s="82"/>
      <c r="W32" s="60"/>
      <c r="X32" s="60">
        <v>15696</v>
      </c>
      <c r="Y32" s="82">
        <f t="shared" si="3"/>
        <v>5</v>
      </c>
      <c r="Z32" s="82"/>
      <c r="AA32" s="60">
        <v>84</v>
      </c>
      <c r="AB32" s="60">
        <v>776</v>
      </c>
      <c r="AC32" s="60">
        <v>2723</v>
      </c>
      <c r="AD32" s="60">
        <v>3139</v>
      </c>
      <c r="AE32" s="60">
        <v>416</v>
      </c>
      <c r="AF32" s="60">
        <v>99</v>
      </c>
      <c r="AG32" s="60">
        <v>106</v>
      </c>
      <c r="AH32" s="60">
        <f t="shared" si="1"/>
        <v>7</v>
      </c>
      <c r="AI32" s="82">
        <v>389</v>
      </c>
      <c r="AJ32" s="82">
        <v>392</v>
      </c>
      <c r="AK32" s="82" t="s">
        <v>250</v>
      </c>
      <c r="AL32" s="96">
        <f t="shared" si="2"/>
        <v>3</v>
      </c>
      <c r="AM32" s="96"/>
      <c r="AN32" s="85">
        <v>65</v>
      </c>
    </row>
    <row r="33" spans="1:40" s="85" customFormat="1" x14ac:dyDescent="0.55000000000000004">
      <c r="A33" s="82" t="s">
        <v>310</v>
      </c>
      <c r="B33" s="82" t="s">
        <v>314</v>
      </c>
      <c r="C33" s="82" t="s">
        <v>334</v>
      </c>
      <c r="D33" s="82" t="s">
        <v>367</v>
      </c>
      <c r="E33" s="82"/>
      <c r="F33" s="82"/>
      <c r="G33" s="60" t="s">
        <v>303</v>
      </c>
      <c r="H33" s="99">
        <v>10092505</v>
      </c>
      <c r="I33" s="100">
        <v>44244</v>
      </c>
      <c r="J33" s="104" t="s">
        <v>255</v>
      </c>
      <c r="K33" s="82" t="s">
        <v>375</v>
      </c>
      <c r="L33" s="82" t="s">
        <v>534</v>
      </c>
      <c r="M33" s="82"/>
      <c r="N33" s="82">
        <v>13</v>
      </c>
      <c r="O33" s="82"/>
      <c r="P33" s="82"/>
      <c r="Q33" s="82"/>
      <c r="R33" s="82"/>
      <c r="S33" s="82">
        <v>30</v>
      </c>
      <c r="T33" s="82"/>
      <c r="U33" s="82"/>
      <c r="V33" s="82"/>
      <c r="W33" s="60"/>
      <c r="X33" s="60">
        <v>20608</v>
      </c>
      <c r="Y33" s="82">
        <f t="shared" si="3"/>
        <v>43</v>
      </c>
      <c r="Z33" s="82"/>
      <c r="AA33" s="60">
        <v>110</v>
      </c>
      <c r="AB33" s="60">
        <v>221</v>
      </c>
      <c r="AC33" s="60">
        <v>7189</v>
      </c>
      <c r="AD33" s="60">
        <v>8919</v>
      </c>
      <c r="AE33" s="60">
        <v>1730</v>
      </c>
      <c r="AF33" s="60">
        <v>115</v>
      </c>
      <c r="AG33" s="60">
        <v>119.5</v>
      </c>
      <c r="AH33" s="60">
        <f t="shared" si="1"/>
        <v>4.5</v>
      </c>
      <c r="AI33" s="82">
        <v>388</v>
      </c>
      <c r="AJ33" s="82">
        <v>398</v>
      </c>
      <c r="AK33" s="82" t="s">
        <v>250</v>
      </c>
      <c r="AL33" s="96">
        <f t="shared" si="2"/>
        <v>10</v>
      </c>
      <c r="AM33" s="96"/>
      <c r="AN33" s="85">
        <v>65</v>
      </c>
    </row>
    <row r="34" spans="1:40" s="85" customFormat="1" x14ac:dyDescent="0.55000000000000004">
      <c r="A34" s="82" t="s">
        <v>310</v>
      </c>
      <c r="B34" s="82" t="s">
        <v>314</v>
      </c>
      <c r="C34" s="82" t="s">
        <v>334</v>
      </c>
      <c r="D34" s="82" t="s">
        <v>368</v>
      </c>
      <c r="E34" s="82"/>
      <c r="F34" s="82"/>
      <c r="G34" s="60" t="s">
        <v>304</v>
      </c>
      <c r="H34" s="99"/>
      <c r="I34" s="100">
        <v>44245</v>
      </c>
      <c r="J34" s="104" t="s">
        <v>255</v>
      </c>
      <c r="K34" s="82" t="s">
        <v>375</v>
      </c>
      <c r="L34" s="82" t="s">
        <v>534</v>
      </c>
      <c r="M34" s="82"/>
      <c r="N34" s="82">
        <v>5</v>
      </c>
      <c r="O34" s="82"/>
      <c r="P34" s="82"/>
      <c r="Q34" s="82"/>
      <c r="R34" s="82"/>
      <c r="S34" s="82">
        <v>20</v>
      </c>
      <c r="T34" s="82"/>
      <c r="U34" s="82"/>
      <c r="V34" s="82"/>
      <c r="W34" s="60"/>
      <c r="X34" s="60">
        <v>16592</v>
      </c>
      <c r="Y34" s="82">
        <f t="shared" si="3"/>
        <v>25</v>
      </c>
      <c r="Z34" s="82"/>
      <c r="AA34" s="60">
        <v>102</v>
      </c>
      <c r="AB34" s="60">
        <v>372</v>
      </c>
      <c r="AC34" s="60">
        <v>3900</v>
      </c>
      <c r="AD34" s="60">
        <v>4353</v>
      </c>
      <c r="AE34" s="60">
        <v>453</v>
      </c>
      <c r="AF34" s="60">
        <v>114</v>
      </c>
      <c r="AG34" s="60">
        <v>125.5</v>
      </c>
      <c r="AH34" s="60">
        <f t="shared" si="1"/>
        <v>11.5</v>
      </c>
      <c r="AI34" s="82">
        <v>336</v>
      </c>
      <c r="AJ34" s="82">
        <v>357</v>
      </c>
      <c r="AK34" s="82" t="s">
        <v>250</v>
      </c>
      <c r="AL34" s="96">
        <f t="shared" si="2"/>
        <v>21</v>
      </c>
      <c r="AM34" s="96"/>
      <c r="AN34" s="85">
        <v>65</v>
      </c>
    </row>
    <row r="35" spans="1:40" s="85" customFormat="1" x14ac:dyDescent="0.55000000000000004">
      <c r="A35" s="82" t="s">
        <v>310</v>
      </c>
      <c r="B35" s="82" t="s">
        <v>313</v>
      </c>
      <c r="C35" s="82" t="s">
        <v>319</v>
      </c>
      <c r="D35" s="82" t="s">
        <v>369</v>
      </c>
      <c r="E35" s="82"/>
      <c r="F35" s="82"/>
      <c r="G35" s="60" t="s">
        <v>305</v>
      </c>
      <c r="H35" s="99"/>
      <c r="I35" s="100">
        <v>44247</v>
      </c>
      <c r="J35" s="104" t="s">
        <v>255</v>
      </c>
      <c r="K35" s="82" t="s">
        <v>376</v>
      </c>
      <c r="L35" s="82" t="s">
        <v>534</v>
      </c>
      <c r="M35" s="82"/>
      <c r="N35" s="82">
        <v>10</v>
      </c>
      <c r="O35" s="82">
        <v>53</v>
      </c>
      <c r="P35" s="82"/>
      <c r="Q35" s="82"/>
      <c r="R35" s="82"/>
      <c r="S35" s="82"/>
      <c r="T35" s="82">
        <v>8</v>
      </c>
      <c r="U35" s="82"/>
      <c r="V35" s="82"/>
      <c r="W35" s="60"/>
      <c r="X35" s="60">
        <v>15855</v>
      </c>
      <c r="Y35" s="82">
        <f t="shared" si="3"/>
        <v>71</v>
      </c>
      <c r="Z35" s="82"/>
      <c r="AA35" s="60">
        <v>142</v>
      </c>
      <c r="AB35" s="60">
        <v>258</v>
      </c>
      <c r="AC35" s="60">
        <v>5655</v>
      </c>
      <c r="AD35" s="60">
        <v>6460</v>
      </c>
      <c r="AE35" s="60">
        <f>AD35-AC35</f>
        <v>805</v>
      </c>
      <c r="AF35" s="60">
        <v>108</v>
      </c>
      <c r="AG35" s="60">
        <v>112</v>
      </c>
      <c r="AH35" s="60">
        <f t="shared" si="1"/>
        <v>4</v>
      </c>
      <c r="AI35" s="82">
        <v>422</v>
      </c>
      <c r="AJ35" s="82">
        <v>446</v>
      </c>
      <c r="AK35" s="82" t="s">
        <v>250</v>
      </c>
      <c r="AL35" s="96">
        <f t="shared" si="2"/>
        <v>24</v>
      </c>
      <c r="AM35" s="96"/>
      <c r="AN35" s="85">
        <v>65</v>
      </c>
    </row>
    <row r="36" spans="1:40" s="85" customFormat="1" x14ac:dyDescent="0.55000000000000004">
      <c r="A36" s="82" t="s">
        <v>310</v>
      </c>
      <c r="B36" s="82" t="s">
        <v>312</v>
      </c>
      <c r="C36" s="82" t="s">
        <v>335</v>
      </c>
      <c r="D36" s="82" t="s">
        <v>370</v>
      </c>
      <c r="E36" s="82"/>
      <c r="F36" s="82"/>
      <c r="G36" s="60" t="s">
        <v>306</v>
      </c>
      <c r="H36" s="99"/>
      <c r="I36" s="100">
        <v>44251</v>
      </c>
      <c r="J36" s="104" t="s">
        <v>255</v>
      </c>
      <c r="K36" s="82" t="s">
        <v>377</v>
      </c>
      <c r="L36" s="82" t="s">
        <v>534</v>
      </c>
      <c r="M36" s="82"/>
      <c r="N36" s="82">
        <v>10</v>
      </c>
      <c r="O36" s="82">
        <v>3</v>
      </c>
      <c r="P36" s="82"/>
      <c r="Q36" s="82"/>
      <c r="R36" s="82">
        <v>1.5</v>
      </c>
      <c r="S36" s="82"/>
      <c r="T36" s="82"/>
      <c r="U36" s="82"/>
      <c r="V36" s="82"/>
      <c r="W36" s="60"/>
      <c r="X36" s="60">
        <v>18593</v>
      </c>
      <c r="Y36" s="82">
        <f t="shared" si="3"/>
        <v>14.5</v>
      </c>
      <c r="Z36" s="82"/>
      <c r="AA36" s="60">
        <v>125</v>
      </c>
      <c r="AB36" s="60">
        <v>177</v>
      </c>
      <c r="AC36" s="60">
        <v>4138</v>
      </c>
      <c r="AD36" s="60">
        <v>4598</v>
      </c>
      <c r="AE36" s="60">
        <f>AD36-AC36</f>
        <v>460</v>
      </c>
      <c r="AF36" s="60">
        <v>106</v>
      </c>
      <c r="AG36" s="60">
        <v>107</v>
      </c>
      <c r="AH36" s="60">
        <f t="shared" si="1"/>
        <v>1</v>
      </c>
      <c r="AI36" s="82">
        <v>347</v>
      </c>
      <c r="AJ36" s="82">
        <v>374</v>
      </c>
      <c r="AK36" s="82" t="s">
        <v>250</v>
      </c>
      <c r="AL36" s="96">
        <f t="shared" si="2"/>
        <v>27</v>
      </c>
      <c r="AM36" s="96"/>
      <c r="AN36" s="85">
        <v>65</v>
      </c>
    </row>
    <row r="37" spans="1:40" s="85" customFormat="1" x14ac:dyDescent="0.55000000000000004">
      <c r="A37" s="82" t="s">
        <v>310</v>
      </c>
      <c r="B37" s="82" t="s">
        <v>312</v>
      </c>
      <c r="C37" s="82" t="s">
        <v>335</v>
      </c>
      <c r="D37" s="82" t="s">
        <v>370</v>
      </c>
      <c r="E37" s="82"/>
      <c r="F37" s="82"/>
      <c r="G37" s="60" t="s">
        <v>307</v>
      </c>
      <c r="H37" s="99"/>
      <c r="I37" s="100">
        <v>44251</v>
      </c>
      <c r="J37" s="104" t="s">
        <v>255</v>
      </c>
      <c r="K37" s="82" t="s">
        <v>376</v>
      </c>
      <c r="L37" s="82" t="s">
        <v>534</v>
      </c>
      <c r="M37" s="82"/>
      <c r="N37" s="82">
        <v>20</v>
      </c>
      <c r="O37" s="82">
        <v>3</v>
      </c>
      <c r="P37" s="82">
        <v>5</v>
      </c>
      <c r="Q37" s="82"/>
      <c r="R37" s="82"/>
      <c r="S37" s="82"/>
      <c r="T37" s="82"/>
      <c r="U37" s="82"/>
      <c r="V37" s="82"/>
      <c r="W37" s="60"/>
      <c r="X37" s="60">
        <v>17074</v>
      </c>
      <c r="Y37" s="82">
        <f t="shared" si="3"/>
        <v>28</v>
      </c>
      <c r="Z37" s="82"/>
      <c r="AA37" s="60">
        <v>103</v>
      </c>
      <c r="AB37" s="60">
        <v>193</v>
      </c>
      <c r="AC37" s="60">
        <v>300</v>
      </c>
      <c r="AD37" s="60">
        <v>4100</v>
      </c>
      <c r="AE37" s="60">
        <f>AD37-AC37</f>
        <v>3800</v>
      </c>
      <c r="AF37" s="60">
        <v>121</v>
      </c>
      <c r="AG37" s="60">
        <v>149</v>
      </c>
      <c r="AH37" s="60">
        <f t="shared" si="1"/>
        <v>28</v>
      </c>
      <c r="AI37" s="82">
        <v>260</v>
      </c>
      <c r="AJ37" s="82">
        <v>297</v>
      </c>
      <c r="AK37" s="82" t="s">
        <v>249</v>
      </c>
      <c r="AL37" s="96">
        <f t="shared" si="2"/>
        <v>37</v>
      </c>
      <c r="AM37" s="96"/>
      <c r="AN37" s="85">
        <v>65</v>
      </c>
    </row>
    <row r="38" spans="1:40" s="85" customFormat="1" x14ac:dyDescent="0.55000000000000004">
      <c r="A38" s="82" t="s">
        <v>310</v>
      </c>
      <c r="B38" s="82" t="s">
        <v>312</v>
      </c>
      <c r="C38" s="82" t="s">
        <v>326</v>
      </c>
      <c r="D38" s="82" t="s">
        <v>371</v>
      </c>
      <c r="E38" s="82"/>
      <c r="F38" s="82"/>
      <c r="G38" s="60" t="s">
        <v>308</v>
      </c>
      <c r="H38" s="99"/>
      <c r="I38" s="100">
        <v>44254</v>
      </c>
      <c r="J38" s="104" t="s">
        <v>255</v>
      </c>
      <c r="K38" s="82" t="s">
        <v>377</v>
      </c>
      <c r="L38" s="82" t="s">
        <v>534</v>
      </c>
      <c r="M38" s="82"/>
      <c r="N38" s="82">
        <v>16</v>
      </c>
      <c r="O38" s="82">
        <v>3</v>
      </c>
      <c r="P38" s="82"/>
      <c r="Q38" s="82">
        <v>1.5</v>
      </c>
      <c r="R38" s="82">
        <v>1.5</v>
      </c>
      <c r="S38" s="82"/>
      <c r="T38" s="82"/>
      <c r="U38" s="82"/>
      <c r="V38" s="82"/>
      <c r="W38" s="60"/>
      <c r="X38" s="60">
        <v>15518</v>
      </c>
      <c r="Y38" s="82">
        <f t="shared" si="3"/>
        <v>22</v>
      </c>
      <c r="Z38" s="82"/>
      <c r="AA38" s="60">
        <v>137</v>
      </c>
      <c r="AB38" s="60">
        <v>173</v>
      </c>
      <c r="AC38" s="60">
        <v>5214</v>
      </c>
      <c r="AD38" s="60">
        <v>5384</v>
      </c>
      <c r="AE38" s="60">
        <f>AD38-AC38</f>
        <v>170</v>
      </c>
      <c r="AF38" s="60">
        <v>120</v>
      </c>
      <c r="AG38" s="60">
        <v>150</v>
      </c>
      <c r="AH38" s="60">
        <f t="shared" si="1"/>
        <v>30</v>
      </c>
      <c r="AI38" s="82">
        <v>438</v>
      </c>
      <c r="AJ38" s="82">
        <v>440</v>
      </c>
      <c r="AK38" s="82" t="s">
        <v>250</v>
      </c>
      <c r="AL38" s="96">
        <f t="shared" si="2"/>
        <v>2</v>
      </c>
      <c r="AM38" s="96"/>
      <c r="AN38" s="85">
        <v>65</v>
      </c>
    </row>
    <row r="39" spans="1:40" s="85" customFormat="1" x14ac:dyDescent="0.55000000000000004">
      <c r="A39" s="82" t="s">
        <v>310</v>
      </c>
      <c r="B39" s="82" t="s">
        <v>311</v>
      </c>
      <c r="C39" s="82" t="s">
        <v>336</v>
      </c>
      <c r="D39" s="82" t="s">
        <v>372</v>
      </c>
      <c r="E39" s="82"/>
      <c r="F39" s="82"/>
      <c r="G39" s="60" t="s">
        <v>309</v>
      </c>
      <c r="H39" s="99">
        <v>9701045</v>
      </c>
      <c r="I39" s="100">
        <v>44244</v>
      </c>
      <c r="J39" s="104" t="s">
        <v>255</v>
      </c>
      <c r="K39" s="82" t="s">
        <v>375</v>
      </c>
      <c r="L39" s="82" t="s">
        <v>534</v>
      </c>
      <c r="M39" s="82"/>
      <c r="N39" s="82">
        <v>5</v>
      </c>
      <c r="O39" s="82">
        <v>12.5</v>
      </c>
      <c r="P39" s="82"/>
      <c r="Q39" s="82">
        <v>1</v>
      </c>
      <c r="R39" s="82">
        <v>1</v>
      </c>
      <c r="S39" s="82"/>
      <c r="T39" s="82"/>
      <c r="U39" s="82"/>
      <c r="V39" s="82"/>
      <c r="W39" s="60"/>
      <c r="X39" s="60">
        <v>18617</v>
      </c>
      <c r="Y39" s="82">
        <f t="shared" si="3"/>
        <v>19.5</v>
      </c>
      <c r="Z39" s="82"/>
      <c r="AA39" s="60">
        <v>129</v>
      </c>
      <c r="AB39" s="60">
        <v>406</v>
      </c>
      <c r="AC39" s="60">
        <v>6453</v>
      </c>
      <c r="AD39" s="60">
        <v>7242</v>
      </c>
      <c r="AE39" s="60">
        <f>AD39-AC39</f>
        <v>789</v>
      </c>
      <c r="AF39" s="60">
        <v>123</v>
      </c>
      <c r="AG39" s="60">
        <v>148</v>
      </c>
      <c r="AH39" s="60">
        <f t="shared" si="1"/>
        <v>25</v>
      </c>
      <c r="AI39" s="82">
        <v>415</v>
      </c>
      <c r="AJ39" s="82">
        <v>441</v>
      </c>
      <c r="AK39" s="82" t="s">
        <v>250</v>
      </c>
      <c r="AL39" s="96">
        <f t="shared" si="2"/>
        <v>26</v>
      </c>
      <c r="AM39" s="96"/>
      <c r="AN39" s="85">
        <v>65</v>
      </c>
    </row>
    <row r="40" spans="1:40" x14ac:dyDescent="0.55000000000000004">
      <c r="A40" s="82" t="s">
        <v>310</v>
      </c>
      <c r="B40" s="82" t="s">
        <v>314</v>
      </c>
      <c r="C40" s="82" t="s">
        <v>334</v>
      </c>
      <c r="D40" s="82" t="s">
        <v>406</v>
      </c>
      <c r="E40" s="85"/>
      <c r="F40" s="85"/>
      <c r="I40" s="100">
        <v>44257</v>
      </c>
      <c r="J40" s="104" t="s">
        <v>255</v>
      </c>
      <c r="K40" s="82" t="s">
        <v>375</v>
      </c>
      <c r="L40" s="82" t="s">
        <v>534</v>
      </c>
      <c r="M40" s="82"/>
      <c r="N40" s="82">
        <v>2</v>
      </c>
      <c r="O40" s="82">
        <v>4</v>
      </c>
      <c r="P40" s="82"/>
      <c r="Q40" s="82">
        <v>1</v>
      </c>
      <c r="R40" s="82">
        <v>1</v>
      </c>
      <c r="S40" s="82">
        <v>20</v>
      </c>
      <c r="T40" s="82"/>
      <c r="U40" s="82"/>
      <c r="V40" s="82"/>
      <c r="Y40" s="82">
        <f t="shared" si="3"/>
        <v>28</v>
      </c>
      <c r="Z40" s="85"/>
      <c r="AM40" s="96"/>
      <c r="AN40" s="85">
        <v>65</v>
      </c>
    </row>
    <row r="41" spans="1:40" x14ac:dyDescent="0.55000000000000004">
      <c r="A41" s="82" t="s">
        <v>310</v>
      </c>
      <c r="B41" s="82" t="s">
        <v>312</v>
      </c>
      <c r="C41" s="82" t="s">
        <v>384</v>
      </c>
      <c r="D41" s="82" t="s">
        <v>407</v>
      </c>
      <c r="E41" s="85"/>
      <c r="F41" s="85"/>
      <c r="I41" s="100">
        <v>44257</v>
      </c>
      <c r="J41" s="104" t="s">
        <v>255</v>
      </c>
      <c r="K41" s="82" t="s">
        <v>375</v>
      </c>
      <c r="L41" s="82" t="s">
        <v>534</v>
      </c>
      <c r="M41" s="82"/>
      <c r="N41" s="82"/>
      <c r="O41" s="82"/>
      <c r="P41" s="82"/>
      <c r="Q41" s="82"/>
      <c r="R41" s="82"/>
      <c r="S41" s="82">
        <v>15</v>
      </c>
      <c r="T41" s="82"/>
      <c r="U41" s="82"/>
      <c r="V41" s="82"/>
      <c r="Y41" s="82">
        <f t="shared" si="3"/>
        <v>15</v>
      </c>
      <c r="Z41" s="85"/>
      <c r="AM41" s="96"/>
      <c r="AN41" s="85">
        <v>65</v>
      </c>
    </row>
    <row r="42" spans="1:40" x14ac:dyDescent="0.55000000000000004">
      <c r="A42" s="82" t="s">
        <v>310</v>
      </c>
      <c r="B42" s="82" t="s">
        <v>312</v>
      </c>
      <c r="C42" s="82" t="s">
        <v>326</v>
      </c>
      <c r="D42" s="82" t="s">
        <v>408</v>
      </c>
      <c r="E42" s="85"/>
      <c r="F42" s="85"/>
      <c r="I42" s="100">
        <v>44263</v>
      </c>
      <c r="J42" s="104" t="s">
        <v>255</v>
      </c>
      <c r="K42" s="82" t="s">
        <v>375</v>
      </c>
      <c r="L42" s="82" t="s">
        <v>534</v>
      </c>
      <c r="M42" s="82"/>
      <c r="N42" s="82">
        <v>20</v>
      </c>
      <c r="O42" s="82">
        <v>3</v>
      </c>
      <c r="P42" s="82"/>
      <c r="Q42" s="82">
        <v>1.5</v>
      </c>
      <c r="R42" s="82">
        <v>1.5</v>
      </c>
      <c r="S42" s="82"/>
      <c r="T42" s="82"/>
      <c r="U42" s="82"/>
      <c r="V42" s="82"/>
      <c r="Y42" s="82">
        <f t="shared" si="3"/>
        <v>26</v>
      </c>
      <c r="Z42" s="85"/>
      <c r="AM42" s="96"/>
      <c r="AN42" s="85">
        <v>65</v>
      </c>
    </row>
    <row r="43" spans="1:40" x14ac:dyDescent="0.55000000000000004">
      <c r="A43" s="82" t="s">
        <v>310</v>
      </c>
      <c r="B43" s="82" t="s">
        <v>313</v>
      </c>
      <c r="C43" s="82" t="s">
        <v>319</v>
      </c>
      <c r="D43" s="82" t="s">
        <v>409</v>
      </c>
      <c r="E43" s="85"/>
      <c r="F43" s="85"/>
      <c r="I43" s="100">
        <v>44267</v>
      </c>
      <c r="J43" s="104" t="s">
        <v>255</v>
      </c>
      <c r="K43" s="82" t="s">
        <v>375</v>
      </c>
      <c r="L43" s="82" t="s">
        <v>534</v>
      </c>
      <c r="M43" s="82"/>
      <c r="N43" s="82">
        <v>10</v>
      </c>
      <c r="O43" s="82"/>
      <c r="P43" s="82"/>
      <c r="Q43" s="82"/>
      <c r="R43" s="82"/>
      <c r="S43" s="82">
        <v>10</v>
      </c>
      <c r="T43" s="82"/>
      <c r="U43" s="82"/>
      <c r="V43" s="82"/>
      <c r="Y43" s="82">
        <f t="shared" si="3"/>
        <v>20</v>
      </c>
      <c r="Z43" s="85"/>
      <c r="AM43" s="96"/>
      <c r="AN43" s="85">
        <v>65</v>
      </c>
    </row>
    <row r="44" spans="1:40" x14ac:dyDescent="0.55000000000000004">
      <c r="A44" s="82" t="s">
        <v>310</v>
      </c>
      <c r="B44" s="82" t="s">
        <v>312</v>
      </c>
      <c r="C44" s="82" t="s">
        <v>385</v>
      </c>
      <c r="D44" s="82" t="s">
        <v>410</v>
      </c>
      <c r="E44" s="85"/>
      <c r="F44" s="85"/>
      <c r="I44" s="100">
        <v>44267</v>
      </c>
      <c r="J44" s="104" t="s">
        <v>255</v>
      </c>
      <c r="K44" s="82" t="s">
        <v>375</v>
      </c>
      <c r="L44" s="82" t="s">
        <v>534</v>
      </c>
      <c r="M44" s="82"/>
      <c r="N44" s="82"/>
      <c r="O44" s="82">
        <v>5</v>
      </c>
      <c r="P44" s="82"/>
      <c r="Q44" s="82">
        <v>2.5</v>
      </c>
      <c r="R44" s="82">
        <v>2.5</v>
      </c>
      <c r="S44" s="82">
        <v>20</v>
      </c>
      <c r="T44" s="82"/>
      <c r="U44" s="82"/>
      <c r="V44" s="82"/>
      <c r="Y44" s="82">
        <f t="shared" si="3"/>
        <v>30</v>
      </c>
      <c r="Z44" s="85"/>
      <c r="AM44" s="96"/>
      <c r="AN44" s="85">
        <v>65</v>
      </c>
    </row>
    <row r="45" spans="1:40" x14ac:dyDescent="0.55000000000000004">
      <c r="A45" s="82" t="s">
        <v>310</v>
      </c>
      <c r="B45" s="82" t="s">
        <v>312</v>
      </c>
      <c r="C45" s="82" t="s">
        <v>385</v>
      </c>
      <c r="D45" s="82" t="s">
        <v>411</v>
      </c>
      <c r="E45" s="85"/>
      <c r="F45" s="85"/>
      <c r="I45" s="100">
        <v>44268</v>
      </c>
      <c r="J45" s="104" t="s">
        <v>255</v>
      </c>
      <c r="K45" s="82" t="s">
        <v>375</v>
      </c>
      <c r="L45" s="82" t="s">
        <v>534</v>
      </c>
      <c r="M45" s="82"/>
      <c r="N45" s="82">
        <v>8</v>
      </c>
      <c r="O45" s="82">
        <v>1</v>
      </c>
      <c r="P45" s="82"/>
      <c r="Q45" s="82">
        <v>0.5</v>
      </c>
      <c r="R45" s="82">
        <v>0.5</v>
      </c>
      <c r="S45" s="82"/>
      <c r="T45" s="82"/>
      <c r="U45" s="82"/>
      <c r="V45" s="82"/>
      <c r="Y45" s="82">
        <f t="shared" si="3"/>
        <v>10</v>
      </c>
      <c r="Z45" s="85"/>
      <c r="AM45" s="96"/>
      <c r="AN45" s="85">
        <v>65</v>
      </c>
    </row>
    <row r="46" spans="1:40" x14ac:dyDescent="0.55000000000000004">
      <c r="A46" s="82" t="s">
        <v>310</v>
      </c>
      <c r="B46" s="82" t="s">
        <v>312</v>
      </c>
      <c r="C46" s="82" t="s">
        <v>385</v>
      </c>
      <c r="D46" s="82" t="s">
        <v>411</v>
      </c>
      <c r="E46" s="85"/>
      <c r="F46" s="85"/>
      <c r="I46" s="100">
        <v>44268</v>
      </c>
      <c r="J46" s="104" t="s">
        <v>255</v>
      </c>
      <c r="K46" s="82" t="s">
        <v>376</v>
      </c>
      <c r="L46" s="82" t="s">
        <v>534</v>
      </c>
      <c r="M46" s="82"/>
      <c r="N46" s="82">
        <v>25</v>
      </c>
      <c r="O46" s="82">
        <v>5</v>
      </c>
      <c r="P46" s="82"/>
      <c r="Q46" s="82"/>
      <c r="R46" s="82"/>
      <c r="S46" s="82"/>
      <c r="T46" s="82"/>
      <c r="U46" s="82"/>
      <c r="V46" s="82"/>
      <c r="Y46" s="82">
        <f t="shared" si="3"/>
        <v>30</v>
      </c>
      <c r="Z46" s="85"/>
      <c r="AM46" s="96"/>
      <c r="AN46" s="85">
        <v>65</v>
      </c>
    </row>
    <row r="47" spans="1:40" x14ac:dyDescent="0.55000000000000004">
      <c r="A47" s="82" t="s">
        <v>310</v>
      </c>
      <c r="B47" s="82" t="s">
        <v>314</v>
      </c>
      <c r="C47" s="82" t="s">
        <v>334</v>
      </c>
      <c r="D47" s="82" t="s">
        <v>412</v>
      </c>
      <c r="E47" s="85"/>
      <c r="F47" s="85"/>
      <c r="I47" s="100">
        <v>44271</v>
      </c>
      <c r="J47" s="104" t="s">
        <v>255</v>
      </c>
      <c r="K47" s="82" t="s">
        <v>376</v>
      </c>
      <c r="L47" s="82" t="s">
        <v>534</v>
      </c>
      <c r="M47" s="82"/>
      <c r="N47" s="82">
        <v>10</v>
      </c>
      <c r="O47" s="82">
        <v>24</v>
      </c>
      <c r="P47" s="82"/>
      <c r="Q47" s="82"/>
      <c r="R47" s="82"/>
      <c r="S47" s="82"/>
      <c r="T47" s="82">
        <v>13</v>
      </c>
      <c r="U47" s="82"/>
      <c r="V47" s="82"/>
      <c r="Y47" s="82">
        <f t="shared" si="3"/>
        <v>47</v>
      </c>
      <c r="Z47" s="85"/>
      <c r="AM47" s="96"/>
      <c r="AN47" s="85">
        <v>65</v>
      </c>
    </row>
    <row r="48" spans="1:40" x14ac:dyDescent="0.55000000000000004">
      <c r="A48" s="82" t="s">
        <v>310</v>
      </c>
      <c r="B48" s="82" t="s">
        <v>313</v>
      </c>
      <c r="C48" s="82" t="s">
        <v>386</v>
      </c>
      <c r="D48" s="82" t="s">
        <v>413</v>
      </c>
      <c r="E48" s="85"/>
      <c r="F48" s="85"/>
      <c r="I48" s="100">
        <v>44277</v>
      </c>
      <c r="J48" s="104" t="s">
        <v>255</v>
      </c>
      <c r="K48" s="82" t="s">
        <v>375</v>
      </c>
      <c r="L48" s="82" t="s">
        <v>534</v>
      </c>
      <c r="M48" s="82"/>
      <c r="N48" s="82"/>
      <c r="O48" s="82"/>
      <c r="P48" s="82"/>
      <c r="Q48" s="82"/>
      <c r="R48" s="82"/>
      <c r="S48" s="82">
        <v>3</v>
      </c>
      <c r="T48" s="82"/>
      <c r="U48" s="82"/>
      <c r="V48" s="82"/>
      <c r="Y48" s="82">
        <f t="shared" si="3"/>
        <v>3</v>
      </c>
      <c r="Z48" s="85"/>
      <c r="AM48" s="96"/>
      <c r="AN48" s="85">
        <v>65</v>
      </c>
    </row>
    <row r="49" spans="1:40" x14ac:dyDescent="0.55000000000000004">
      <c r="A49" s="82" t="s">
        <v>310</v>
      </c>
      <c r="B49" s="82" t="s">
        <v>314</v>
      </c>
      <c r="C49" s="82" t="s">
        <v>387</v>
      </c>
      <c r="D49" s="82" t="s">
        <v>414</v>
      </c>
      <c r="E49" s="85"/>
      <c r="F49" s="85"/>
      <c r="I49" s="100">
        <v>44278</v>
      </c>
      <c r="J49" s="104" t="s">
        <v>255</v>
      </c>
      <c r="K49" s="82" t="s">
        <v>376</v>
      </c>
      <c r="L49" s="82" t="s">
        <v>534</v>
      </c>
      <c r="M49" s="82"/>
      <c r="N49" s="82">
        <v>10</v>
      </c>
      <c r="O49" s="82"/>
      <c r="P49" s="82"/>
      <c r="Q49" s="82"/>
      <c r="R49" s="82"/>
      <c r="S49" s="82"/>
      <c r="T49" s="82"/>
      <c r="U49" s="82"/>
      <c r="V49" s="82"/>
      <c r="Y49" s="82">
        <f t="shared" si="3"/>
        <v>10</v>
      </c>
      <c r="Z49" s="85"/>
      <c r="AM49" s="96"/>
      <c r="AN49" s="85">
        <v>65</v>
      </c>
    </row>
    <row r="50" spans="1:40" x14ac:dyDescent="0.55000000000000004">
      <c r="A50" s="82" t="s">
        <v>310</v>
      </c>
      <c r="B50" s="82" t="s">
        <v>312</v>
      </c>
      <c r="C50" s="82" t="s">
        <v>325</v>
      </c>
      <c r="D50" s="82" t="s">
        <v>415</v>
      </c>
      <c r="E50" s="85"/>
      <c r="F50" s="85"/>
      <c r="I50" s="100">
        <v>44280</v>
      </c>
      <c r="J50" s="104" t="s">
        <v>255</v>
      </c>
      <c r="K50" s="82" t="s">
        <v>375</v>
      </c>
      <c r="L50" s="82" t="s">
        <v>534</v>
      </c>
      <c r="M50" s="82"/>
      <c r="N50" s="82"/>
      <c r="O50" s="82"/>
      <c r="P50" s="82"/>
      <c r="Q50" s="82"/>
      <c r="R50" s="82"/>
      <c r="S50" s="82">
        <v>10</v>
      </c>
      <c r="T50" s="82"/>
      <c r="U50" s="82"/>
      <c r="V50" s="82"/>
      <c r="Y50" s="82">
        <f t="shared" si="3"/>
        <v>10</v>
      </c>
      <c r="Z50" s="85"/>
      <c r="AM50" s="96"/>
      <c r="AN50" s="85">
        <v>65</v>
      </c>
    </row>
    <row r="51" spans="1:40" x14ac:dyDescent="0.55000000000000004">
      <c r="A51" s="82" t="s">
        <v>310</v>
      </c>
      <c r="B51" s="82" t="s">
        <v>314</v>
      </c>
      <c r="C51" s="82" t="s">
        <v>388</v>
      </c>
      <c r="D51" s="82" t="s">
        <v>416</v>
      </c>
      <c r="E51" s="85"/>
      <c r="F51" s="85"/>
      <c r="I51" s="100">
        <v>44282</v>
      </c>
      <c r="J51" s="104" t="s">
        <v>255</v>
      </c>
      <c r="K51" s="82" t="s">
        <v>375</v>
      </c>
      <c r="L51" s="82" t="s">
        <v>534</v>
      </c>
      <c r="M51" s="82"/>
      <c r="N51" s="82">
        <v>15</v>
      </c>
      <c r="O51" s="82"/>
      <c r="P51" s="82"/>
      <c r="Q51" s="82"/>
      <c r="R51" s="82"/>
      <c r="S51" s="82"/>
      <c r="T51" s="82"/>
      <c r="U51" s="82"/>
      <c r="V51" s="82"/>
      <c r="Y51" s="82">
        <f t="shared" si="3"/>
        <v>15</v>
      </c>
      <c r="Z51" s="85"/>
      <c r="AM51" s="96"/>
      <c r="AN51" s="85">
        <v>65</v>
      </c>
    </row>
    <row r="52" spans="1:40" x14ac:dyDescent="0.55000000000000004">
      <c r="A52" s="82" t="s">
        <v>310</v>
      </c>
      <c r="B52" s="82" t="s">
        <v>314</v>
      </c>
      <c r="C52" s="82" t="s">
        <v>334</v>
      </c>
      <c r="D52" s="82" t="s">
        <v>417</v>
      </c>
      <c r="E52" s="85"/>
      <c r="F52" s="85"/>
      <c r="I52" s="100">
        <v>44285</v>
      </c>
      <c r="J52" s="104" t="s">
        <v>255</v>
      </c>
      <c r="K52" s="82" t="s">
        <v>376</v>
      </c>
      <c r="L52" s="82" t="s">
        <v>534</v>
      </c>
      <c r="M52" s="82"/>
      <c r="N52" s="82">
        <v>10</v>
      </c>
      <c r="O52" s="82"/>
      <c r="P52" s="82"/>
      <c r="Q52" s="82"/>
      <c r="R52" s="82"/>
      <c r="S52" s="82"/>
      <c r="T52" s="82"/>
      <c r="U52" s="82"/>
      <c r="V52" s="82"/>
      <c r="Y52" s="82">
        <f t="shared" si="3"/>
        <v>10</v>
      </c>
      <c r="Z52" s="85"/>
      <c r="AM52" s="96"/>
      <c r="AN52" s="85">
        <v>65</v>
      </c>
    </row>
    <row r="53" spans="1:40" x14ac:dyDescent="0.55000000000000004">
      <c r="A53" s="82" t="s">
        <v>310</v>
      </c>
      <c r="B53" s="82" t="s">
        <v>312</v>
      </c>
      <c r="C53" s="82" t="s">
        <v>389</v>
      </c>
      <c r="D53" s="82" t="s">
        <v>418</v>
      </c>
      <c r="E53" s="85"/>
      <c r="F53" s="85"/>
      <c r="I53" s="100">
        <v>44287</v>
      </c>
      <c r="J53" s="104" t="s">
        <v>255</v>
      </c>
      <c r="K53" s="82" t="s">
        <v>377</v>
      </c>
      <c r="L53" s="82" t="s">
        <v>534</v>
      </c>
      <c r="M53" s="82"/>
      <c r="N53" s="82">
        <v>15</v>
      </c>
      <c r="O53" s="82"/>
      <c r="P53" s="82"/>
      <c r="Q53" s="82"/>
      <c r="R53" s="82"/>
      <c r="S53" s="82"/>
      <c r="T53" s="82"/>
      <c r="U53" s="82"/>
      <c r="V53" s="82"/>
      <c r="Y53" s="82">
        <f t="shared" si="3"/>
        <v>15</v>
      </c>
      <c r="Z53" s="85"/>
      <c r="AM53" s="96"/>
      <c r="AN53" s="85">
        <v>65</v>
      </c>
    </row>
    <row r="54" spans="1:40" x14ac:dyDescent="0.55000000000000004">
      <c r="A54" s="82" t="s">
        <v>310</v>
      </c>
      <c r="B54" s="82" t="s">
        <v>312</v>
      </c>
      <c r="C54" s="82" t="s">
        <v>390</v>
      </c>
      <c r="D54" s="82" t="s">
        <v>419</v>
      </c>
      <c r="E54" s="85"/>
      <c r="F54" s="85"/>
      <c r="I54" s="100">
        <v>44289</v>
      </c>
      <c r="J54" s="104" t="s">
        <v>255</v>
      </c>
      <c r="K54" s="82" t="s">
        <v>521</v>
      </c>
      <c r="L54" s="82" t="s">
        <v>534</v>
      </c>
      <c r="M54" s="82"/>
      <c r="N54" s="82">
        <v>10</v>
      </c>
      <c r="O54" s="82"/>
      <c r="P54" s="82"/>
      <c r="Q54" s="82"/>
      <c r="R54" s="82"/>
      <c r="S54" s="82"/>
      <c r="T54" s="82"/>
      <c r="U54" s="82"/>
      <c r="V54" s="82"/>
      <c r="Y54" s="82">
        <f t="shared" si="3"/>
        <v>10</v>
      </c>
      <c r="Z54" s="85"/>
      <c r="AM54" s="96"/>
      <c r="AN54" s="85">
        <v>65</v>
      </c>
    </row>
    <row r="55" spans="1:40" x14ac:dyDescent="0.55000000000000004">
      <c r="A55" s="82" t="s">
        <v>310</v>
      </c>
      <c r="B55" s="82" t="s">
        <v>312</v>
      </c>
      <c r="C55" s="82" t="s">
        <v>318</v>
      </c>
      <c r="D55" s="82" t="s">
        <v>350</v>
      </c>
      <c r="E55" s="85"/>
      <c r="F55" s="85"/>
      <c r="I55" s="100">
        <v>44291</v>
      </c>
      <c r="J55" s="104" t="s">
        <v>255</v>
      </c>
      <c r="K55" s="82" t="s">
        <v>375</v>
      </c>
      <c r="L55" s="82" t="s">
        <v>534</v>
      </c>
      <c r="M55" s="82"/>
      <c r="N55" s="82">
        <v>45</v>
      </c>
      <c r="O55" s="82"/>
      <c r="P55" s="82"/>
      <c r="Q55" s="82"/>
      <c r="R55" s="82"/>
      <c r="S55" s="82"/>
      <c r="T55" s="82"/>
      <c r="U55" s="82"/>
      <c r="V55" s="82"/>
      <c r="Y55" s="82">
        <f t="shared" si="3"/>
        <v>45</v>
      </c>
      <c r="Z55" s="85"/>
      <c r="AM55" s="96"/>
      <c r="AN55" s="85">
        <v>65</v>
      </c>
    </row>
    <row r="56" spans="1:40" x14ac:dyDescent="0.55000000000000004">
      <c r="A56" s="82" t="s">
        <v>310</v>
      </c>
      <c r="B56" s="82" t="s">
        <v>312</v>
      </c>
      <c r="C56" s="82" t="s">
        <v>326</v>
      </c>
      <c r="D56" s="82" t="s">
        <v>408</v>
      </c>
      <c r="E56" s="85"/>
      <c r="F56" s="85"/>
      <c r="I56" s="100">
        <v>44291</v>
      </c>
      <c r="J56" s="104" t="s">
        <v>255</v>
      </c>
      <c r="K56" s="82" t="s">
        <v>375</v>
      </c>
      <c r="L56" s="82" t="s">
        <v>534</v>
      </c>
      <c r="M56" s="82"/>
      <c r="N56" s="82">
        <v>5</v>
      </c>
      <c r="O56" s="82">
        <v>3</v>
      </c>
      <c r="P56" s="82"/>
      <c r="Q56" s="82"/>
      <c r="R56" s="82"/>
      <c r="S56" s="82"/>
      <c r="T56" s="82"/>
      <c r="U56" s="82"/>
      <c r="V56" s="82"/>
      <c r="Y56" s="82">
        <f t="shared" si="3"/>
        <v>8</v>
      </c>
      <c r="Z56" s="85"/>
      <c r="AM56" s="96"/>
      <c r="AN56" s="85">
        <v>65</v>
      </c>
    </row>
    <row r="57" spans="1:40" x14ac:dyDescent="0.55000000000000004">
      <c r="A57" s="82" t="s">
        <v>310</v>
      </c>
      <c r="B57" s="82" t="s">
        <v>311</v>
      </c>
      <c r="C57" s="82" t="s">
        <v>315</v>
      </c>
      <c r="D57" s="82" t="s">
        <v>420</v>
      </c>
      <c r="E57" s="85"/>
      <c r="F57" s="85"/>
      <c r="I57" s="100">
        <v>44292</v>
      </c>
      <c r="J57" s="104" t="s">
        <v>255</v>
      </c>
      <c r="K57" s="82" t="s">
        <v>377</v>
      </c>
      <c r="L57" s="82" t="s">
        <v>534</v>
      </c>
      <c r="M57" s="82"/>
      <c r="N57" s="82"/>
      <c r="O57" s="82">
        <v>8</v>
      </c>
      <c r="P57" s="82"/>
      <c r="Q57" s="82"/>
      <c r="R57" s="82">
        <v>2.5</v>
      </c>
      <c r="S57" s="82"/>
      <c r="T57" s="82"/>
      <c r="U57" s="82"/>
      <c r="V57" s="82"/>
      <c r="Y57" s="82">
        <f t="shared" si="3"/>
        <v>10.5</v>
      </c>
      <c r="Z57" s="85"/>
      <c r="AM57" s="96"/>
      <c r="AN57" s="85">
        <v>65</v>
      </c>
    </row>
    <row r="58" spans="1:40" x14ac:dyDescent="0.55000000000000004">
      <c r="A58" s="82" t="s">
        <v>310</v>
      </c>
      <c r="B58" s="82" t="s">
        <v>312</v>
      </c>
      <c r="C58" s="82" t="s">
        <v>329</v>
      </c>
      <c r="D58" s="82" t="s">
        <v>421</v>
      </c>
      <c r="E58" s="85"/>
      <c r="F58" s="85"/>
      <c r="I58" s="100">
        <v>44294</v>
      </c>
      <c r="J58" s="104" t="s">
        <v>255</v>
      </c>
      <c r="K58" s="82" t="s">
        <v>377</v>
      </c>
      <c r="L58" s="82" t="s">
        <v>534</v>
      </c>
      <c r="M58" s="82"/>
      <c r="N58" s="82">
        <v>10</v>
      </c>
      <c r="O58" s="82">
        <v>3</v>
      </c>
      <c r="P58" s="82"/>
      <c r="Q58" s="82">
        <v>1.5</v>
      </c>
      <c r="R58" s="82">
        <v>1.5</v>
      </c>
      <c r="S58" s="82"/>
      <c r="T58" s="82"/>
      <c r="U58" s="82"/>
      <c r="V58" s="82"/>
      <c r="Y58" s="82">
        <f t="shared" si="3"/>
        <v>16</v>
      </c>
      <c r="Z58" s="85"/>
      <c r="AM58" s="96"/>
      <c r="AN58" s="85">
        <v>65</v>
      </c>
    </row>
    <row r="59" spans="1:40" x14ac:dyDescent="0.55000000000000004">
      <c r="A59" s="82" t="s">
        <v>310</v>
      </c>
      <c r="B59" s="82" t="s">
        <v>312</v>
      </c>
      <c r="C59" s="82" t="s">
        <v>329</v>
      </c>
      <c r="D59" s="82" t="s">
        <v>421</v>
      </c>
      <c r="E59" s="85"/>
      <c r="F59" s="85"/>
      <c r="I59" s="100">
        <v>44294</v>
      </c>
      <c r="J59" s="104" t="s">
        <v>255</v>
      </c>
      <c r="K59" s="82" t="s">
        <v>376</v>
      </c>
      <c r="L59" s="82" t="s">
        <v>534</v>
      </c>
      <c r="M59" s="82"/>
      <c r="N59" s="82">
        <v>25</v>
      </c>
      <c r="O59" s="82">
        <v>5</v>
      </c>
      <c r="P59" s="82"/>
      <c r="Q59" s="82"/>
      <c r="R59" s="82"/>
      <c r="S59" s="82"/>
      <c r="T59" s="82"/>
      <c r="U59" s="82"/>
      <c r="V59" s="82"/>
      <c r="Y59" s="82">
        <f t="shared" si="3"/>
        <v>30</v>
      </c>
      <c r="Z59" s="85"/>
      <c r="AM59" s="96"/>
      <c r="AN59" s="85">
        <v>65</v>
      </c>
    </row>
    <row r="60" spans="1:40" x14ac:dyDescent="0.55000000000000004">
      <c r="A60" s="82" t="s">
        <v>310</v>
      </c>
      <c r="B60" s="82" t="s">
        <v>314</v>
      </c>
      <c r="C60" s="82" t="s">
        <v>388</v>
      </c>
      <c r="D60" s="82" t="s">
        <v>422</v>
      </c>
      <c r="E60" s="85"/>
      <c r="F60" s="85"/>
      <c r="I60" s="100">
        <v>44297</v>
      </c>
      <c r="J60" s="104" t="s">
        <v>255</v>
      </c>
      <c r="K60" s="82" t="s">
        <v>376</v>
      </c>
      <c r="L60" s="82" t="s">
        <v>534</v>
      </c>
      <c r="M60" s="82"/>
      <c r="N60" s="82">
        <v>10</v>
      </c>
      <c r="O60" s="82"/>
      <c r="P60" s="82"/>
      <c r="Q60" s="82"/>
      <c r="R60" s="82"/>
      <c r="S60" s="82"/>
      <c r="T60" s="82"/>
      <c r="U60" s="82"/>
      <c r="V60" s="82"/>
      <c r="Y60" s="82">
        <f t="shared" si="3"/>
        <v>10</v>
      </c>
      <c r="Z60" s="85"/>
      <c r="AM60" s="96"/>
      <c r="AN60" s="85">
        <v>65</v>
      </c>
    </row>
    <row r="61" spans="1:40" x14ac:dyDescent="0.55000000000000004">
      <c r="A61" s="82" t="s">
        <v>310</v>
      </c>
      <c r="B61" s="82" t="s">
        <v>312</v>
      </c>
      <c r="C61" s="82" t="s">
        <v>328</v>
      </c>
      <c r="D61" s="82" t="s">
        <v>423</v>
      </c>
      <c r="E61" s="85"/>
      <c r="F61" s="85"/>
      <c r="I61" s="100">
        <v>44299</v>
      </c>
      <c r="J61" s="104" t="s">
        <v>255</v>
      </c>
      <c r="K61" s="82" t="s">
        <v>377</v>
      </c>
      <c r="L61" s="82" t="s">
        <v>534</v>
      </c>
      <c r="M61" s="82"/>
      <c r="N61" s="82">
        <v>10</v>
      </c>
      <c r="O61" s="82"/>
      <c r="P61" s="82"/>
      <c r="Q61" s="82"/>
      <c r="R61" s="82"/>
      <c r="S61" s="82"/>
      <c r="T61" s="82"/>
      <c r="U61" s="82"/>
      <c r="V61" s="82"/>
      <c r="Y61" s="82">
        <f t="shared" si="3"/>
        <v>10</v>
      </c>
      <c r="Z61" s="85"/>
      <c r="AM61" s="96"/>
      <c r="AN61" s="85">
        <v>65</v>
      </c>
    </row>
    <row r="62" spans="1:40" x14ac:dyDescent="0.55000000000000004">
      <c r="A62" s="82" t="s">
        <v>310</v>
      </c>
      <c r="B62" s="82" t="s">
        <v>314</v>
      </c>
      <c r="C62" s="82" t="s">
        <v>330</v>
      </c>
      <c r="D62" s="82" t="s">
        <v>424</v>
      </c>
      <c r="E62" s="85"/>
      <c r="F62" s="85"/>
      <c r="I62" s="100">
        <v>44301</v>
      </c>
      <c r="J62" s="104" t="s">
        <v>255</v>
      </c>
      <c r="K62" s="82" t="s">
        <v>375</v>
      </c>
      <c r="L62" s="82" t="s">
        <v>534</v>
      </c>
      <c r="M62" s="82"/>
      <c r="N62" s="82">
        <v>15</v>
      </c>
      <c r="O62" s="82"/>
      <c r="P62" s="82"/>
      <c r="Q62" s="82"/>
      <c r="R62" s="82"/>
      <c r="S62" s="82"/>
      <c r="T62" s="82"/>
      <c r="U62" s="82"/>
      <c r="V62" s="82"/>
      <c r="Y62" s="82">
        <f t="shared" si="3"/>
        <v>15</v>
      </c>
      <c r="Z62" s="85"/>
      <c r="AM62" s="96"/>
      <c r="AN62" s="85">
        <v>65</v>
      </c>
    </row>
    <row r="63" spans="1:40" x14ac:dyDescent="0.55000000000000004">
      <c r="A63" s="82" t="s">
        <v>310</v>
      </c>
      <c r="B63" s="82" t="s">
        <v>314</v>
      </c>
      <c r="C63" s="82" t="s">
        <v>388</v>
      </c>
      <c r="D63" s="82" t="s">
        <v>425</v>
      </c>
      <c r="E63" s="85"/>
      <c r="F63" s="85"/>
      <c r="I63" s="100">
        <v>44301</v>
      </c>
      <c r="J63" s="104" t="s">
        <v>255</v>
      </c>
      <c r="K63" s="82" t="s">
        <v>375</v>
      </c>
      <c r="L63" s="82" t="s">
        <v>534</v>
      </c>
      <c r="M63" s="82"/>
      <c r="N63" s="82">
        <v>12</v>
      </c>
      <c r="O63" s="82"/>
      <c r="P63" s="82"/>
      <c r="Q63" s="82"/>
      <c r="R63" s="82"/>
      <c r="S63" s="82"/>
      <c r="T63" s="82"/>
      <c r="U63" s="82"/>
      <c r="V63" s="82"/>
      <c r="Y63" s="82">
        <f t="shared" si="3"/>
        <v>12</v>
      </c>
      <c r="Z63" s="85"/>
      <c r="AM63" s="96"/>
      <c r="AN63" s="85">
        <v>65</v>
      </c>
    </row>
    <row r="64" spans="1:40" x14ac:dyDescent="0.55000000000000004">
      <c r="A64" s="82" t="s">
        <v>310</v>
      </c>
      <c r="B64" s="82" t="s">
        <v>314</v>
      </c>
      <c r="C64" s="82" t="s">
        <v>391</v>
      </c>
      <c r="D64" s="82" t="s">
        <v>426</v>
      </c>
      <c r="E64" s="85"/>
      <c r="F64" s="85"/>
      <c r="I64" s="100">
        <v>44302</v>
      </c>
      <c r="J64" s="104" t="s">
        <v>255</v>
      </c>
      <c r="K64" s="82" t="s">
        <v>375</v>
      </c>
      <c r="L64" s="82" t="s">
        <v>534</v>
      </c>
      <c r="M64" s="82"/>
      <c r="N64" s="82">
        <v>10</v>
      </c>
      <c r="O64" s="82"/>
      <c r="P64" s="82"/>
      <c r="Q64" s="82"/>
      <c r="R64" s="82"/>
      <c r="S64" s="82"/>
      <c r="T64" s="82"/>
      <c r="U64" s="82"/>
      <c r="V64" s="82"/>
      <c r="Y64" s="82">
        <f t="shared" si="3"/>
        <v>10</v>
      </c>
      <c r="Z64" s="85"/>
      <c r="AM64" s="96"/>
      <c r="AN64" s="85">
        <v>65</v>
      </c>
    </row>
    <row r="65" spans="1:40" x14ac:dyDescent="0.55000000000000004">
      <c r="A65" s="82" t="s">
        <v>310</v>
      </c>
      <c r="B65" s="82" t="s">
        <v>312</v>
      </c>
      <c r="C65" s="82" t="s">
        <v>327</v>
      </c>
      <c r="D65" s="82" t="s">
        <v>427</v>
      </c>
      <c r="E65" s="85"/>
      <c r="F65" s="85"/>
      <c r="I65" s="100">
        <v>44303</v>
      </c>
      <c r="J65" s="104" t="s">
        <v>255</v>
      </c>
      <c r="K65" s="82" t="s">
        <v>375</v>
      </c>
      <c r="L65" s="82" t="s">
        <v>534</v>
      </c>
      <c r="M65" s="82"/>
      <c r="N65" s="82">
        <v>30</v>
      </c>
      <c r="O65" s="82">
        <v>3</v>
      </c>
      <c r="P65" s="82"/>
      <c r="Q65" s="82">
        <v>1.5</v>
      </c>
      <c r="R65" s="82">
        <v>1.5</v>
      </c>
      <c r="S65" s="82"/>
      <c r="T65" s="82"/>
      <c r="U65" s="82"/>
      <c r="V65" s="82"/>
      <c r="Y65" s="82">
        <f t="shared" si="3"/>
        <v>36</v>
      </c>
      <c r="Z65" s="85"/>
      <c r="AM65" s="96"/>
      <c r="AN65" s="85">
        <v>65</v>
      </c>
    </row>
    <row r="66" spans="1:40" x14ac:dyDescent="0.55000000000000004">
      <c r="A66" s="82" t="s">
        <v>310</v>
      </c>
      <c r="B66" s="82" t="s">
        <v>314</v>
      </c>
      <c r="C66" s="82" t="s">
        <v>388</v>
      </c>
      <c r="D66" s="82" t="s">
        <v>428</v>
      </c>
      <c r="E66" s="85"/>
      <c r="F66" s="85"/>
      <c r="I66" s="100">
        <v>44304</v>
      </c>
      <c r="J66" s="104" t="s">
        <v>255</v>
      </c>
      <c r="K66" s="82" t="s">
        <v>375</v>
      </c>
      <c r="L66" s="82" t="s">
        <v>534</v>
      </c>
      <c r="M66" s="82"/>
      <c r="N66" s="82">
        <v>10</v>
      </c>
      <c r="O66" s="82"/>
      <c r="P66" s="82"/>
      <c r="Q66" s="82"/>
      <c r="R66" s="82"/>
      <c r="S66" s="82"/>
      <c r="T66" s="82"/>
      <c r="U66" s="82"/>
      <c r="V66" s="82"/>
      <c r="Y66" s="82">
        <f t="shared" ref="Y66:Y128" si="4">SUM(N66:V66)</f>
        <v>10</v>
      </c>
      <c r="Z66" s="85"/>
      <c r="AM66" s="96"/>
      <c r="AN66" s="85">
        <v>65</v>
      </c>
    </row>
    <row r="67" spans="1:40" x14ac:dyDescent="0.55000000000000004">
      <c r="A67" s="82" t="s">
        <v>310</v>
      </c>
      <c r="B67" s="82" t="s">
        <v>314</v>
      </c>
      <c r="C67" s="82" t="s">
        <v>330</v>
      </c>
      <c r="D67" s="82" t="s">
        <v>429</v>
      </c>
      <c r="E67" s="85"/>
      <c r="F67" s="85"/>
      <c r="I67" s="100">
        <v>44306</v>
      </c>
      <c r="J67" s="104" t="s">
        <v>255</v>
      </c>
      <c r="K67" s="82" t="s">
        <v>375</v>
      </c>
      <c r="L67" s="82" t="s">
        <v>534</v>
      </c>
      <c r="M67" s="82"/>
      <c r="N67" s="82">
        <v>15</v>
      </c>
      <c r="O67" s="82"/>
      <c r="P67" s="82"/>
      <c r="Q67" s="82"/>
      <c r="R67" s="82"/>
      <c r="S67" s="82"/>
      <c r="T67" s="82"/>
      <c r="U67" s="82"/>
      <c r="V67" s="82"/>
      <c r="Y67" s="82">
        <f t="shared" si="4"/>
        <v>15</v>
      </c>
      <c r="Z67" s="85"/>
      <c r="AM67" s="96"/>
      <c r="AN67" s="85">
        <v>65</v>
      </c>
    </row>
    <row r="68" spans="1:40" x14ac:dyDescent="0.55000000000000004">
      <c r="A68" s="82" t="s">
        <v>310</v>
      </c>
      <c r="B68" s="82" t="s">
        <v>311</v>
      </c>
      <c r="C68" s="82" t="s">
        <v>315</v>
      </c>
      <c r="D68" s="82" t="s">
        <v>430</v>
      </c>
      <c r="E68" s="85"/>
      <c r="F68" s="85"/>
      <c r="I68" s="100">
        <v>44306</v>
      </c>
      <c r="J68" s="104" t="s">
        <v>255</v>
      </c>
      <c r="K68" s="82" t="s">
        <v>522</v>
      </c>
      <c r="L68" s="82" t="s">
        <v>534</v>
      </c>
      <c r="M68" s="82"/>
      <c r="N68" s="82"/>
      <c r="O68" s="82">
        <v>5</v>
      </c>
      <c r="P68" s="82"/>
      <c r="Q68" s="82"/>
      <c r="R68" s="82"/>
      <c r="S68" s="82"/>
      <c r="T68" s="82"/>
      <c r="U68" s="82"/>
      <c r="V68" s="82">
        <v>1</v>
      </c>
      <c r="Y68" s="82">
        <f t="shared" si="4"/>
        <v>6</v>
      </c>
      <c r="Z68" s="85"/>
      <c r="AM68" s="96"/>
      <c r="AN68" s="85">
        <v>65</v>
      </c>
    </row>
    <row r="69" spans="1:40" x14ac:dyDescent="0.55000000000000004">
      <c r="A69" s="82" t="s">
        <v>310</v>
      </c>
      <c r="B69" s="82" t="s">
        <v>311</v>
      </c>
      <c r="C69" s="82" t="s">
        <v>315</v>
      </c>
      <c r="D69" s="82" t="s">
        <v>431</v>
      </c>
      <c r="E69" s="85"/>
      <c r="F69" s="85"/>
      <c r="I69" s="100">
        <v>44307</v>
      </c>
      <c r="J69" s="104" t="s">
        <v>255</v>
      </c>
      <c r="K69" s="82" t="s">
        <v>522</v>
      </c>
      <c r="L69" s="82" t="s">
        <v>534</v>
      </c>
      <c r="M69" s="82"/>
      <c r="N69" s="82"/>
      <c r="O69" s="82">
        <v>5</v>
      </c>
      <c r="P69" s="82"/>
      <c r="Q69" s="82"/>
      <c r="R69" s="82"/>
      <c r="S69" s="82"/>
      <c r="T69" s="82"/>
      <c r="U69" s="82"/>
      <c r="V69" s="82">
        <v>1</v>
      </c>
      <c r="Y69" s="82">
        <f t="shared" si="4"/>
        <v>6</v>
      </c>
      <c r="Z69" s="85"/>
      <c r="AM69" s="96"/>
      <c r="AN69" s="85">
        <v>65</v>
      </c>
    </row>
    <row r="70" spans="1:40" x14ac:dyDescent="0.55000000000000004">
      <c r="A70" s="82" t="s">
        <v>310</v>
      </c>
      <c r="B70" s="82" t="s">
        <v>312</v>
      </c>
      <c r="C70" s="82" t="s">
        <v>389</v>
      </c>
      <c r="D70" s="82" t="s">
        <v>432</v>
      </c>
      <c r="E70" s="85"/>
      <c r="F70" s="85"/>
      <c r="I70" s="100">
        <v>44312</v>
      </c>
      <c r="J70" s="104" t="s">
        <v>255</v>
      </c>
      <c r="K70" s="82" t="s">
        <v>375</v>
      </c>
      <c r="L70" s="82" t="s">
        <v>534</v>
      </c>
      <c r="M70" s="82"/>
      <c r="N70" s="82">
        <v>30</v>
      </c>
      <c r="O70" s="82"/>
      <c r="P70" s="82"/>
      <c r="Q70" s="82"/>
      <c r="R70" s="82"/>
      <c r="S70" s="82"/>
      <c r="T70" s="82"/>
      <c r="U70" s="82"/>
      <c r="V70" s="82"/>
      <c r="Y70" s="82">
        <f t="shared" si="4"/>
        <v>30</v>
      </c>
      <c r="Z70" s="85"/>
      <c r="AM70" s="96"/>
      <c r="AN70" s="85">
        <v>65</v>
      </c>
    </row>
    <row r="71" spans="1:40" x14ac:dyDescent="0.55000000000000004">
      <c r="A71" s="82" t="s">
        <v>310</v>
      </c>
      <c r="B71" s="82" t="s">
        <v>312</v>
      </c>
      <c r="C71" s="82" t="s">
        <v>389</v>
      </c>
      <c r="D71" s="82" t="s">
        <v>432</v>
      </c>
      <c r="E71" s="85"/>
      <c r="F71" s="85"/>
      <c r="I71" s="100">
        <v>44312</v>
      </c>
      <c r="J71" s="104" t="s">
        <v>255</v>
      </c>
      <c r="K71" s="82" t="s">
        <v>376</v>
      </c>
      <c r="L71" s="82" t="s">
        <v>534</v>
      </c>
      <c r="M71" s="82"/>
      <c r="N71" s="82">
        <v>20</v>
      </c>
      <c r="O71" s="82"/>
      <c r="P71" s="82"/>
      <c r="Q71" s="82"/>
      <c r="R71" s="82"/>
      <c r="S71" s="82"/>
      <c r="T71" s="82"/>
      <c r="U71" s="82"/>
      <c r="V71" s="82"/>
      <c r="Y71" s="82">
        <f t="shared" si="4"/>
        <v>20</v>
      </c>
      <c r="Z71" s="85"/>
      <c r="AM71" s="96"/>
      <c r="AN71" s="85">
        <v>65</v>
      </c>
    </row>
    <row r="72" spans="1:40" x14ac:dyDescent="0.55000000000000004">
      <c r="A72" s="82" t="s">
        <v>310</v>
      </c>
      <c r="B72" s="82" t="s">
        <v>311</v>
      </c>
      <c r="C72" s="82" t="s">
        <v>315</v>
      </c>
      <c r="D72" s="82" t="s">
        <v>433</v>
      </c>
      <c r="E72" s="85"/>
      <c r="F72" s="85"/>
      <c r="I72" s="100">
        <v>44312</v>
      </c>
      <c r="J72" s="104" t="s">
        <v>255</v>
      </c>
      <c r="K72" s="82" t="s">
        <v>523</v>
      </c>
      <c r="L72" s="82" t="s">
        <v>534</v>
      </c>
      <c r="M72" s="82"/>
      <c r="N72" s="82">
        <v>15</v>
      </c>
      <c r="O72" s="82">
        <v>3</v>
      </c>
      <c r="P72" s="82">
        <v>4</v>
      </c>
      <c r="Q72" s="82"/>
      <c r="R72" s="82"/>
      <c r="S72" s="82"/>
      <c r="T72" s="82"/>
      <c r="U72" s="82"/>
      <c r="V72" s="82"/>
      <c r="Y72" s="82">
        <f t="shared" si="4"/>
        <v>22</v>
      </c>
      <c r="Z72" s="85"/>
      <c r="AM72" s="96"/>
      <c r="AN72" s="85">
        <v>65</v>
      </c>
    </row>
    <row r="73" spans="1:40" x14ac:dyDescent="0.55000000000000004">
      <c r="A73" s="82" t="s">
        <v>310</v>
      </c>
      <c r="B73" s="82" t="s">
        <v>314</v>
      </c>
      <c r="C73" s="82" t="s">
        <v>334</v>
      </c>
      <c r="D73" s="82" t="s">
        <v>434</v>
      </c>
      <c r="E73" s="85"/>
      <c r="F73" s="85"/>
      <c r="I73" s="100">
        <v>44313</v>
      </c>
      <c r="J73" s="104" t="s">
        <v>255</v>
      </c>
      <c r="K73" s="82" t="s">
        <v>375</v>
      </c>
      <c r="L73" s="82" t="s">
        <v>534</v>
      </c>
      <c r="M73" s="82"/>
      <c r="N73" s="82">
        <v>15</v>
      </c>
      <c r="O73" s="82"/>
      <c r="P73" s="82"/>
      <c r="Q73" s="82"/>
      <c r="R73" s="82"/>
      <c r="S73" s="82"/>
      <c r="T73" s="82"/>
      <c r="U73" s="82"/>
      <c r="V73" s="82"/>
      <c r="Y73" s="82">
        <f t="shared" si="4"/>
        <v>15</v>
      </c>
      <c r="Z73" s="85"/>
      <c r="AM73" s="96"/>
      <c r="AN73" s="85">
        <v>65</v>
      </c>
    </row>
    <row r="74" spans="1:40" x14ac:dyDescent="0.55000000000000004">
      <c r="A74" s="82" t="s">
        <v>310</v>
      </c>
      <c r="B74" s="82" t="s">
        <v>313</v>
      </c>
      <c r="C74" s="82" t="s">
        <v>324</v>
      </c>
      <c r="D74" s="82" t="s">
        <v>435</v>
      </c>
      <c r="E74" s="85"/>
      <c r="F74" s="85"/>
      <c r="I74" s="100">
        <v>44314</v>
      </c>
      <c r="J74" s="104" t="s">
        <v>255</v>
      </c>
      <c r="K74" s="82" t="s">
        <v>375</v>
      </c>
      <c r="L74" s="82" t="s">
        <v>534</v>
      </c>
      <c r="M74" s="82"/>
      <c r="N74" s="82">
        <v>10</v>
      </c>
      <c r="O74" s="82">
        <v>5</v>
      </c>
      <c r="P74" s="82"/>
      <c r="Q74" s="82">
        <v>3</v>
      </c>
      <c r="R74" s="82">
        <v>3</v>
      </c>
      <c r="S74" s="82"/>
      <c r="T74" s="82"/>
      <c r="U74" s="82"/>
      <c r="V74" s="82"/>
      <c r="Y74" s="82">
        <f t="shared" si="4"/>
        <v>21</v>
      </c>
      <c r="Z74" s="85"/>
      <c r="AN74" s="85">
        <v>65</v>
      </c>
    </row>
    <row r="75" spans="1:40" x14ac:dyDescent="0.55000000000000004">
      <c r="A75" s="82" t="s">
        <v>310</v>
      </c>
      <c r="B75" s="82" t="s">
        <v>314</v>
      </c>
      <c r="C75" s="82" t="s">
        <v>334</v>
      </c>
      <c r="D75" s="82" t="s">
        <v>436</v>
      </c>
      <c r="E75" s="85"/>
      <c r="F75" s="85"/>
      <c r="I75" s="100">
        <v>44315</v>
      </c>
      <c r="J75" s="104" t="s">
        <v>255</v>
      </c>
      <c r="K75" s="82" t="s">
        <v>375</v>
      </c>
      <c r="L75" s="82" t="s">
        <v>534</v>
      </c>
      <c r="M75" s="82"/>
      <c r="N75" s="82">
        <v>10</v>
      </c>
      <c r="O75" s="82"/>
      <c r="P75" s="82"/>
      <c r="Q75" s="82"/>
      <c r="R75" s="82"/>
      <c r="S75" s="82">
        <v>40</v>
      </c>
      <c r="T75" s="82"/>
      <c r="U75" s="82"/>
      <c r="V75" s="82"/>
      <c r="Y75" s="82">
        <f t="shared" si="4"/>
        <v>50</v>
      </c>
      <c r="Z75" s="85"/>
      <c r="AN75" s="85">
        <v>65</v>
      </c>
    </row>
    <row r="76" spans="1:40" x14ac:dyDescent="0.55000000000000004">
      <c r="A76" s="82" t="s">
        <v>310</v>
      </c>
      <c r="B76" s="82" t="s">
        <v>312</v>
      </c>
      <c r="C76" s="82" t="s">
        <v>325</v>
      </c>
      <c r="D76" s="82" t="s">
        <v>437</v>
      </c>
      <c r="E76" s="85"/>
      <c r="F76" s="85"/>
      <c r="I76" s="100">
        <v>44315</v>
      </c>
      <c r="J76" s="104" t="s">
        <v>255</v>
      </c>
      <c r="K76" s="82" t="s">
        <v>375</v>
      </c>
      <c r="L76" s="82" t="s">
        <v>534</v>
      </c>
      <c r="M76" s="82"/>
      <c r="N76" s="82">
        <v>10</v>
      </c>
      <c r="O76" s="82">
        <v>3</v>
      </c>
      <c r="P76" s="82"/>
      <c r="Q76" s="82">
        <v>1.5</v>
      </c>
      <c r="R76" s="82">
        <v>1.5</v>
      </c>
      <c r="S76" s="82"/>
      <c r="T76" s="82"/>
      <c r="U76" s="82"/>
      <c r="V76" s="82"/>
      <c r="Y76" s="82">
        <f t="shared" si="4"/>
        <v>16</v>
      </c>
      <c r="Z76" s="85"/>
      <c r="AN76" s="85">
        <v>65</v>
      </c>
    </row>
    <row r="77" spans="1:40" x14ac:dyDescent="0.55000000000000004">
      <c r="A77" s="82" t="s">
        <v>310</v>
      </c>
      <c r="B77" s="82" t="s">
        <v>314</v>
      </c>
      <c r="C77" s="82" t="s">
        <v>334</v>
      </c>
      <c r="D77" s="82" t="s">
        <v>368</v>
      </c>
      <c r="E77" s="85"/>
      <c r="F77" s="85"/>
      <c r="I77" s="100">
        <v>44315</v>
      </c>
      <c r="J77" s="104" t="s">
        <v>255</v>
      </c>
      <c r="K77" s="82" t="s">
        <v>375</v>
      </c>
      <c r="L77" s="82" t="s">
        <v>534</v>
      </c>
      <c r="M77" s="82"/>
      <c r="N77" s="82">
        <v>8</v>
      </c>
      <c r="O77" s="82"/>
      <c r="P77" s="82"/>
      <c r="Q77" s="82"/>
      <c r="R77" s="82"/>
      <c r="S77" s="82"/>
      <c r="T77" s="82"/>
      <c r="U77" s="82"/>
      <c r="V77" s="82"/>
      <c r="Y77" s="82">
        <f t="shared" si="4"/>
        <v>8</v>
      </c>
      <c r="Z77" s="85"/>
      <c r="AN77" s="85">
        <v>65</v>
      </c>
    </row>
    <row r="78" spans="1:40" x14ac:dyDescent="0.55000000000000004">
      <c r="A78" s="82" t="s">
        <v>310</v>
      </c>
      <c r="B78" s="82" t="s">
        <v>314</v>
      </c>
      <c r="C78" s="82" t="s">
        <v>330</v>
      </c>
      <c r="D78" s="82" t="s">
        <v>424</v>
      </c>
      <c r="E78" s="85"/>
      <c r="F78" s="85"/>
      <c r="I78" s="100">
        <v>44316</v>
      </c>
      <c r="J78" s="104" t="s">
        <v>255</v>
      </c>
      <c r="K78" s="82" t="s">
        <v>375</v>
      </c>
      <c r="L78" s="82" t="s">
        <v>534</v>
      </c>
      <c r="M78" s="82"/>
      <c r="N78" s="82">
        <v>5</v>
      </c>
      <c r="O78" s="82"/>
      <c r="P78" s="82"/>
      <c r="Q78" s="82"/>
      <c r="R78" s="82"/>
      <c r="S78" s="82"/>
      <c r="T78" s="82"/>
      <c r="U78" s="82"/>
      <c r="V78" s="82"/>
      <c r="Y78" s="82">
        <f t="shared" si="4"/>
        <v>5</v>
      </c>
      <c r="Z78" s="85"/>
      <c r="AN78" s="85">
        <v>65</v>
      </c>
    </row>
    <row r="79" spans="1:40" x14ac:dyDescent="0.55000000000000004">
      <c r="A79" s="82" t="s">
        <v>310</v>
      </c>
      <c r="B79" s="82" t="s">
        <v>311</v>
      </c>
      <c r="C79" s="82" t="s">
        <v>315</v>
      </c>
      <c r="D79" s="82" t="s">
        <v>438</v>
      </c>
      <c r="E79" s="85"/>
      <c r="F79" s="85"/>
      <c r="I79" s="100">
        <v>44321</v>
      </c>
      <c r="J79" s="104" t="s">
        <v>255</v>
      </c>
      <c r="K79" s="82" t="s">
        <v>524</v>
      </c>
      <c r="L79" s="82" t="s">
        <v>534</v>
      </c>
      <c r="M79" s="82"/>
      <c r="N79" s="82"/>
      <c r="O79" s="82">
        <v>8</v>
      </c>
      <c r="P79" s="82"/>
      <c r="Q79" s="82"/>
      <c r="R79" s="82">
        <v>3</v>
      </c>
      <c r="S79" s="82"/>
      <c r="T79" s="82"/>
      <c r="U79" s="82"/>
      <c r="V79" s="82"/>
      <c r="Y79" s="82">
        <f t="shared" si="4"/>
        <v>11</v>
      </c>
      <c r="Z79" s="85"/>
      <c r="AN79" s="85">
        <v>65</v>
      </c>
    </row>
    <row r="80" spans="1:40" x14ac:dyDescent="0.55000000000000004">
      <c r="A80" s="82" t="s">
        <v>310</v>
      </c>
      <c r="B80" s="82" t="s">
        <v>311</v>
      </c>
      <c r="C80" s="82" t="s">
        <v>315</v>
      </c>
      <c r="D80" s="82" t="s">
        <v>439</v>
      </c>
      <c r="E80" s="85"/>
      <c r="F80" s="85"/>
      <c r="I80" s="100">
        <v>44323</v>
      </c>
      <c r="J80" s="104" t="s">
        <v>255</v>
      </c>
      <c r="K80" s="82" t="s">
        <v>524</v>
      </c>
      <c r="L80" s="82" t="s">
        <v>534</v>
      </c>
      <c r="M80" s="82"/>
      <c r="N80" s="82"/>
      <c r="O80" s="82">
        <v>8</v>
      </c>
      <c r="P80" s="82"/>
      <c r="Q80" s="82"/>
      <c r="R80" s="82">
        <v>3</v>
      </c>
      <c r="S80" s="82"/>
      <c r="T80" s="82"/>
      <c r="U80" s="82"/>
      <c r="V80" s="82"/>
      <c r="Y80" s="82">
        <f t="shared" si="4"/>
        <v>11</v>
      </c>
      <c r="Z80" s="85"/>
      <c r="AN80" s="85">
        <v>65</v>
      </c>
    </row>
    <row r="81" spans="1:40" x14ac:dyDescent="0.55000000000000004">
      <c r="A81" s="82" t="s">
        <v>310</v>
      </c>
      <c r="B81" s="82" t="s">
        <v>312</v>
      </c>
      <c r="C81" s="82" t="s">
        <v>384</v>
      </c>
      <c r="D81" s="82" t="s">
        <v>440</v>
      </c>
      <c r="E81" s="85"/>
      <c r="F81" s="85"/>
      <c r="I81" s="100">
        <v>44320</v>
      </c>
      <c r="J81" s="104" t="s">
        <v>255</v>
      </c>
      <c r="K81" s="82" t="s">
        <v>525</v>
      </c>
      <c r="L81" s="82" t="s">
        <v>534</v>
      </c>
      <c r="M81" s="82"/>
      <c r="N81" s="82"/>
      <c r="O81" s="82"/>
      <c r="P81" s="82"/>
      <c r="Q81" s="82"/>
      <c r="R81" s="82"/>
      <c r="S81" s="82"/>
      <c r="T81" s="82"/>
      <c r="U81" s="82">
        <v>30</v>
      </c>
      <c r="V81" s="82"/>
      <c r="Y81" s="82">
        <f t="shared" si="4"/>
        <v>30</v>
      </c>
      <c r="Z81" s="85"/>
      <c r="AN81" s="85">
        <v>65</v>
      </c>
    </row>
    <row r="82" spans="1:40" x14ac:dyDescent="0.55000000000000004">
      <c r="A82" s="82" t="s">
        <v>310</v>
      </c>
      <c r="B82" s="82" t="s">
        <v>312</v>
      </c>
      <c r="C82" s="82" t="s">
        <v>392</v>
      </c>
      <c r="D82" s="82" t="s">
        <v>441</v>
      </c>
      <c r="E82" s="85"/>
      <c r="F82" s="85"/>
      <c r="I82" s="100">
        <v>44323</v>
      </c>
      <c r="J82" s="104" t="s">
        <v>255</v>
      </c>
      <c r="K82" s="82" t="s">
        <v>375</v>
      </c>
      <c r="L82" s="82" t="s">
        <v>534</v>
      </c>
      <c r="M82" s="82"/>
      <c r="N82" s="82">
        <v>30</v>
      </c>
      <c r="O82" s="82">
        <v>3</v>
      </c>
      <c r="P82" s="82"/>
      <c r="Q82" s="82">
        <v>1.5</v>
      </c>
      <c r="R82" s="82">
        <v>1.5</v>
      </c>
      <c r="S82" s="82"/>
      <c r="T82" s="82"/>
      <c r="U82" s="82"/>
      <c r="V82" s="82"/>
      <c r="Y82" s="82">
        <f t="shared" si="4"/>
        <v>36</v>
      </c>
      <c r="Z82" s="85"/>
      <c r="AN82" s="85">
        <v>65</v>
      </c>
    </row>
    <row r="83" spans="1:40" x14ac:dyDescent="0.55000000000000004">
      <c r="A83" s="82" t="s">
        <v>310</v>
      </c>
      <c r="B83" s="82" t="s">
        <v>312</v>
      </c>
      <c r="C83" s="82" t="s">
        <v>385</v>
      </c>
      <c r="D83" s="82" t="s">
        <v>442</v>
      </c>
      <c r="E83" s="85"/>
      <c r="F83" s="85"/>
      <c r="I83" s="100">
        <v>44324</v>
      </c>
      <c r="J83" s="104" t="s">
        <v>255</v>
      </c>
      <c r="K83" s="82" t="s">
        <v>375</v>
      </c>
      <c r="L83" s="82" t="s">
        <v>534</v>
      </c>
      <c r="M83" s="82"/>
      <c r="N83" s="82"/>
      <c r="O83" s="82"/>
      <c r="P83" s="82"/>
      <c r="Q83" s="82"/>
      <c r="R83" s="82"/>
      <c r="S83" s="82">
        <v>10</v>
      </c>
      <c r="T83" s="82"/>
      <c r="U83" s="82"/>
      <c r="V83" s="82"/>
      <c r="Y83" s="82">
        <f t="shared" si="4"/>
        <v>10</v>
      </c>
      <c r="Z83" s="85"/>
      <c r="AN83" s="85">
        <v>65</v>
      </c>
    </row>
    <row r="84" spans="1:40" x14ac:dyDescent="0.55000000000000004">
      <c r="A84" s="82" t="s">
        <v>310</v>
      </c>
      <c r="B84" s="82" t="s">
        <v>314</v>
      </c>
      <c r="C84" s="82" t="s">
        <v>330</v>
      </c>
      <c r="D84" s="82" t="s">
        <v>424</v>
      </c>
      <c r="E84" s="85"/>
      <c r="F84" s="85"/>
      <c r="I84" s="100">
        <v>44324</v>
      </c>
      <c r="J84" s="104" t="s">
        <v>255</v>
      </c>
      <c r="K84" s="82" t="s">
        <v>375</v>
      </c>
      <c r="L84" s="82" t="s">
        <v>534</v>
      </c>
      <c r="M84" s="82"/>
      <c r="N84" s="82">
        <v>10</v>
      </c>
      <c r="O84" s="82"/>
      <c r="P84" s="82"/>
      <c r="Q84" s="82"/>
      <c r="R84" s="82"/>
      <c r="S84" s="82"/>
      <c r="T84" s="82"/>
      <c r="U84" s="82"/>
      <c r="V84" s="82"/>
      <c r="Y84" s="82">
        <f t="shared" si="4"/>
        <v>10</v>
      </c>
      <c r="Z84" s="85"/>
      <c r="AN84" s="85">
        <v>65</v>
      </c>
    </row>
    <row r="85" spans="1:40" x14ac:dyDescent="0.55000000000000004">
      <c r="A85" s="82" t="s">
        <v>310</v>
      </c>
      <c r="B85" s="82" t="s">
        <v>314</v>
      </c>
      <c r="C85" s="82" t="s">
        <v>391</v>
      </c>
      <c r="D85" s="82" t="s">
        <v>443</v>
      </c>
      <c r="E85" s="85"/>
      <c r="F85" s="85"/>
      <c r="I85" s="100">
        <v>44326</v>
      </c>
      <c r="J85" s="104" t="s">
        <v>255</v>
      </c>
      <c r="K85" s="82" t="s">
        <v>375</v>
      </c>
      <c r="L85" s="82" t="s">
        <v>534</v>
      </c>
      <c r="M85" s="82"/>
      <c r="N85" s="82">
        <v>8</v>
      </c>
      <c r="O85" s="82"/>
      <c r="P85" s="82"/>
      <c r="Q85" s="82"/>
      <c r="R85" s="82"/>
      <c r="S85" s="82"/>
      <c r="T85" s="82"/>
      <c r="U85" s="82"/>
      <c r="V85" s="82"/>
      <c r="Y85" s="82">
        <f t="shared" si="4"/>
        <v>8</v>
      </c>
      <c r="Z85" s="85"/>
      <c r="AN85" s="85">
        <v>65</v>
      </c>
    </row>
    <row r="86" spans="1:40" x14ac:dyDescent="0.55000000000000004">
      <c r="A86" s="82" t="s">
        <v>310</v>
      </c>
      <c r="B86" s="82" t="s">
        <v>312</v>
      </c>
      <c r="C86" s="82" t="s">
        <v>321</v>
      </c>
      <c r="D86" s="82" t="s">
        <v>444</v>
      </c>
      <c r="E86" s="85"/>
      <c r="F86" s="85"/>
      <c r="I86" s="100">
        <v>44327</v>
      </c>
      <c r="J86" s="104" t="s">
        <v>255</v>
      </c>
      <c r="K86" s="82" t="s">
        <v>526</v>
      </c>
      <c r="L86" s="82" t="s">
        <v>534</v>
      </c>
      <c r="M86" s="82"/>
      <c r="N86" s="82">
        <v>17</v>
      </c>
      <c r="O86" s="82">
        <v>6</v>
      </c>
      <c r="P86" s="82"/>
      <c r="Q86" s="82"/>
      <c r="R86" s="82"/>
      <c r="S86" s="82"/>
      <c r="T86" s="82"/>
      <c r="U86" s="82"/>
      <c r="V86" s="82"/>
      <c r="Y86" s="82">
        <f t="shared" si="4"/>
        <v>23</v>
      </c>
      <c r="Z86" s="85"/>
      <c r="AN86" s="85">
        <v>65</v>
      </c>
    </row>
    <row r="87" spans="1:40" x14ac:dyDescent="0.55000000000000004">
      <c r="A87" s="82" t="s">
        <v>310</v>
      </c>
      <c r="B87" s="82" t="s">
        <v>314</v>
      </c>
      <c r="C87" s="82" t="s">
        <v>334</v>
      </c>
      <c r="D87" s="82" t="s">
        <v>368</v>
      </c>
      <c r="E87" s="85"/>
      <c r="F87" s="85"/>
      <c r="I87" s="100">
        <v>44327</v>
      </c>
      <c r="J87" s="104" t="s">
        <v>255</v>
      </c>
      <c r="K87" s="82" t="s">
        <v>375</v>
      </c>
      <c r="L87" s="82" t="s">
        <v>534</v>
      </c>
      <c r="M87" s="82"/>
      <c r="N87" s="82">
        <v>15</v>
      </c>
      <c r="O87" s="82"/>
      <c r="P87" s="82"/>
      <c r="Q87" s="82"/>
      <c r="R87" s="82"/>
      <c r="S87" s="82"/>
      <c r="T87" s="82"/>
      <c r="U87" s="82"/>
      <c r="V87" s="82"/>
      <c r="Y87" s="82">
        <f t="shared" si="4"/>
        <v>15</v>
      </c>
      <c r="Z87" s="85"/>
      <c r="AN87" s="85">
        <v>65</v>
      </c>
    </row>
    <row r="88" spans="1:40" x14ac:dyDescent="0.55000000000000004">
      <c r="A88" s="82" t="s">
        <v>310</v>
      </c>
      <c r="B88" s="82" t="s">
        <v>313</v>
      </c>
      <c r="C88" s="82" t="s">
        <v>386</v>
      </c>
      <c r="D88" s="82" t="s">
        <v>445</v>
      </c>
      <c r="E88" s="85"/>
      <c r="F88" s="85"/>
      <c r="I88" s="100">
        <v>44328</v>
      </c>
      <c r="J88" s="104" t="s">
        <v>255</v>
      </c>
      <c r="K88" s="82" t="s">
        <v>523</v>
      </c>
      <c r="L88" s="82" t="s">
        <v>534</v>
      </c>
      <c r="M88" s="82"/>
      <c r="N88" s="82"/>
      <c r="O88" s="82">
        <v>60</v>
      </c>
      <c r="P88" s="82"/>
      <c r="Q88" s="82"/>
      <c r="R88" s="82"/>
      <c r="S88" s="82"/>
      <c r="T88" s="82">
        <v>25</v>
      </c>
      <c r="U88" s="82"/>
      <c r="V88" s="82"/>
      <c r="Y88" s="82">
        <f t="shared" si="4"/>
        <v>85</v>
      </c>
      <c r="Z88" s="85"/>
      <c r="AN88" s="85">
        <v>65</v>
      </c>
    </row>
    <row r="89" spans="1:40" x14ac:dyDescent="0.55000000000000004">
      <c r="A89" s="82" t="s">
        <v>310</v>
      </c>
      <c r="B89" s="82" t="s">
        <v>311</v>
      </c>
      <c r="C89" s="82" t="s">
        <v>393</v>
      </c>
      <c r="D89" s="82" t="s">
        <v>446</v>
      </c>
      <c r="E89" s="85"/>
      <c r="F89" s="85"/>
      <c r="I89" s="100">
        <v>44330</v>
      </c>
      <c r="J89" s="104" t="s">
        <v>255</v>
      </c>
      <c r="K89" s="82" t="s">
        <v>524</v>
      </c>
      <c r="L89" s="82" t="s">
        <v>534</v>
      </c>
      <c r="M89" s="82"/>
      <c r="N89" s="82">
        <v>3</v>
      </c>
      <c r="O89" s="82">
        <v>7</v>
      </c>
      <c r="P89" s="82"/>
      <c r="Q89" s="82"/>
      <c r="R89" s="82">
        <v>2</v>
      </c>
      <c r="S89" s="82"/>
      <c r="T89" s="82"/>
      <c r="U89" s="82"/>
      <c r="V89" s="82"/>
      <c r="Y89" s="82">
        <f t="shared" si="4"/>
        <v>12</v>
      </c>
      <c r="Z89" s="85"/>
      <c r="AN89" s="85">
        <v>65</v>
      </c>
    </row>
    <row r="90" spans="1:40" x14ac:dyDescent="0.55000000000000004">
      <c r="A90" s="82" t="s">
        <v>310</v>
      </c>
      <c r="B90" s="82" t="s">
        <v>314</v>
      </c>
      <c r="C90" s="82" t="s">
        <v>334</v>
      </c>
      <c r="D90" s="82" t="s">
        <v>447</v>
      </c>
      <c r="E90" s="85"/>
      <c r="F90" s="85"/>
      <c r="I90" s="100">
        <v>44330</v>
      </c>
      <c r="J90" s="104" t="s">
        <v>255</v>
      </c>
      <c r="K90" s="82" t="s">
        <v>375</v>
      </c>
      <c r="L90" s="82" t="s">
        <v>534</v>
      </c>
      <c r="M90" s="82"/>
      <c r="N90" s="82">
        <v>10</v>
      </c>
      <c r="O90" s="82"/>
      <c r="P90" s="82"/>
      <c r="Q90" s="82"/>
      <c r="R90" s="82"/>
      <c r="S90" s="82"/>
      <c r="T90" s="82"/>
      <c r="U90" s="82"/>
      <c r="V90" s="82"/>
      <c r="Y90" s="82">
        <f t="shared" si="4"/>
        <v>10</v>
      </c>
      <c r="Z90" s="85"/>
      <c r="AN90" s="85">
        <v>65</v>
      </c>
    </row>
    <row r="91" spans="1:40" x14ac:dyDescent="0.55000000000000004">
      <c r="A91" s="82" t="s">
        <v>310</v>
      </c>
      <c r="B91" s="82" t="s">
        <v>314</v>
      </c>
      <c r="C91" s="82" t="s">
        <v>334</v>
      </c>
      <c r="D91" s="82" t="s">
        <v>448</v>
      </c>
      <c r="E91" s="85"/>
      <c r="F91" s="85"/>
      <c r="I91" s="100">
        <v>44331</v>
      </c>
      <c r="J91" s="104" t="s">
        <v>255</v>
      </c>
      <c r="K91" s="82" t="s">
        <v>375</v>
      </c>
      <c r="L91" s="82" t="s">
        <v>534</v>
      </c>
      <c r="M91" s="82"/>
      <c r="N91" s="82">
        <v>10</v>
      </c>
      <c r="O91" s="82"/>
      <c r="P91" s="82"/>
      <c r="Q91" s="82"/>
      <c r="R91" s="82"/>
      <c r="S91" s="82"/>
      <c r="T91" s="82"/>
      <c r="U91" s="82"/>
      <c r="V91" s="82"/>
      <c r="Y91" s="82">
        <f t="shared" si="4"/>
        <v>10</v>
      </c>
      <c r="Z91" s="85"/>
      <c r="AN91" s="85">
        <v>65</v>
      </c>
    </row>
    <row r="92" spans="1:40" x14ac:dyDescent="0.55000000000000004">
      <c r="A92" s="82" t="s">
        <v>310</v>
      </c>
      <c r="B92" s="82" t="s">
        <v>314</v>
      </c>
      <c r="C92" s="82" t="s">
        <v>334</v>
      </c>
      <c r="D92" s="82" t="s">
        <v>449</v>
      </c>
      <c r="E92" s="85"/>
      <c r="F92" s="85"/>
      <c r="I92" s="100">
        <v>44331</v>
      </c>
      <c r="J92" s="104" t="s">
        <v>255</v>
      </c>
      <c r="K92" s="82" t="s">
        <v>375</v>
      </c>
      <c r="L92" s="82" t="s">
        <v>534</v>
      </c>
      <c r="M92" s="82"/>
      <c r="N92" s="82">
        <v>10</v>
      </c>
      <c r="O92" s="82"/>
      <c r="P92" s="82"/>
      <c r="Q92" s="82"/>
      <c r="R92" s="82"/>
      <c r="S92" s="82"/>
      <c r="T92" s="82"/>
      <c r="U92" s="82"/>
      <c r="V92" s="82"/>
      <c r="Y92" s="82">
        <f t="shared" si="4"/>
        <v>10</v>
      </c>
      <c r="Z92" s="85"/>
      <c r="AN92" s="85">
        <v>65</v>
      </c>
    </row>
    <row r="93" spans="1:40" x14ac:dyDescent="0.55000000000000004">
      <c r="A93" s="82" t="s">
        <v>310</v>
      </c>
      <c r="B93" s="82" t="s">
        <v>314</v>
      </c>
      <c r="C93" s="82" t="s">
        <v>334</v>
      </c>
      <c r="D93" s="82" t="s">
        <v>450</v>
      </c>
      <c r="E93" s="85"/>
      <c r="F93" s="85"/>
      <c r="I93" s="100">
        <v>44331</v>
      </c>
      <c r="J93" s="104" t="s">
        <v>255</v>
      </c>
      <c r="K93" s="82" t="s">
        <v>375</v>
      </c>
      <c r="L93" s="82" t="s">
        <v>534</v>
      </c>
      <c r="M93" s="82"/>
      <c r="N93" s="82">
        <v>10</v>
      </c>
      <c r="O93" s="82"/>
      <c r="P93" s="82"/>
      <c r="Q93" s="82"/>
      <c r="R93" s="82"/>
      <c r="S93" s="82"/>
      <c r="T93" s="82"/>
      <c r="U93" s="82"/>
      <c r="V93" s="82"/>
      <c r="Y93" s="82">
        <f t="shared" si="4"/>
        <v>10</v>
      </c>
      <c r="Z93" s="85"/>
      <c r="AN93" s="85">
        <v>65</v>
      </c>
    </row>
    <row r="94" spans="1:40" x14ac:dyDescent="0.55000000000000004">
      <c r="A94" s="82" t="s">
        <v>310</v>
      </c>
      <c r="B94" s="82" t="s">
        <v>314</v>
      </c>
      <c r="C94" s="82" t="s">
        <v>394</v>
      </c>
      <c r="D94" s="82" t="s">
        <v>451</v>
      </c>
      <c r="E94" s="85"/>
      <c r="F94" s="85"/>
      <c r="I94" s="100">
        <v>44331</v>
      </c>
      <c r="J94" s="104" t="s">
        <v>255</v>
      </c>
      <c r="K94" s="82" t="s">
        <v>375</v>
      </c>
      <c r="L94" s="82" t="s">
        <v>534</v>
      </c>
      <c r="M94" s="82"/>
      <c r="N94" s="82">
        <v>15</v>
      </c>
      <c r="O94" s="82"/>
      <c r="P94" s="82"/>
      <c r="Q94" s="82"/>
      <c r="R94" s="82"/>
      <c r="S94" s="82"/>
      <c r="T94" s="82"/>
      <c r="U94" s="82"/>
      <c r="V94" s="82"/>
      <c r="Y94" s="82">
        <f t="shared" si="4"/>
        <v>15</v>
      </c>
      <c r="Z94" s="85"/>
      <c r="AN94" s="85">
        <v>65</v>
      </c>
    </row>
    <row r="95" spans="1:40" x14ac:dyDescent="0.55000000000000004">
      <c r="A95" s="82" t="s">
        <v>310</v>
      </c>
      <c r="B95" s="82" t="s">
        <v>314</v>
      </c>
      <c r="C95" s="82" t="s">
        <v>334</v>
      </c>
      <c r="D95" s="82" t="s">
        <v>452</v>
      </c>
      <c r="E95" s="85"/>
      <c r="F95" s="85"/>
      <c r="I95" s="100">
        <v>44333</v>
      </c>
      <c r="J95" s="104" t="s">
        <v>255</v>
      </c>
      <c r="K95" s="82" t="s">
        <v>375</v>
      </c>
      <c r="L95" s="82" t="s">
        <v>534</v>
      </c>
      <c r="M95" s="82"/>
      <c r="N95" s="82">
        <v>10</v>
      </c>
      <c r="O95" s="82"/>
      <c r="P95" s="82"/>
      <c r="Q95" s="82"/>
      <c r="R95" s="82"/>
      <c r="S95" s="82"/>
      <c r="T95" s="82"/>
      <c r="U95" s="82"/>
      <c r="V95" s="82"/>
      <c r="Y95" s="82">
        <f t="shared" si="4"/>
        <v>10</v>
      </c>
      <c r="Z95" s="85"/>
      <c r="AN95" s="85">
        <v>65</v>
      </c>
    </row>
    <row r="96" spans="1:40" x14ac:dyDescent="0.55000000000000004">
      <c r="A96" s="82" t="s">
        <v>310</v>
      </c>
      <c r="B96" s="82" t="s">
        <v>314</v>
      </c>
      <c r="C96" s="82" t="s">
        <v>330</v>
      </c>
      <c r="D96" s="82" t="s">
        <v>453</v>
      </c>
      <c r="E96" s="85"/>
      <c r="F96" s="85"/>
      <c r="I96" s="100">
        <v>44335</v>
      </c>
      <c r="J96" s="104" t="s">
        <v>255</v>
      </c>
      <c r="K96" s="82" t="s">
        <v>375</v>
      </c>
      <c r="L96" s="82" t="s">
        <v>534</v>
      </c>
      <c r="M96" s="82"/>
      <c r="N96" s="82">
        <v>10</v>
      </c>
      <c r="O96" s="82"/>
      <c r="P96" s="82"/>
      <c r="Q96" s="82"/>
      <c r="R96" s="82"/>
      <c r="S96" s="82"/>
      <c r="T96" s="82"/>
      <c r="U96" s="82"/>
      <c r="V96" s="82"/>
      <c r="Y96" s="82">
        <f t="shared" si="4"/>
        <v>10</v>
      </c>
      <c r="Z96" s="85"/>
      <c r="AN96" s="85">
        <v>65</v>
      </c>
    </row>
    <row r="97" spans="1:40" x14ac:dyDescent="0.55000000000000004">
      <c r="A97" s="82" t="s">
        <v>310</v>
      </c>
      <c r="B97" s="82" t="s">
        <v>314</v>
      </c>
      <c r="C97" s="82" t="s">
        <v>334</v>
      </c>
      <c r="D97" s="82" t="s">
        <v>454</v>
      </c>
      <c r="E97" s="85"/>
      <c r="F97" s="85"/>
      <c r="I97" s="100">
        <v>44336</v>
      </c>
      <c r="J97" s="104" t="s">
        <v>255</v>
      </c>
      <c r="K97" s="82" t="s">
        <v>375</v>
      </c>
      <c r="L97" s="82" t="s">
        <v>534</v>
      </c>
      <c r="M97" s="82"/>
      <c r="N97" s="82">
        <v>10</v>
      </c>
      <c r="O97" s="82">
        <v>3</v>
      </c>
      <c r="P97" s="82"/>
      <c r="Q97" s="82">
        <v>1.5</v>
      </c>
      <c r="R97" s="82">
        <v>1.5</v>
      </c>
      <c r="S97" s="82"/>
      <c r="T97" s="82"/>
      <c r="U97" s="82"/>
      <c r="V97" s="82"/>
      <c r="Y97" s="82">
        <f t="shared" si="4"/>
        <v>16</v>
      </c>
      <c r="Z97" s="85"/>
      <c r="AN97" s="85">
        <v>65</v>
      </c>
    </row>
    <row r="98" spans="1:40" x14ac:dyDescent="0.55000000000000004">
      <c r="A98" s="82" t="s">
        <v>310</v>
      </c>
      <c r="B98" s="82" t="s">
        <v>314</v>
      </c>
      <c r="C98" s="82" t="s">
        <v>395</v>
      </c>
      <c r="D98" s="82" t="s">
        <v>455</v>
      </c>
      <c r="E98" s="85"/>
      <c r="F98" s="85"/>
      <c r="I98" s="100">
        <v>44336</v>
      </c>
      <c r="J98" s="104" t="s">
        <v>255</v>
      </c>
      <c r="K98" s="82" t="s">
        <v>375</v>
      </c>
      <c r="L98" s="82" t="s">
        <v>534</v>
      </c>
      <c r="M98" s="82"/>
      <c r="N98" s="82">
        <v>10</v>
      </c>
      <c r="O98" s="82"/>
      <c r="P98" s="82"/>
      <c r="Q98" s="82"/>
      <c r="R98" s="82"/>
      <c r="S98" s="82">
        <v>10</v>
      </c>
      <c r="T98" s="82"/>
      <c r="U98" s="82"/>
      <c r="V98" s="82"/>
      <c r="Y98" s="82">
        <f t="shared" si="4"/>
        <v>20</v>
      </c>
      <c r="Z98" s="85"/>
      <c r="AN98" s="85">
        <v>65</v>
      </c>
    </row>
    <row r="99" spans="1:40" x14ac:dyDescent="0.55000000000000004">
      <c r="A99" s="82" t="s">
        <v>310</v>
      </c>
      <c r="B99" s="82" t="s">
        <v>314</v>
      </c>
      <c r="C99" s="82" t="s">
        <v>334</v>
      </c>
      <c r="D99" s="82" t="s">
        <v>456</v>
      </c>
      <c r="E99" s="85"/>
      <c r="F99" s="85"/>
      <c r="I99" s="100">
        <v>44337</v>
      </c>
      <c r="J99" s="104" t="s">
        <v>255</v>
      </c>
      <c r="K99" s="82" t="s">
        <v>375</v>
      </c>
      <c r="L99" s="82" t="s">
        <v>534</v>
      </c>
      <c r="M99" s="82"/>
      <c r="N99" s="82">
        <v>10</v>
      </c>
      <c r="O99" s="82"/>
      <c r="P99" s="82"/>
      <c r="Q99" s="82"/>
      <c r="R99" s="82"/>
      <c r="S99" s="82"/>
      <c r="T99" s="82"/>
      <c r="U99" s="82"/>
      <c r="V99" s="82"/>
      <c r="Y99" s="82">
        <f t="shared" si="4"/>
        <v>10</v>
      </c>
      <c r="Z99" s="85"/>
      <c r="AN99" s="85">
        <v>65</v>
      </c>
    </row>
    <row r="100" spans="1:40" x14ac:dyDescent="0.55000000000000004">
      <c r="A100" s="82" t="s">
        <v>310</v>
      </c>
      <c r="B100" s="82" t="s">
        <v>314</v>
      </c>
      <c r="C100" s="82" t="s">
        <v>388</v>
      </c>
      <c r="D100" s="82" t="s">
        <v>457</v>
      </c>
      <c r="E100" s="85"/>
      <c r="F100" s="85"/>
      <c r="I100" s="100">
        <v>44337</v>
      </c>
      <c r="J100" s="104" t="s">
        <v>255</v>
      </c>
      <c r="K100" s="82" t="s">
        <v>375</v>
      </c>
      <c r="L100" s="82" t="s">
        <v>534</v>
      </c>
      <c r="M100" s="82"/>
      <c r="N100" s="82">
        <v>10</v>
      </c>
      <c r="O100" s="82"/>
      <c r="P100" s="82"/>
      <c r="Q100" s="82"/>
      <c r="R100" s="82"/>
      <c r="S100" s="82"/>
      <c r="T100" s="82"/>
      <c r="U100" s="82"/>
      <c r="V100" s="82"/>
      <c r="Y100" s="82">
        <f t="shared" si="4"/>
        <v>10</v>
      </c>
      <c r="Z100" s="85"/>
      <c r="AN100" s="85">
        <v>65</v>
      </c>
    </row>
    <row r="101" spans="1:40" x14ac:dyDescent="0.55000000000000004">
      <c r="A101" s="82" t="s">
        <v>310</v>
      </c>
      <c r="B101" s="82" t="s">
        <v>311</v>
      </c>
      <c r="C101" s="82" t="s">
        <v>315</v>
      </c>
      <c r="D101" s="82" t="s">
        <v>458</v>
      </c>
      <c r="E101" s="85"/>
      <c r="F101" s="85"/>
      <c r="I101" s="100">
        <v>44337</v>
      </c>
      <c r="J101" s="104" t="s">
        <v>255</v>
      </c>
      <c r="K101" s="82" t="s">
        <v>523</v>
      </c>
      <c r="L101" s="82" t="s">
        <v>534</v>
      </c>
      <c r="M101" s="82"/>
      <c r="N101" s="82">
        <v>25</v>
      </c>
      <c r="O101" s="82">
        <v>5</v>
      </c>
      <c r="P101" s="82"/>
      <c r="Q101" s="82"/>
      <c r="R101" s="82"/>
      <c r="S101" s="82"/>
      <c r="T101" s="82"/>
      <c r="U101" s="82">
        <v>18</v>
      </c>
      <c r="V101" s="82"/>
      <c r="Y101" s="82">
        <f t="shared" si="4"/>
        <v>48</v>
      </c>
      <c r="Z101" s="85"/>
      <c r="AN101" s="85">
        <v>65</v>
      </c>
    </row>
    <row r="102" spans="1:40" x14ac:dyDescent="0.55000000000000004">
      <c r="A102" s="82" t="s">
        <v>310</v>
      </c>
      <c r="B102" s="82" t="s">
        <v>312</v>
      </c>
      <c r="C102" s="82" t="s">
        <v>384</v>
      </c>
      <c r="D102" s="82" t="s">
        <v>407</v>
      </c>
      <c r="E102" s="85"/>
      <c r="F102" s="85"/>
      <c r="I102" s="100">
        <v>44338</v>
      </c>
      <c r="J102" s="104" t="s">
        <v>255</v>
      </c>
      <c r="K102" s="82" t="s">
        <v>375</v>
      </c>
      <c r="L102" s="82" t="s">
        <v>534</v>
      </c>
      <c r="M102" s="82"/>
      <c r="N102" s="82">
        <v>30</v>
      </c>
      <c r="O102" s="82">
        <v>3</v>
      </c>
      <c r="P102" s="82"/>
      <c r="Q102" s="82">
        <v>1.5</v>
      </c>
      <c r="R102" s="82">
        <v>1.5</v>
      </c>
      <c r="S102" s="82"/>
      <c r="T102" s="82"/>
      <c r="U102" s="82"/>
      <c r="V102" s="82"/>
      <c r="Y102" s="82">
        <f t="shared" si="4"/>
        <v>36</v>
      </c>
      <c r="Z102" s="85"/>
      <c r="AN102" s="85">
        <v>65</v>
      </c>
    </row>
    <row r="103" spans="1:40" x14ac:dyDescent="0.55000000000000004">
      <c r="A103" s="82" t="s">
        <v>310</v>
      </c>
      <c r="B103" s="82" t="s">
        <v>312</v>
      </c>
      <c r="C103" s="82" t="s">
        <v>389</v>
      </c>
      <c r="D103" s="82" t="s">
        <v>459</v>
      </c>
      <c r="E103" s="85"/>
      <c r="F103" s="85"/>
      <c r="I103" s="100">
        <v>44333</v>
      </c>
      <c r="J103" s="104" t="s">
        <v>255</v>
      </c>
      <c r="K103" s="82" t="s">
        <v>524</v>
      </c>
      <c r="L103" s="82" t="s">
        <v>534</v>
      </c>
      <c r="M103" s="82"/>
      <c r="N103" s="82">
        <v>15</v>
      </c>
      <c r="O103" s="82"/>
      <c r="P103" s="82"/>
      <c r="Q103" s="82"/>
      <c r="R103" s="82"/>
      <c r="S103" s="82"/>
      <c r="T103" s="82"/>
      <c r="U103" s="82"/>
      <c r="V103" s="82"/>
      <c r="Y103" s="82">
        <f t="shared" si="4"/>
        <v>15</v>
      </c>
      <c r="Z103" s="85"/>
      <c r="AN103" s="85">
        <v>65</v>
      </c>
    </row>
    <row r="104" spans="1:40" x14ac:dyDescent="0.55000000000000004">
      <c r="A104" s="82" t="s">
        <v>310</v>
      </c>
      <c r="B104" s="82" t="s">
        <v>312</v>
      </c>
      <c r="C104" s="82" t="s">
        <v>396</v>
      </c>
      <c r="D104" s="82" t="s">
        <v>460</v>
      </c>
      <c r="E104" s="85"/>
      <c r="F104" s="85"/>
      <c r="I104" s="100">
        <v>44342</v>
      </c>
      <c r="J104" s="104" t="s">
        <v>255</v>
      </c>
      <c r="K104" s="82" t="s">
        <v>375</v>
      </c>
      <c r="L104" s="82" t="s">
        <v>534</v>
      </c>
      <c r="M104" s="82"/>
      <c r="N104" s="82">
        <v>30</v>
      </c>
      <c r="O104" s="82">
        <v>3</v>
      </c>
      <c r="P104" s="82"/>
      <c r="Q104" s="82">
        <v>2</v>
      </c>
      <c r="R104" s="82">
        <v>2</v>
      </c>
      <c r="S104" s="82"/>
      <c r="T104" s="82"/>
      <c r="U104" s="82"/>
      <c r="V104" s="82"/>
      <c r="Y104" s="82">
        <f t="shared" si="4"/>
        <v>37</v>
      </c>
      <c r="Z104" s="85"/>
      <c r="AN104" s="85">
        <v>65</v>
      </c>
    </row>
    <row r="105" spans="1:40" x14ac:dyDescent="0.55000000000000004">
      <c r="A105" s="82" t="s">
        <v>310</v>
      </c>
      <c r="B105" s="82" t="s">
        <v>312</v>
      </c>
      <c r="C105" s="82" t="s">
        <v>396</v>
      </c>
      <c r="D105" s="82" t="s">
        <v>460</v>
      </c>
      <c r="E105" s="85"/>
      <c r="F105" s="85"/>
      <c r="I105" s="100">
        <v>44342</v>
      </c>
      <c r="J105" s="104" t="s">
        <v>255</v>
      </c>
      <c r="K105" s="82" t="s">
        <v>523</v>
      </c>
      <c r="L105" s="82" t="s">
        <v>534</v>
      </c>
      <c r="M105" s="82"/>
      <c r="N105" s="82">
        <v>30</v>
      </c>
      <c r="O105" s="82"/>
      <c r="P105" s="82"/>
      <c r="Q105" s="82"/>
      <c r="R105" s="82"/>
      <c r="S105" s="82"/>
      <c r="T105" s="82"/>
      <c r="U105" s="82"/>
      <c r="V105" s="82"/>
      <c r="Y105" s="82">
        <f t="shared" si="4"/>
        <v>30</v>
      </c>
      <c r="Z105" s="85"/>
      <c r="AN105" s="85">
        <v>65</v>
      </c>
    </row>
    <row r="106" spans="1:40" x14ac:dyDescent="0.55000000000000004">
      <c r="A106" s="82" t="s">
        <v>310</v>
      </c>
      <c r="B106" s="82" t="s">
        <v>312</v>
      </c>
      <c r="C106" s="82" t="s">
        <v>331</v>
      </c>
      <c r="D106" s="82" t="s">
        <v>461</v>
      </c>
      <c r="E106" s="85"/>
      <c r="F106" s="85"/>
      <c r="I106" s="100">
        <v>44344</v>
      </c>
      <c r="J106" s="104" t="s">
        <v>255</v>
      </c>
      <c r="K106" s="82" t="s">
        <v>524</v>
      </c>
      <c r="L106" s="82" t="s">
        <v>534</v>
      </c>
      <c r="M106" s="82"/>
      <c r="N106" s="82">
        <v>10</v>
      </c>
      <c r="O106" s="82"/>
      <c r="P106" s="82"/>
      <c r="Q106" s="82"/>
      <c r="R106" s="82"/>
      <c r="S106" s="82"/>
      <c r="T106" s="82"/>
      <c r="U106" s="82"/>
      <c r="V106" s="82"/>
      <c r="Y106" s="82">
        <f t="shared" si="4"/>
        <v>10</v>
      </c>
      <c r="Z106" s="85"/>
      <c r="AN106" s="85">
        <v>65</v>
      </c>
    </row>
    <row r="107" spans="1:40" x14ac:dyDescent="0.55000000000000004">
      <c r="A107" s="82" t="s">
        <v>310</v>
      </c>
      <c r="B107" s="82" t="s">
        <v>312</v>
      </c>
      <c r="C107" s="82" t="s">
        <v>331</v>
      </c>
      <c r="D107" s="82" t="s">
        <v>461</v>
      </c>
      <c r="E107" s="85"/>
      <c r="F107" s="85"/>
      <c r="I107" s="100">
        <v>44344</v>
      </c>
      <c r="J107" s="104" t="s">
        <v>255</v>
      </c>
      <c r="K107" s="82" t="s">
        <v>523</v>
      </c>
      <c r="L107" s="82" t="s">
        <v>534</v>
      </c>
      <c r="M107" s="82"/>
      <c r="N107" s="82">
        <v>20</v>
      </c>
      <c r="O107" s="82"/>
      <c r="P107" s="82"/>
      <c r="Q107" s="82"/>
      <c r="R107" s="82"/>
      <c r="S107" s="82"/>
      <c r="T107" s="82"/>
      <c r="U107" s="82"/>
      <c r="V107" s="82"/>
      <c r="Y107" s="82">
        <f t="shared" si="4"/>
        <v>20</v>
      </c>
      <c r="Z107" s="85"/>
      <c r="AN107" s="85">
        <v>65</v>
      </c>
    </row>
    <row r="108" spans="1:40" x14ac:dyDescent="0.55000000000000004">
      <c r="A108" s="82" t="s">
        <v>310</v>
      </c>
      <c r="B108" s="82" t="s">
        <v>312</v>
      </c>
      <c r="C108" s="82" t="s">
        <v>331</v>
      </c>
      <c r="D108" s="82" t="s">
        <v>362</v>
      </c>
      <c r="E108" s="85"/>
      <c r="F108" s="85"/>
      <c r="I108" s="100">
        <v>44344</v>
      </c>
      <c r="J108" s="104" t="s">
        <v>255</v>
      </c>
      <c r="K108" s="82" t="s">
        <v>375</v>
      </c>
      <c r="L108" s="82" t="s">
        <v>534</v>
      </c>
      <c r="M108" s="82"/>
      <c r="N108" s="82">
        <v>30</v>
      </c>
      <c r="O108" s="82">
        <v>3</v>
      </c>
      <c r="P108" s="82"/>
      <c r="Q108" s="82">
        <v>2</v>
      </c>
      <c r="R108" s="82">
        <v>2</v>
      </c>
      <c r="S108" s="82"/>
      <c r="T108" s="82"/>
      <c r="U108" s="82"/>
      <c r="V108" s="82"/>
      <c r="Y108" s="82">
        <f t="shared" si="4"/>
        <v>37</v>
      </c>
      <c r="Z108" s="85"/>
      <c r="AN108" s="85">
        <v>65</v>
      </c>
    </row>
    <row r="109" spans="1:40" x14ac:dyDescent="0.55000000000000004">
      <c r="A109" s="82" t="s">
        <v>310</v>
      </c>
      <c r="B109" s="82" t="s">
        <v>314</v>
      </c>
      <c r="C109" s="82" t="s">
        <v>332</v>
      </c>
      <c r="D109" s="82" t="s">
        <v>462</v>
      </c>
      <c r="E109" s="85"/>
      <c r="F109" s="85"/>
      <c r="I109" s="100">
        <v>44345</v>
      </c>
      <c r="J109" s="104" t="s">
        <v>255</v>
      </c>
      <c r="K109" s="82" t="s">
        <v>375</v>
      </c>
      <c r="L109" s="82" t="s">
        <v>534</v>
      </c>
      <c r="M109" s="82"/>
      <c r="N109" s="82">
        <v>10</v>
      </c>
      <c r="O109" s="82"/>
      <c r="P109" s="82"/>
      <c r="Q109" s="82"/>
      <c r="R109" s="82"/>
      <c r="S109" s="82"/>
      <c r="T109" s="82"/>
      <c r="U109" s="82"/>
      <c r="V109" s="82"/>
      <c r="Y109" s="82">
        <f t="shared" si="4"/>
        <v>10</v>
      </c>
      <c r="Z109" s="85"/>
      <c r="AN109" s="85">
        <v>65</v>
      </c>
    </row>
    <row r="110" spans="1:40" x14ac:dyDescent="0.55000000000000004">
      <c r="A110" s="82" t="s">
        <v>310</v>
      </c>
      <c r="B110" s="82" t="s">
        <v>314</v>
      </c>
      <c r="C110" s="82" t="s">
        <v>388</v>
      </c>
      <c r="D110" s="82" t="s">
        <v>463</v>
      </c>
      <c r="E110" s="85"/>
      <c r="F110" s="85"/>
      <c r="I110" s="100">
        <v>44345</v>
      </c>
      <c r="J110" s="104" t="s">
        <v>255</v>
      </c>
      <c r="K110" s="82" t="s">
        <v>375</v>
      </c>
      <c r="L110" s="82" t="s">
        <v>534</v>
      </c>
      <c r="M110" s="82"/>
      <c r="N110" s="82">
        <v>12</v>
      </c>
      <c r="O110" s="82"/>
      <c r="P110" s="82"/>
      <c r="Q110" s="82"/>
      <c r="R110" s="82"/>
      <c r="S110" s="82"/>
      <c r="T110" s="82"/>
      <c r="U110" s="82"/>
      <c r="V110" s="82"/>
      <c r="Y110" s="82">
        <f t="shared" si="4"/>
        <v>12</v>
      </c>
      <c r="Z110" s="85"/>
      <c r="AN110" s="85">
        <v>65</v>
      </c>
    </row>
    <row r="111" spans="1:40" x14ac:dyDescent="0.55000000000000004">
      <c r="A111" s="82" t="s">
        <v>310</v>
      </c>
      <c r="B111" s="82" t="s">
        <v>313</v>
      </c>
      <c r="C111" s="82" t="s">
        <v>397</v>
      </c>
      <c r="D111" s="82" t="s">
        <v>464</v>
      </c>
      <c r="E111" s="85"/>
      <c r="F111" s="85"/>
      <c r="I111" s="100">
        <v>44352</v>
      </c>
      <c r="J111" s="104" t="s">
        <v>255</v>
      </c>
      <c r="K111" s="82" t="s">
        <v>375</v>
      </c>
      <c r="L111" s="82" t="s">
        <v>534</v>
      </c>
      <c r="M111" s="82"/>
      <c r="N111" s="82">
        <v>15</v>
      </c>
      <c r="O111" s="82">
        <v>8</v>
      </c>
      <c r="P111" s="82"/>
      <c r="Q111" s="82">
        <v>4</v>
      </c>
      <c r="R111" s="82">
        <v>4</v>
      </c>
      <c r="S111" s="82"/>
      <c r="T111" s="82"/>
      <c r="U111" s="82"/>
      <c r="V111" s="82"/>
      <c r="Y111" s="82">
        <f t="shared" si="4"/>
        <v>31</v>
      </c>
      <c r="Z111" s="85"/>
      <c r="AN111" s="85">
        <v>65</v>
      </c>
    </row>
    <row r="112" spans="1:40" x14ac:dyDescent="0.55000000000000004">
      <c r="A112" s="82" t="s">
        <v>310</v>
      </c>
      <c r="B112" s="82" t="s">
        <v>314</v>
      </c>
      <c r="C112" s="82" t="s">
        <v>388</v>
      </c>
      <c r="D112" s="82" t="s">
        <v>465</v>
      </c>
      <c r="E112" s="85"/>
      <c r="F112" s="85"/>
      <c r="I112" s="100">
        <v>44352</v>
      </c>
      <c r="J112" s="104" t="s">
        <v>255</v>
      </c>
      <c r="K112" s="82" t="s">
        <v>375</v>
      </c>
      <c r="L112" s="82" t="s">
        <v>534</v>
      </c>
      <c r="M112" s="82"/>
      <c r="N112" s="82"/>
      <c r="O112" s="82"/>
      <c r="P112" s="82"/>
      <c r="Q112" s="82"/>
      <c r="R112" s="82"/>
      <c r="S112" s="82">
        <v>25</v>
      </c>
      <c r="T112" s="82"/>
      <c r="U112" s="82"/>
      <c r="V112" s="82"/>
      <c r="Y112" s="82">
        <f t="shared" si="4"/>
        <v>25</v>
      </c>
      <c r="Z112" s="85"/>
      <c r="AN112" s="85">
        <v>65</v>
      </c>
    </row>
    <row r="113" spans="1:40" x14ac:dyDescent="0.55000000000000004">
      <c r="A113" s="82" t="s">
        <v>310</v>
      </c>
      <c r="B113" s="82" t="s">
        <v>312</v>
      </c>
      <c r="C113" s="82" t="s">
        <v>321</v>
      </c>
      <c r="D113" s="82" t="s">
        <v>466</v>
      </c>
      <c r="E113" s="85"/>
      <c r="F113" s="85"/>
      <c r="I113" s="100">
        <v>44350</v>
      </c>
      <c r="J113" s="104" t="s">
        <v>255</v>
      </c>
      <c r="K113" s="82" t="s">
        <v>526</v>
      </c>
      <c r="L113" s="82" t="s">
        <v>534</v>
      </c>
      <c r="M113" s="82"/>
      <c r="N113" s="82">
        <v>20</v>
      </c>
      <c r="O113" s="82">
        <v>10</v>
      </c>
      <c r="P113" s="82"/>
      <c r="Q113" s="82"/>
      <c r="R113" s="82"/>
      <c r="S113" s="82"/>
      <c r="T113" s="82"/>
      <c r="U113" s="82"/>
      <c r="V113" s="82"/>
      <c r="Y113" s="82">
        <f t="shared" si="4"/>
        <v>30</v>
      </c>
      <c r="Z113" s="85"/>
      <c r="AN113" s="85">
        <v>65</v>
      </c>
    </row>
    <row r="114" spans="1:40" x14ac:dyDescent="0.55000000000000004">
      <c r="A114" s="82" t="s">
        <v>310</v>
      </c>
      <c r="B114" s="82" t="s">
        <v>312</v>
      </c>
      <c r="C114" s="82" t="s">
        <v>329</v>
      </c>
      <c r="D114" s="82" t="s">
        <v>467</v>
      </c>
      <c r="E114" s="85"/>
      <c r="F114" s="85"/>
      <c r="I114" s="100">
        <v>44350</v>
      </c>
      <c r="J114" s="104" t="s">
        <v>255</v>
      </c>
      <c r="K114" s="82" t="s">
        <v>524</v>
      </c>
      <c r="L114" s="82" t="s">
        <v>534</v>
      </c>
      <c r="M114" s="82"/>
      <c r="N114" s="82">
        <v>15</v>
      </c>
      <c r="O114" s="82">
        <v>3</v>
      </c>
      <c r="P114" s="82"/>
      <c r="Q114" s="82"/>
      <c r="R114" s="82">
        <v>1.5</v>
      </c>
      <c r="S114" s="82"/>
      <c r="T114" s="82"/>
      <c r="U114" s="82"/>
      <c r="V114" s="82"/>
      <c r="Y114" s="82">
        <f t="shared" si="4"/>
        <v>19.5</v>
      </c>
      <c r="Z114" s="85"/>
      <c r="AN114" s="85">
        <v>65</v>
      </c>
    </row>
    <row r="115" spans="1:40" x14ac:dyDescent="0.55000000000000004">
      <c r="A115" s="82" t="s">
        <v>310</v>
      </c>
      <c r="B115" s="82" t="s">
        <v>313</v>
      </c>
      <c r="C115" s="82" t="s">
        <v>398</v>
      </c>
      <c r="D115" s="82" t="s">
        <v>468</v>
      </c>
      <c r="E115" s="85"/>
      <c r="F115" s="85"/>
      <c r="I115" s="100">
        <v>44352</v>
      </c>
      <c r="J115" s="104" t="s">
        <v>255</v>
      </c>
      <c r="K115" s="82" t="s">
        <v>523</v>
      </c>
      <c r="L115" s="82" t="s">
        <v>534</v>
      </c>
      <c r="M115" s="82"/>
      <c r="N115" s="82">
        <v>15</v>
      </c>
      <c r="O115" s="82">
        <v>20</v>
      </c>
      <c r="P115" s="82">
        <v>4</v>
      </c>
      <c r="Q115" s="82"/>
      <c r="R115" s="82"/>
      <c r="S115" s="82"/>
      <c r="T115" s="82"/>
      <c r="U115" s="82"/>
      <c r="V115" s="82"/>
      <c r="Y115" s="82">
        <f t="shared" si="4"/>
        <v>39</v>
      </c>
      <c r="Z115" s="85"/>
      <c r="AN115" s="85">
        <v>65</v>
      </c>
    </row>
    <row r="116" spans="1:40" x14ac:dyDescent="0.55000000000000004">
      <c r="A116" s="82" t="s">
        <v>310</v>
      </c>
      <c r="B116" s="82" t="s">
        <v>312</v>
      </c>
      <c r="C116" s="82" t="s">
        <v>326</v>
      </c>
      <c r="D116" s="82" t="s">
        <v>469</v>
      </c>
      <c r="E116" s="85"/>
      <c r="F116" s="85"/>
      <c r="I116" s="100">
        <v>44354</v>
      </c>
      <c r="J116" s="104" t="s">
        <v>255</v>
      </c>
      <c r="K116" s="82" t="s">
        <v>524</v>
      </c>
      <c r="L116" s="82" t="s">
        <v>534</v>
      </c>
      <c r="M116" s="82"/>
      <c r="N116" s="82">
        <v>15</v>
      </c>
      <c r="O116" s="82"/>
      <c r="P116" s="82"/>
      <c r="Q116" s="82"/>
      <c r="R116" s="82"/>
      <c r="S116" s="82"/>
      <c r="T116" s="82"/>
      <c r="U116" s="82"/>
      <c r="V116" s="82"/>
      <c r="Y116" s="82">
        <f t="shared" si="4"/>
        <v>15</v>
      </c>
      <c r="Z116" s="85"/>
      <c r="AN116" s="85">
        <v>65</v>
      </c>
    </row>
    <row r="117" spans="1:40" x14ac:dyDescent="0.55000000000000004">
      <c r="A117" s="82" t="s">
        <v>310</v>
      </c>
      <c r="B117" s="82" t="s">
        <v>314</v>
      </c>
      <c r="C117" s="82" t="s">
        <v>388</v>
      </c>
      <c r="D117" s="82" t="s">
        <v>470</v>
      </c>
      <c r="E117" s="85"/>
      <c r="F117" s="85"/>
      <c r="I117" s="100">
        <v>44354</v>
      </c>
      <c r="J117" s="104" t="s">
        <v>255</v>
      </c>
      <c r="K117" s="82" t="s">
        <v>375</v>
      </c>
      <c r="L117" s="82" t="s">
        <v>534</v>
      </c>
      <c r="M117" s="82"/>
      <c r="N117" s="82">
        <v>15</v>
      </c>
      <c r="O117" s="82"/>
      <c r="P117" s="82"/>
      <c r="Q117" s="82"/>
      <c r="R117" s="82"/>
      <c r="S117" s="82"/>
      <c r="T117" s="82"/>
      <c r="U117" s="82"/>
      <c r="V117" s="82"/>
      <c r="Y117" s="82">
        <f t="shared" si="4"/>
        <v>15</v>
      </c>
      <c r="Z117" s="85"/>
      <c r="AN117" s="85">
        <v>65</v>
      </c>
    </row>
    <row r="118" spans="1:40" x14ac:dyDescent="0.55000000000000004">
      <c r="A118" s="82" t="s">
        <v>310</v>
      </c>
      <c r="B118" s="82" t="s">
        <v>311</v>
      </c>
      <c r="C118" s="82" t="s">
        <v>315</v>
      </c>
      <c r="D118" s="82" t="s">
        <v>471</v>
      </c>
      <c r="E118" s="85"/>
      <c r="F118" s="85"/>
      <c r="I118" s="100">
        <v>44355</v>
      </c>
      <c r="J118" s="104" t="s">
        <v>255</v>
      </c>
      <c r="K118" s="82" t="s">
        <v>522</v>
      </c>
      <c r="L118" s="82" t="s">
        <v>534</v>
      </c>
      <c r="M118" s="82"/>
      <c r="N118" s="82"/>
      <c r="O118" s="82">
        <v>4</v>
      </c>
      <c r="P118" s="82"/>
      <c r="Q118" s="82"/>
      <c r="R118" s="82">
        <v>2</v>
      </c>
      <c r="S118" s="82"/>
      <c r="T118" s="82"/>
      <c r="U118" s="82"/>
      <c r="V118" s="82"/>
      <c r="Y118" s="82">
        <f t="shared" si="4"/>
        <v>6</v>
      </c>
      <c r="Z118" s="85"/>
      <c r="AN118" s="85">
        <v>65</v>
      </c>
    </row>
    <row r="119" spans="1:40" x14ac:dyDescent="0.55000000000000004">
      <c r="A119" s="82" t="s">
        <v>310</v>
      </c>
      <c r="B119" s="82" t="s">
        <v>311</v>
      </c>
      <c r="C119" s="82" t="s">
        <v>315</v>
      </c>
      <c r="D119" s="82" t="s">
        <v>472</v>
      </c>
      <c r="E119" s="85"/>
      <c r="F119" s="85"/>
      <c r="I119" s="100">
        <v>44356</v>
      </c>
      <c r="J119" s="104" t="s">
        <v>255</v>
      </c>
      <c r="K119" s="82" t="s">
        <v>522</v>
      </c>
      <c r="L119" s="82" t="s">
        <v>534</v>
      </c>
      <c r="M119" s="82"/>
      <c r="N119" s="82"/>
      <c r="O119" s="82">
        <v>6</v>
      </c>
      <c r="P119" s="82"/>
      <c r="Q119" s="82"/>
      <c r="R119" s="82">
        <v>2</v>
      </c>
      <c r="S119" s="82"/>
      <c r="T119" s="82"/>
      <c r="U119" s="82"/>
      <c r="V119" s="82"/>
      <c r="Y119" s="82">
        <f t="shared" si="4"/>
        <v>8</v>
      </c>
      <c r="Z119" s="85"/>
      <c r="AN119" s="85">
        <v>65</v>
      </c>
    </row>
    <row r="120" spans="1:40" x14ac:dyDescent="0.55000000000000004">
      <c r="A120" s="82" t="s">
        <v>310</v>
      </c>
      <c r="B120" s="82" t="s">
        <v>314</v>
      </c>
      <c r="C120" s="82" t="s">
        <v>334</v>
      </c>
      <c r="D120" s="82" t="s">
        <v>473</v>
      </c>
      <c r="E120" s="85"/>
      <c r="F120" s="85"/>
      <c r="I120" s="100">
        <v>44356</v>
      </c>
      <c r="J120" s="104" t="s">
        <v>255</v>
      </c>
      <c r="K120" s="82" t="s">
        <v>375</v>
      </c>
      <c r="L120" s="82" t="s">
        <v>534</v>
      </c>
      <c r="M120" s="82"/>
      <c r="N120" s="82">
        <v>12</v>
      </c>
      <c r="O120" s="82"/>
      <c r="P120" s="82"/>
      <c r="Q120" s="82"/>
      <c r="R120" s="82"/>
      <c r="S120" s="82"/>
      <c r="T120" s="82"/>
      <c r="U120" s="82"/>
      <c r="V120" s="82"/>
      <c r="Y120" s="82">
        <f t="shared" si="4"/>
        <v>12</v>
      </c>
      <c r="Z120" s="85"/>
      <c r="AN120" s="85">
        <v>65</v>
      </c>
    </row>
    <row r="121" spans="1:40" x14ac:dyDescent="0.55000000000000004">
      <c r="A121" s="82" t="s">
        <v>310</v>
      </c>
      <c r="B121" s="82" t="s">
        <v>314</v>
      </c>
      <c r="C121" s="82" t="s">
        <v>388</v>
      </c>
      <c r="D121" s="82" t="s">
        <v>416</v>
      </c>
      <c r="E121" s="85"/>
      <c r="F121" s="85"/>
      <c r="I121" s="100">
        <v>44356</v>
      </c>
      <c r="J121" s="104" t="s">
        <v>255</v>
      </c>
      <c r="K121" s="82" t="s">
        <v>524</v>
      </c>
      <c r="L121" s="82" t="s">
        <v>534</v>
      </c>
      <c r="M121" s="82"/>
      <c r="N121" s="82">
        <v>10</v>
      </c>
      <c r="O121" s="82"/>
      <c r="P121" s="82"/>
      <c r="Q121" s="82"/>
      <c r="R121" s="82"/>
      <c r="S121" s="82"/>
      <c r="T121" s="82"/>
      <c r="U121" s="82"/>
      <c r="V121" s="82"/>
      <c r="Y121" s="82">
        <f t="shared" si="4"/>
        <v>10</v>
      </c>
      <c r="Z121" s="85"/>
      <c r="AN121" s="85">
        <v>65</v>
      </c>
    </row>
    <row r="122" spans="1:40" x14ac:dyDescent="0.55000000000000004">
      <c r="A122" s="82" t="s">
        <v>310</v>
      </c>
      <c r="B122" s="82" t="s">
        <v>312</v>
      </c>
      <c r="C122" s="82" t="s">
        <v>399</v>
      </c>
      <c r="D122" s="82" t="s">
        <v>474</v>
      </c>
      <c r="E122" s="85"/>
      <c r="F122" s="85"/>
      <c r="I122" s="100">
        <v>44357</v>
      </c>
      <c r="J122" s="104" t="s">
        <v>255</v>
      </c>
      <c r="K122" s="82" t="s">
        <v>375</v>
      </c>
      <c r="L122" s="82" t="s">
        <v>534</v>
      </c>
      <c r="M122" s="82"/>
      <c r="N122" s="82">
        <v>30</v>
      </c>
      <c r="O122" s="82">
        <v>3</v>
      </c>
      <c r="P122" s="82"/>
      <c r="Q122" s="82">
        <v>2</v>
      </c>
      <c r="R122" s="82">
        <v>2</v>
      </c>
      <c r="S122" s="82"/>
      <c r="T122" s="82"/>
      <c r="U122" s="82"/>
      <c r="V122" s="82"/>
      <c r="Y122" s="82">
        <f t="shared" si="4"/>
        <v>37</v>
      </c>
      <c r="Z122" s="85"/>
      <c r="AN122" s="85">
        <v>65</v>
      </c>
    </row>
    <row r="123" spans="1:40" x14ac:dyDescent="0.55000000000000004">
      <c r="A123" s="82" t="s">
        <v>310</v>
      </c>
      <c r="B123" s="82" t="s">
        <v>312</v>
      </c>
      <c r="C123" s="82" t="s">
        <v>399</v>
      </c>
      <c r="D123" s="82" t="s">
        <v>474</v>
      </c>
      <c r="E123" s="85"/>
      <c r="F123" s="85"/>
      <c r="I123" s="100">
        <v>44359</v>
      </c>
      <c r="J123" s="104" t="s">
        <v>255</v>
      </c>
      <c r="K123" s="82" t="s">
        <v>523</v>
      </c>
      <c r="L123" s="82" t="s">
        <v>534</v>
      </c>
      <c r="M123" s="82"/>
      <c r="N123" s="82">
        <v>20</v>
      </c>
      <c r="O123" s="82">
        <v>2</v>
      </c>
      <c r="P123" s="82">
        <v>2</v>
      </c>
      <c r="Q123" s="82"/>
      <c r="R123" s="82"/>
      <c r="S123" s="82"/>
      <c r="T123" s="82"/>
      <c r="U123" s="82"/>
      <c r="V123" s="82"/>
      <c r="Y123" s="82">
        <f t="shared" si="4"/>
        <v>24</v>
      </c>
      <c r="Z123" s="85"/>
      <c r="AN123" s="85">
        <v>65</v>
      </c>
    </row>
    <row r="124" spans="1:40" x14ac:dyDescent="0.55000000000000004">
      <c r="A124" s="82" t="s">
        <v>310</v>
      </c>
      <c r="B124" s="82" t="s">
        <v>314</v>
      </c>
      <c r="C124" s="82" t="s">
        <v>332</v>
      </c>
      <c r="D124" s="82" t="s">
        <v>462</v>
      </c>
      <c r="E124" s="85"/>
      <c r="F124" s="85"/>
      <c r="I124" s="100">
        <v>44359</v>
      </c>
      <c r="J124" s="104" t="s">
        <v>255</v>
      </c>
      <c r="K124" s="82" t="s">
        <v>524</v>
      </c>
      <c r="L124" s="82" t="s">
        <v>534</v>
      </c>
      <c r="M124" s="82"/>
      <c r="N124" s="82">
        <v>10</v>
      </c>
      <c r="O124" s="82"/>
      <c r="P124" s="82"/>
      <c r="Q124" s="82"/>
      <c r="R124" s="82"/>
      <c r="S124" s="82"/>
      <c r="T124" s="82"/>
      <c r="U124" s="82"/>
      <c r="V124" s="82"/>
      <c r="Y124" s="82">
        <f t="shared" si="4"/>
        <v>10</v>
      </c>
      <c r="Z124" s="85"/>
      <c r="AN124" s="85">
        <v>65</v>
      </c>
    </row>
    <row r="125" spans="1:40" x14ac:dyDescent="0.55000000000000004">
      <c r="A125" s="82" t="s">
        <v>310</v>
      </c>
      <c r="B125" s="82" t="s">
        <v>313</v>
      </c>
      <c r="C125" s="82" t="s">
        <v>397</v>
      </c>
      <c r="D125" s="82" t="s">
        <v>475</v>
      </c>
      <c r="E125" s="85"/>
      <c r="F125" s="85"/>
      <c r="I125" s="100">
        <v>44360</v>
      </c>
      <c r="J125" s="104" t="s">
        <v>255</v>
      </c>
      <c r="K125" s="82" t="s">
        <v>375</v>
      </c>
      <c r="L125" s="82" t="s">
        <v>534</v>
      </c>
      <c r="M125" s="82"/>
      <c r="N125" s="82">
        <v>15</v>
      </c>
      <c r="O125" s="82">
        <v>8</v>
      </c>
      <c r="P125" s="82"/>
      <c r="Q125" s="82">
        <v>4</v>
      </c>
      <c r="R125" s="82">
        <v>4</v>
      </c>
      <c r="S125" s="82"/>
      <c r="T125" s="82"/>
      <c r="U125" s="82"/>
      <c r="V125" s="82"/>
      <c r="Y125" s="82">
        <f t="shared" si="4"/>
        <v>31</v>
      </c>
      <c r="Z125" s="85"/>
      <c r="AN125" s="85">
        <v>65</v>
      </c>
    </row>
    <row r="126" spans="1:40" x14ac:dyDescent="0.55000000000000004">
      <c r="A126" s="82" t="s">
        <v>310</v>
      </c>
      <c r="B126" s="82" t="s">
        <v>314</v>
      </c>
      <c r="C126" s="82" t="s">
        <v>388</v>
      </c>
      <c r="D126" s="82" t="s">
        <v>476</v>
      </c>
      <c r="E126" s="85"/>
      <c r="F126" s="85"/>
      <c r="I126" s="100">
        <v>44360</v>
      </c>
      <c r="J126" s="104" t="s">
        <v>255</v>
      </c>
      <c r="K126" s="82" t="s">
        <v>375</v>
      </c>
      <c r="L126" s="82" t="s">
        <v>534</v>
      </c>
      <c r="M126" s="82"/>
      <c r="N126" s="82">
        <v>12</v>
      </c>
      <c r="O126" s="82"/>
      <c r="P126" s="82"/>
      <c r="Q126" s="82"/>
      <c r="R126" s="82"/>
      <c r="S126" s="82"/>
      <c r="T126" s="82"/>
      <c r="U126" s="82"/>
      <c r="V126" s="82"/>
      <c r="Y126" s="82">
        <f t="shared" si="4"/>
        <v>12</v>
      </c>
      <c r="Z126" s="85"/>
      <c r="AN126" s="85">
        <v>65</v>
      </c>
    </row>
    <row r="127" spans="1:40" x14ac:dyDescent="0.55000000000000004">
      <c r="A127" s="82" t="s">
        <v>310</v>
      </c>
      <c r="B127" s="82" t="s">
        <v>313</v>
      </c>
      <c r="C127" s="82" t="s">
        <v>397</v>
      </c>
      <c r="D127" s="82" t="s">
        <v>475</v>
      </c>
      <c r="E127" s="85"/>
      <c r="F127" s="85"/>
      <c r="I127" s="100">
        <v>44362</v>
      </c>
      <c r="J127" s="104" t="s">
        <v>255</v>
      </c>
      <c r="K127" s="82" t="s">
        <v>375</v>
      </c>
      <c r="L127" s="82" t="s">
        <v>534</v>
      </c>
      <c r="M127" s="82"/>
      <c r="N127" s="82">
        <v>5</v>
      </c>
      <c r="O127" s="82">
        <v>8</v>
      </c>
      <c r="P127" s="82"/>
      <c r="Q127" s="82">
        <v>4</v>
      </c>
      <c r="R127" s="82">
        <v>4</v>
      </c>
      <c r="S127" s="82"/>
      <c r="T127" s="82"/>
      <c r="U127" s="82"/>
      <c r="V127" s="82"/>
      <c r="Y127" s="82">
        <f t="shared" si="4"/>
        <v>21</v>
      </c>
      <c r="Z127" s="85"/>
      <c r="AN127" s="85">
        <v>65</v>
      </c>
    </row>
    <row r="128" spans="1:40" x14ac:dyDescent="0.55000000000000004">
      <c r="A128" s="82" t="s">
        <v>310</v>
      </c>
      <c r="B128" s="82" t="s">
        <v>314</v>
      </c>
      <c r="C128" s="82" t="s">
        <v>330</v>
      </c>
      <c r="D128" s="82" t="s">
        <v>360</v>
      </c>
      <c r="E128" s="85"/>
      <c r="F128" s="85"/>
      <c r="I128" s="100">
        <v>44363</v>
      </c>
      <c r="J128" s="104" t="s">
        <v>255</v>
      </c>
      <c r="K128" s="82" t="s">
        <v>375</v>
      </c>
      <c r="L128" s="82" t="s">
        <v>534</v>
      </c>
      <c r="M128" s="82"/>
      <c r="N128" s="82">
        <v>15</v>
      </c>
      <c r="O128" s="82"/>
      <c r="P128" s="82"/>
      <c r="Q128" s="82"/>
      <c r="R128" s="82"/>
      <c r="S128" s="82"/>
      <c r="T128" s="82"/>
      <c r="U128" s="82"/>
      <c r="V128" s="82"/>
      <c r="Y128" s="82">
        <f t="shared" si="4"/>
        <v>15</v>
      </c>
      <c r="Z128" s="85"/>
      <c r="AN128" s="85">
        <v>65</v>
      </c>
    </row>
    <row r="129" spans="1:40" x14ac:dyDescent="0.55000000000000004">
      <c r="A129" s="82" t="s">
        <v>310</v>
      </c>
      <c r="B129" s="82" t="s">
        <v>313</v>
      </c>
      <c r="C129" s="82" t="s">
        <v>400</v>
      </c>
      <c r="D129" s="82" t="s">
        <v>477</v>
      </c>
      <c r="E129" s="85"/>
      <c r="F129" s="85"/>
      <c r="I129" s="100">
        <v>44364</v>
      </c>
      <c r="J129" s="104" t="s">
        <v>255</v>
      </c>
      <c r="K129" s="82" t="s">
        <v>523</v>
      </c>
      <c r="L129" s="82" t="s">
        <v>534</v>
      </c>
      <c r="M129" s="82"/>
      <c r="N129" s="82">
        <v>11</v>
      </c>
      <c r="O129" s="82">
        <v>12</v>
      </c>
      <c r="P129" s="82"/>
      <c r="Q129" s="82"/>
      <c r="R129" s="82"/>
      <c r="S129" s="82"/>
      <c r="T129" s="82"/>
      <c r="U129" s="82"/>
      <c r="V129" s="82"/>
      <c r="Y129" s="82">
        <f t="shared" ref="Y129:Y191" si="5">SUM(N129:V129)</f>
        <v>23</v>
      </c>
      <c r="Z129" s="85"/>
      <c r="AN129" s="85">
        <v>65</v>
      </c>
    </row>
    <row r="130" spans="1:40" x14ac:dyDescent="0.55000000000000004">
      <c r="A130" s="82" t="s">
        <v>310</v>
      </c>
      <c r="B130" s="82" t="s">
        <v>312</v>
      </c>
      <c r="C130" s="82" t="s">
        <v>401</v>
      </c>
      <c r="D130" s="82" t="s">
        <v>365</v>
      </c>
      <c r="E130" s="85"/>
      <c r="F130" s="85"/>
      <c r="I130" s="100">
        <v>44364</v>
      </c>
      <c r="J130" s="104" t="s">
        <v>255</v>
      </c>
      <c r="K130" s="82" t="s">
        <v>522</v>
      </c>
      <c r="L130" s="82" t="s">
        <v>534</v>
      </c>
      <c r="M130" s="82"/>
      <c r="N130" s="82">
        <v>5</v>
      </c>
      <c r="O130" s="82">
        <v>3</v>
      </c>
      <c r="P130" s="82"/>
      <c r="Q130" s="82"/>
      <c r="R130" s="82">
        <v>2</v>
      </c>
      <c r="S130" s="82"/>
      <c r="T130" s="82">
        <v>5</v>
      </c>
      <c r="U130" s="82"/>
      <c r="V130" s="82"/>
      <c r="Y130" s="82">
        <f t="shared" si="5"/>
        <v>15</v>
      </c>
      <c r="Z130" s="85"/>
      <c r="AN130" s="85">
        <v>65</v>
      </c>
    </row>
    <row r="131" spans="1:40" x14ac:dyDescent="0.55000000000000004">
      <c r="A131" s="82" t="s">
        <v>310</v>
      </c>
      <c r="B131" s="82" t="s">
        <v>312</v>
      </c>
      <c r="C131" s="82" t="s">
        <v>333</v>
      </c>
      <c r="D131" s="82" t="s">
        <v>478</v>
      </c>
      <c r="E131" s="85"/>
      <c r="F131" s="85"/>
      <c r="I131" s="100">
        <v>44364</v>
      </c>
      <c r="J131" s="104" t="s">
        <v>255</v>
      </c>
      <c r="K131" s="82" t="s">
        <v>375</v>
      </c>
      <c r="L131" s="82" t="s">
        <v>534</v>
      </c>
      <c r="M131" s="82"/>
      <c r="N131" s="82">
        <v>40</v>
      </c>
      <c r="O131" s="82"/>
      <c r="P131" s="82"/>
      <c r="Q131" s="82"/>
      <c r="R131" s="82"/>
      <c r="S131" s="82"/>
      <c r="T131" s="82"/>
      <c r="U131" s="82"/>
      <c r="V131" s="82"/>
      <c r="Y131" s="82">
        <f t="shared" si="5"/>
        <v>40</v>
      </c>
      <c r="Z131" s="85"/>
      <c r="AN131" s="85">
        <v>65</v>
      </c>
    </row>
    <row r="132" spans="1:40" x14ac:dyDescent="0.55000000000000004">
      <c r="A132" s="82" t="s">
        <v>310</v>
      </c>
      <c r="B132" s="82" t="s">
        <v>312</v>
      </c>
      <c r="C132" s="82" t="s">
        <v>333</v>
      </c>
      <c r="D132" s="82" t="s">
        <v>479</v>
      </c>
      <c r="E132" s="85"/>
      <c r="F132" s="85"/>
      <c r="I132" s="100">
        <v>44364</v>
      </c>
      <c r="J132" s="104" t="s">
        <v>255</v>
      </c>
      <c r="K132" s="82" t="s">
        <v>522</v>
      </c>
      <c r="L132" s="82" t="s">
        <v>534</v>
      </c>
      <c r="M132" s="82"/>
      <c r="N132" s="82">
        <v>6</v>
      </c>
      <c r="O132" s="82">
        <v>6</v>
      </c>
      <c r="P132" s="82"/>
      <c r="Q132" s="82">
        <v>3</v>
      </c>
      <c r="R132" s="82">
        <v>3</v>
      </c>
      <c r="S132" s="82"/>
      <c r="T132" s="82"/>
      <c r="U132" s="82"/>
      <c r="V132" s="82"/>
      <c r="Y132" s="82">
        <f t="shared" si="5"/>
        <v>18</v>
      </c>
      <c r="Z132" s="85"/>
      <c r="AN132" s="85">
        <v>65</v>
      </c>
    </row>
    <row r="133" spans="1:40" x14ac:dyDescent="0.55000000000000004">
      <c r="A133" s="82" t="s">
        <v>310</v>
      </c>
      <c r="B133" s="82" t="s">
        <v>312</v>
      </c>
      <c r="C133" s="82" t="s">
        <v>401</v>
      </c>
      <c r="D133" s="82" t="s">
        <v>364</v>
      </c>
      <c r="E133" s="85"/>
      <c r="F133" s="85"/>
      <c r="I133" s="100">
        <v>44364</v>
      </c>
      <c r="J133" s="104" t="s">
        <v>255</v>
      </c>
      <c r="K133" s="82" t="s">
        <v>375</v>
      </c>
      <c r="L133" s="82" t="s">
        <v>534</v>
      </c>
      <c r="M133" s="82"/>
      <c r="N133" s="82">
        <v>30</v>
      </c>
      <c r="O133" s="82">
        <v>3</v>
      </c>
      <c r="P133" s="82"/>
      <c r="Q133" s="82">
        <v>1.5</v>
      </c>
      <c r="R133" s="82">
        <v>1.5</v>
      </c>
      <c r="S133" s="82">
        <v>10</v>
      </c>
      <c r="T133" s="82"/>
      <c r="U133" s="82"/>
      <c r="V133" s="82">
        <v>40</v>
      </c>
      <c r="Y133" s="82">
        <f t="shared" si="5"/>
        <v>86</v>
      </c>
      <c r="Z133" s="85"/>
      <c r="AN133" s="85">
        <v>65</v>
      </c>
    </row>
    <row r="134" spans="1:40" x14ac:dyDescent="0.55000000000000004">
      <c r="A134" s="82" t="s">
        <v>310</v>
      </c>
      <c r="B134" s="82" t="s">
        <v>312</v>
      </c>
      <c r="C134" s="82" t="s">
        <v>401</v>
      </c>
      <c r="D134" s="82" t="s">
        <v>480</v>
      </c>
      <c r="E134" s="85"/>
      <c r="F134" s="85"/>
      <c r="I134" s="100">
        <v>44364</v>
      </c>
      <c r="J134" s="104" t="s">
        <v>255</v>
      </c>
      <c r="K134" s="82" t="s">
        <v>522</v>
      </c>
      <c r="L134" s="82" t="s">
        <v>534</v>
      </c>
      <c r="M134" s="82"/>
      <c r="N134" s="82">
        <v>4.5</v>
      </c>
      <c r="O134" s="82">
        <v>3</v>
      </c>
      <c r="P134" s="82"/>
      <c r="Q134" s="82">
        <v>1.5</v>
      </c>
      <c r="R134" s="82">
        <v>1.5</v>
      </c>
      <c r="S134" s="82"/>
      <c r="T134" s="82"/>
      <c r="U134" s="82"/>
      <c r="V134" s="82"/>
      <c r="Y134" s="82">
        <f t="shared" si="5"/>
        <v>10.5</v>
      </c>
      <c r="Z134" s="85"/>
      <c r="AN134" s="85">
        <v>65</v>
      </c>
    </row>
    <row r="135" spans="1:40" x14ac:dyDescent="0.55000000000000004">
      <c r="A135" s="82" t="s">
        <v>310</v>
      </c>
      <c r="B135" s="82" t="s">
        <v>312</v>
      </c>
      <c r="C135" s="82" t="s">
        <v>401</v>
      </c>
      <c r="D135" s="82" t="s">
        <v>480</v>
      </c>
      <c r="E135" s="85"/>
      <c r="F135" s="85"/>
      <c r="I135" s="100">
        <v>44364</v>
      </c>
      <c r="J135" s="104" t="s">
        <v>255</v>
      </c>
      <c r="K135" s="82" t="s">
        <v>524</v>
      </c>
      <c r="L135" s="82" t="s">
        <v>534</v>
      </c>
      <c r="M135" s="82"/>
      <c r="N135" s="82">
        <v>15</v>
      </c>
      <c r="O135" s="82">
        <v>5</v>
      </c>
      <c r="P135" s="82"/>
      <c r="Q135" s="82"/>
      <c r="R135" s="82">
        <v>2.5</v>
      </c>
      <c r="S135" s="82"/>
      <c r="T135" s="82">
        <v>10</v>
      </c>
      <c r="U135" s="82"/>
      <c r="V135" s="82"/>
      <c r="Y135" s="82">
        <f t="shared" si="5"/>
        <v>32.5</v>
      </c>
      <c r="Z135" s="85"/>
      <c r="AN135" s="85">
        <v>65</v>
      </c>
    </row>
    <row r="136" spans="1:40" x14ac:dyDescent="0.55000000000000004">
      <c r="A136" s="82" t="s">
        <v>310</v>
      </c>
      <c r="B136" s="82" t="s">
        <v>312</v>
      </c>
      <c r="C136" s="82" t="s">
        <v>401</v>
      </c>
      <c r="D136" s="82" t="s">
        <v>480</v>
      </c>
      <c r="E136" s="85"/>
      <c r="F136" s="85"/>
      <c r="I136" s="100">
        <v>44364</v>
      </c>
      <c r="J136" s="104" t="s">
        <v>255</v>
      </c>
      <c r="K136" s="82" t="s">
        <v>375</v>
      </c>
      <c r="L136" s="82" t="s">
        <v>534</v>
      </c>
      <c r="M136" s="82"/>
      <c r="N136" s="82">
        <v>42</v>
      </c>
      <c r="O136" s="82">
        <v>10</v>
      </c>
      <c r="P136" s="82"/>
      <c r="Q136" s="82">
        <v>2.5</v>
      </c>
      <c r="R136" s="82">
        <v>2.5</v>
      </c>
      <c r="S136" s="82">
        <v>50</v>
      </c>
      <c r="T136" s="82"/>
      <c r="U136" s="82"/>
      <c r="V136" s="82"/>
      <c r="Y136" s="82">
        <f t="shared" si="5"/>
        <v>107</v>
      </c>
      <c r="Z136" s="85"/>
      <c r="AN136" s="85">
        <v>65</v>
      </c>
    </row>
    <row r="137" spans="1:40" x14ac:dyDescent="0.55000000000000004">
      <c r="A137" s="82" t="s">
        <v>310</v>
      </c>
      <c r="B137" s="82" t="s">
        <v>313</v>
      </c>
      <c r="C137" s="82" t="s">
        <v>398</v>
      </c>
      <c r="D137" s="82" t="s">
        <v>481</v>
      </c>
      <c r="E137" s="85"/>
      <c r="F137" s="85"/>
      <c r="I137" s="100">
        <v>44365</v>
      </c>
      <c r="J137" s="104" t="s">
        <v>255</v>
      </c>
      <c r="K137" s="82" t="s">
        <v>524</v>
      </c>
      <c r="L137" s="82" t="s">
        <v>534</v>
      </c>
      <c r="M137" s="82"/>
      <c r="N137" s="82">
        <v>4</v>
      </c>
      <c r="O137" s="82">
        <v>10</v>
      </c>
      <c r="P137" s="82"/>
      <c r="Q137" s="82"/>
      <c r="R137" s="82">
        <v>3</v>
      </c>
      <c r="S137" s="82"/>
      <c r="T137" s="82"/>
      <c r="U137" s="82"/>
      <c r="V137" s="82"/>
      <c r="Y137" s="82">
        <f t="shared" si="5"/>
        <v>17</v>
      </c>
      <c r="Z137" s="85"/>
      <c r="AN137" s="85">
        <v>65</v>
      </c>
    </row>
    <row r="138" spans="1:40" x14ac:dyDescent="0.55000000000000004">
      <c r="A138" s="82" t="s">
        <v>310</v>
      </c>
      <c r="B138" s="82" t="s">
        <v>314</v>
      </c>
      <c r="C138" s="82" t="s">
        <v>388</v>
      </c>
      <c r="D138" s="82" t="s">
        <v>482</v>
      </c>
      <c r="E138" s="85"/>
      <c r="F138" s="85"/>
      <c r="I138" s="100">
        <v>44365</v>
      </c>
      <c r="J138" s="104" t="s">
        <v>255</v>
      </c>
      <c r="K138" s="82" t="s">
        <v>523</v>
      </c>
      <c r="L138" s="82" t="s">
        <v>534</v>
      </c>
      <c r="M138" s="82"/>
      <c r="N138" s="82">
        <v>10</v>
      </c>
      <c r="O138" s="82"/>
      <c r="P138" s="82"/>
      <c r="Q138" s="82"/>
      <c r="R138" s="82"/>
      <c r="S138" s="82"/>
      <c r="T138" s="82"/>
      <c r="U138" s="82"/>
      <c r="V138" s="82"/>
      <c r="Y138" s="82">
        <f t="shared" si="5"/>
        <v>10</v>
      </c>
      <c r="Z138" s="85"/>
      <c r="AN138" s="85">
        <v>65</v>
      </c>
    </row>
    <row r="139" spans="1:40" x14ac:dyDescent="0.55000000000000004">
      <c r="A139" s="82" t="s">
        <v>310</v>
      </c>
      <c r="B139" s="82" t="s">
        <v>313</v>
      </c>
      <c r="C139" s="82" t="s">
        <v>386</v>
      </c>
      <c r="D139" s="82" t="s">
        <v>483</v>
      </c>
      <c r="E139" s="85"/>
      <c r="F139" s="85"/>
      <c r="I139" s="100">
        <v>44366</v>
      </c>
      <c r="J139" s="104" t="s">
        <v>255</v>
      </c>
      <c r="K139" s="82" t="s">
        <v>522</v>
      </c>
      <c r="L139" s="82" t="s">
        <v>534</v>
      </c>
      <c r="M139" s="82"/>
      <c r="N139" s="82">
        <v>6</v>
      </c>
      <c r="O139" s="82">
        <v>12</v>
      </c>
      <c r="P139" s="82"/>
      <c r="Q139" s="82"/>
      <c r="R139" s="82"/>
      <c r="S139" s="82"/>
      <c r="T139" s="82"/>
      <c r="U139" s="82"/>
      <c r="V139" s="82"/>
      <c r="Y139" s="82">
        <f t="shared" si="5"/>
        <v>18</v>
      </c>
      <c r="Z139" s="85"/>
      <c r="AN139" s="85">
        <v>65</v>
      </c>
    </row>
    <row r="140" spans="1:40" x14ac:dyDescent="0.55000000000000004">
      <c r="A140" s="82" t="s">
        <v>310</v>
      </c>
      <c r="B140" s="82" t="s">
        <v>313</v>
      </c>
      <c r="C140" s="82" t="s">
        <v>398</v>
      </c>
      <c r="D140" s="82" t="s">
        <v>484</v>
      </c>
      <c r="E140" s="85"/>
      <c r="F140" s="85"/>
      <c r="I140" s="100">
        <v>44368</v>
      </c>
      <c r="J140" s="104" t="s">
        <v>255</v>
      </c>
      <c r="K140" s="82" t="s">
        <v>523</v>
      </c>
      <c r="L140" s="82" t="s">
        <v>534</v>
      </c>
      <c r="M140" s="82"/>
      <c r="N140" s="82">
        <v>11</v>
      </c>
      <c r="O140" s="82">
        <v>25</v>
      </c>
      <c r="P140" s="82">
        <v>3</v>
      </c>
      <c r="Q140" s="82"/>
      <c r="R140" s="82"/>
      <c r="S140" s="82"/>
      <c r="T140" s="82"/>
      <c r="U140" s="82"/>
      <c r="V140" s="82"/>
      <c r="Y140" s="82">
        <f t="shared" si="5"/>
        <v>39</v>
      </c>
      <c r="Z140" s="85"/>
      <c r="AN140" s="85">
        <v>65</v>
      </c>
    </row>
    <row r="141" spans="1:40" x14ac:dyDescent="0.55000000000000004">
      <c r="A141" s="82" t="s">
        <v>310</v>
      </c>
      <c r="B141" s="82" t="s">
        <v>311</v>
      </c>
      <c r="C141" s="82" t="s">
        <v>315</v>
      </c>
      <c r="D141" s="82" t="s">
        <v>485</v>
      </c>
      <c r="E141" s="85"/>
      <c r="F141" s="85"/>
      <c r="I141" s="100">
        <v>44368</v>
      </c>
      <c r="J141" s="104" t="s">
        <v>255</v>
      </c>
      <c r="K141" s="82" t="s">
        <v>375</v>
      </c>
      <c r="L141" s="82" t="s">
        <v>534</v>
      </c>
      <c r="M141" s="82"/>
      <c r="N141" s="82"/>
      <c r="O141" s="82"/>
      <c r="P141" s="82"/>
      <c r="Q141" s="82"/>
      <c r="R141" s="82"/>
      <c r="S141" s="82">
        <v>20</v>
      </c>
      <c r="T141" s="82"/>
      <c r="U141" s="82"/>
      <c r="V141" s="82"/>
      <c r="Y141" s="82">
        <f t="shared" si="5"/>
        <v>20</v>
      </c>
      <c r="Z141" s="85"/>
      <c r="AN141" s="85">
        <v>65</v>
      </c>
    </row>
    <row r="142" spans="1:40" x14ac:dyDescent="0.55000000000000004">
      <c r="A142" s="82" t="s">
        <v>310</v>
      </c>
      <c r="B142" s="82" t="s">
        <v>311</v>
      </c>
      <c r="C142" s="82" t="s">
        <v>315</v>
      </c>
      <c r="D142" s="82" t="s">
        <v>420</v>
      </c>
      <c r="E142" s="85"/>
      <c r="F142" s="85"/>
      <c r="I142" s="100">
        <v>44368</v>
      </c>
      <c r="J142" s="104" t="s">
        <v>255</v>
      </c>
      <c r="K142" s="82" t="s">
        <v>524</v>
      </c>
      <c r="L142" s="82" t="s">
        <v>534</v>
      </c>
      <c r="M142" s="82"/>
      <c r="N142" s="82"/>
      <c r="O142" s="82">
        <v>8</v>
      </c>
      <c r="P142" s="82"/>
      <c r="Q142" s="82"/>
      <c r="R142" s="82">
        <v>2.5</v>
      </c>
      <c r="S142" s="82"/>
      <c r="T142" s="82"/>
      <c r="U142" s="82"/>
      <c r="V142" s="82"/>
      <c r="Y142" s="82">
        <f t="shared" si="5"/>
        <v>10.5</v>
      </c>
      <c r="Z142" s="85"/>
      <c r="AN142" s="85">
        <v>65</v>
      </c>
    </row>
    <row r="143" spans="1:40" x14ac:dyDescent="0.55000000000000004">
      <c r="A143" s="82" t="s">
        <v>310</v>
      </c>
      <c r="B143" s="82" t="s">
        <v>312</v>
      </c>
      <c r="C143" s="82" t="s">
        <v>401</v>
      </c>
      <c r="D143" s="82" t="s">
        <v>486</v>
      </c>
      <c r="E143" s="85"/>
      <c r="F143" s="85"/>
      <c r="I143" s="100">
        <v>44369</v>
      </c>
      <c r="J143" s="104" t="s">
        <v>255</v>
      </c>
      <c r="K143" s="82" t="s">
        <v>375</v>
      </c>
      <c r="L143" s="82" t="s">
        <v>534</v>
      </c>
      <c r="M143" s="82"/>
      <c r="N143" s="82">
        <v>30</v>
      </c>
      <c r="O143" s="82">
        <v>3</v>
      </c>
      <c r="P143" s="82"/>
      <c r="Q143" s="82">
        <v>1.5</v>
      </c>
      <c r="R143" s="82">
        <v>1.5</v>
      </c>
      <c r="S143" s="82"/>
      <c r="T143" s="82"/>
      <c r="U143" s="82"/>
      <c r="V143" s="82"/>
      <c r="Y143" s="82">
        <f t="shared" si="5"/>
        <v>36</v>
      </c>
      <c r="Z143" s="85"/>
      <c r="AN143" s="85">
        <v>65</v>
      </c>
    </row>
    <row r="144" spans="1:40" x14ac:dyDescent="0.55000000000000004">
      <c r="A144" s="82" t="s">
        <v>310</v>
      </c>
      <c r="B144" s="82" t="s">
        <v>314</v>
      </c>
      <c r="C144" s="82" t="s">
        <v>391</v>
      </c>
      <c r="D144" s="82" t="s">
        <v>487</v>
      </c>
      <c r="E144" s="85"/>
      <c r="F144" s="85"/>
      <c r="I144" s="100">
        <v>44371</v>
      </c>
      <c r="J144" s="104" t="s">
        <v>255</v>
      </c>
      <c r="K144" s="82" t="s">
        <v>375</v>
      </c>
      <c r="L144" s="82" t="s">
        <v>534</v>
      </c>
      <c r="M144" s="82"/>
      <c r="N144" s="82">
        <v>12</v>
      </c>
      <c r="O144" s="82"/>
      <c r="P144" s="82"/>
      <c r="Q144" s="82"/>
      <c r="R144" s="82"/>
      <c r="S144" s="82"/>
      <c r="T144" s="82"/>
      <c r="U144" s="82"/>
      <c r="V144" s="82"/>
      <c r="Y144" s="82">
        <f t="shared" si="5"/>
        <v>12</v>
      </c>
      <c r="Z144" s="85"/>
      <c r="AN144" s="85">
        <v>65</v>
      </c>
    </row>
    <row r="145" spans="1:40" x14ac:dyDescent="0.55000000000000004">
      <c r="A145" s="82" t="s">
        <v>310</v>
      </c>
      <c r="B145" s="82" t="s">
        <v>311</v>
      </c>
      <c r="C145" s="82" t="s">
        <v>315</v>
      </c>
      <c r="D145" s="82" t="s">
        <v>488</v>
      </c>
      <c r="E145" s="85"/>
      <c r="F145" s="85"/>
      <c r="I145" s="100">
        <v>44371</v>
      </c>
      <c r="J145" s="104" t="s">
        <v>255</v>
      </c>
      <c r="K145" s="82" t="s">
        <v>522</v>
      </c>
      <c r="L145" s="82" t="s">
        <v>534</v>
      </c>
      <c r="M145" s="82"/>
      <c r="N145" s="82"/>
      <c r="O145" s="82">
        <v>3</v>
      </c>
      <c r="P145" s="82"/>
      <c r="Q145" s="82"/>
      <c r="R145" s="82">
        <v>2</v>
      </c>
      <c r="S145" s="82"/>
      <c r="T145" s="82"/>
      <c r="U145" s="82"/>
      <c r="V145" s="82"/>
      <c r="Y145" s="82">
        <f t="shared" si="5"/>
        <v>5</v>
      </c>
      <c r="Z145" s="85"/>
      <c r="AN145" s="85">
        <v>65</v>
      </c>
    </row>
    <row r="146" spans="1:40" x14ac:dyDescent="0.55000000000000004">
      <c r="A146" s="82" t="s">
        <v>310</v>
      </c>
      <c r="B146" s="82" t="s">
        <v>314</v>
      </c>
      <c r="C146" s="82" t="s">
        <v>394</v>
      </c>
      <c r="D146" s="82" t="s">
        <v>489</v>
      </c>
      <c r="E146" s="85"/>
      <c r="F146" s="85"/>
      <c r="I146" s="100">
        <v>44371</v>
      </c>
      <c r="J146" s="104" t="s">
        <v>255</v>
      </c>
      <c r="K146" s="82" t="s">
        <v>375</v>
      </c>
      <c r="L146" s="82" t="s">
        <v>534</v>
      </c>
      <c r="M146" s="82"/>
      <c r="N146" s="82">
        <v>15</v>
      </c>
      <c r="O146" s="82"/>
      <c r="P146" s="82"/>
      <c r="Q146" s="82"/>
      <c r="R146" s="82"/>
      <c r="S146" s="82"/>
      <c r="T146" s="82"/>
      <c r="U146" s="82"/>
      <c r="V146" s="82"/>
      <c r="Y146" s="82">
        <f t="shared" si="5"/>
        <v>15</v>
      </c>
      <c r="Z146" s="85"/>
      <c r="AN146" s="85">
        <v>65</v>
      </c>
    </row>
    <row r="147" spans="1:40" x14ac:dyDescent="0.55000000000000004">
      <c r="A147" s="82" t="s">
        <v>310</v>
      </c>
      <c r="B147" s="82" t="s">
        <v>313</v>
      </c>
      <c r="C147" s="82" t="s">
        <v>398</v>
      </c>
      <c r="D147" s="82" t="s">
        <v>481</v>
      </c>
      <c r="E147" s="85"/>
      <c r="F147" s="85"/>
      <c r="I147" s="100">
        <v>44371</v>
      </c>
      <c r="J147" s="104" t="s">
        <v>255</v>
      </c>
      <c r="K147" s="82" t="s">
        <v>522</v>
      </c>
      <c r="L147" s="82" t="s">
        <v>534</v>
      </c>
      <c r="M147" s="82"/>
      <c r="N147" s="82">
        <v>3</v>
      </c>
      <c r="O147" s="82">
        <v>6</v>
      </c>
      <c r="P147" s="82"/>
      <c r="Q147" s="82"/>
      <c r="R147" s="82">
        <v>4</v>
      </c>
      <c r="S147" s="82"/>
      <c r="T147" s="82"/>
      <c r="U147" s="82"/>
      <c r="V147" s="82"/>
      <c r="Y147" s="82">
        <f t="shared" si="5"/>
        <v>13</v>
      </c>
      <c r="Z147" s="85"/>
      <c r="AN147" s="85">
        <v>65</v>
      </c>
    </row>
    <row r="148" spans="1:40" x14ac:dyDescent="0.55000000000000004">
      <c r="A148" s="82" t="s">
        <v>310</v>
      </c>
      <c r="B148" s="82" t="s">
        <v>312</v>
      </c>
      <c r="C148" s="82" t="s">
        <v>329</v>
      </c>
      <c r="D148" s="82" t="s">
        <v>421</v>
      </c>
      <c r="E148" s="85"/>
      <c r="F148" s="85"/>
      <c r="I148" s="100">
        <v>44373</v>
      </c>
      <c r="J148" s="104" t="s">
        <v>255</v>
      </c>
      <c r="K148" s="82" t="s">
        <v>524</v>
      </c>
      <c r="L148" s="82" t="s">
        <v>534</v>
      </c>
      <c r="M148" s="82"/>
      <c r="N148" s="82">
        <v>10</v>
      </c>
      <c r="O148" s="82">
        <v>3</v>
      </c>
      <c r="P148" s="82"/>
      <c r="Q148" s="82">
        <v>1.5</v>
      </c>
      <c r="R148" s="82">
        <v>1.5</v>
      </c>
      <c r="S148" s="82"/>
      <c r="T148" s="82"/>
      <c r="U148" s="82"/>
      <c r="V148" s="82"/>
      <c r="Y148" s="82">
        <f t="shared" si="5"/>
        <v>16</v>
      </c>
      <c r="Z148" s="85"/>
      <c r="AN148" s="85">
        <v>65</v>
      </c>
    </row>
    <row r="149" spans="1:40" x14ac:dyDescent="0.55000000000000004">
      <c r="A149" s="82" t="s">
        <v>310</v>
      </c>
      <c r="B149" s="82" t="s">
        <v>312</v>
      </c>
      <c r="C149" s="82" t="s">
        <v>329</v>
      </c>
      <c r="D149" s="82" t="s">
        <v>421</v>
      </c>
      <c r="E149" s="85"/>
      <c r="F149" s="85"/>
      <c r="I149" s="100">
        <v>44373</v>
      </c>
      <c r="J149" s="104" t="s">
        <v>255</v>
      </c>
      <c r="K149" s="82" t="s">
        <v>523</v>
      </c>
      <c r="L149" s="82" t="s">
        <v>534</v>
      </c>
      <c r="M149" s="82"/>
      <c r="N149" s="82">
        <v>25</v>
      </c>
      <c r="O149" s="82">
        <v>5</v>
      </c>
      <c r="P149" s="82"/>
      <c r="Q149" s="82"/>
      <c r="R149" s="82"/>
      <c r="S149" s="82"/>
      <c r="T149" s="82"/>
      <c r="U149" s="82"/>
      <c r="V149" s="82"/>
      <c r="Y149" s="82">
        <f t="shared" si="5"/>
        <v>30</v>
      </c>
      <c r="Z149" s="85"/>
      <c r="AN149" s="85">
        <v>65</v>
      </c>
    </row>
    <row r="150" spans="1:40" x14ac:dyDescent="0.55000000000000004">
      <c r="A150" s="82" t="s">
        <v>310</v>
      </c>
      <c r="B150" s="82" t="s">
        <v>314</v>
      </c>
      <c r="C150" s="82" t="s">
        <v>388</v>
      </c>
      <c r="D150" s="82" t="s">
        <v>490</v>
      </c>
      <c r="E150" s="85"/>
      <c r="F150" s="85"/>
      <c r="I150" s="100">
        <v>44373</v>
      </c>
      <c r="J150" s="104" t="s">
        <v>255</v>
      </c>
      <c r="K150" s="82" t="s">
        <v>375</v>
      </c>
      <c r="L150" s="82" t="s">
        <v>534</v>
      </c>
      <c r="M150" s="82"/>
      <c r="N150" s="82">
        <v>10</v>
      </c>
      <c r="O150" s="82"/>
      <c r="P150" s="82"/>
      <c r="Q150" s="82"/>
      <c r="R150" s="82"/>
      <c r="S150" s="82"/>
      <c r="T150" s="82"/>
      <c r="U150" s="82"/>
      <c r="V150" s="82"/>
      <c r="Y150" s="82">
        <f t="shared" si="5"/>
        <v>10</v>
      </c>
      <c r="Z150" s="85"/>
      <c r="AN150" s="85">
        <v>65</v>
      </c>
    </row>
    <row r="151" spans="1:40" x14ac:dyDescent="0.55000000000000004">
      <c r="A151" s="82" t="s">
        <v>310</v>
      </c>
      <c r="B151" s="82" t="s">
        <v>314</v>
      </c>
      <c r="C151" s="82" t="s">
        <v>388</v>
      </c>
      <c r="D151" s="82" t="s">
        <v>491</v>
      </c>
      <c r="E151" s="85"/>
      <c r="F151" s="85"/>
      <c r="I151" s="100">
        <v>44375</v>
      </c>
      <c r="J151" s="104" t="s">
        <v>255</v>
      </c>
      <c r="K151" s="82" t="s">
        <v>375</v>
      </c>
      <c r="L151" s="82" t="s">
        <v>534</v>
      </c>
      <c r="M151" s="82"/>
      <c r="N151" s="82">
        <v>12</v>
      </c>
      <c r="O151" s="82"/>
      <c r="P151" s="82"/>
      <c r="Q151" s="82"/>
      <c r="R151" s="82"/>
      <c r="S151" s="82"/>
      <c r="T151" s="82"/>
      <c r="U151" s="82"/>
      <c r="V151" s="82"/>
      <c r="Y151" s="82">
        <f t="shared" si="5"/>
        <v>12</v>
      </c>
      <c r="Z151" s="85"/>
      <c r="AN151" s="85">
        <v>65</v>
      </c>
    </row>
    <row r="152" spans="1:40" s="102" customFormat="1" x14ac:dyDescent="0.55000000000000004">
      <c r="A152" s="60" t="s">
        <v>310</v>
      </c>
      <c r="B152" s="60" t="s">
        <v>312</v>
      </c>
      <c r="C152" s="60" t="s">
        <v>401</v>
      </c>
      <c r="D152" s="60" t="s">
        <v>492</v>
      </c>
      <c r="E152" s="114"/>
      <c r="F152" s="114"/>
      <c r="I152" s="108">
        <v>44373</v>
      </c>
      <c r="J152" s="109" t="s">
        <v>255</v>
      </c>
      <c r="K152" s="60" t="s">
        <v>375</v>
      </c>
      <c r="L152" s="60" t="s">
        <v>534</v>
      </c>
      <c r="M152" s="60"/>
      <c r="N152" s="60">
        <v>13</v>
      </c>
      <c r="O152" s="60"/>
      <c r="P152" s="60"/>
      <c r="Q152" s="60"/>
      <c r="R152" s="60"/>
      <c r="S152" s="60"/>
      <c r="T152" s="60"/>
      <c r="U152" s="60"/>
      <c r="V152" s="60"/>
      <c r="Y152" s="60">
        <f t="shared" si="5"/>
        <v>13</v>
      </c>
      <c r="Z152" s="114"/>
      <c r="AN152" s="85">
        <v>65</v>
      </c>
    </row>
    <row r="153" spans="1:40" x14ac:dyDescent="0.55000000000000004">
      <c r="A153" s="82" t="s">
        <v>310</v>
      </c>
      <c r="B153" s="82" t="s">
        <v>312</v>
      </c>
      <c r="C153" s="82" t="s">
        <v>325</v>
      </c>
      <c r="D153" s="82" t="s">
        <v>493</v>
      </c>
      <c r="E153" s="85"/>
      <c r="F153" s="85"/>
      <c r="I153" s="100">
        <v>44380</v>
      </c>
      <c r="J153" s="104" t="s">
        <v>255</v>
      </c>
      <c r="K153" s="82" t="s">
        <v>375</v>
      </c>
      <c r="L153" s="82" t="s">
        <v>534</v>
      </c>
      <c r="M153" s="82"/>
      <c r="N153" s="82">
        <v>30</v>
      </c>
      <c r="O153" s="82">
        <v>3</v>
      </c>
      <c r="P153" s="82"/>
      <c r="Q153" s="82">
        <v>1.5</v>
      </c>
      <c r="R153" s="82">
        <v>1.5</v>
      </c>
      <c r="S153" s="82"/>
      <c r="T153" s="82"/>
      <c r="U153" s="82"/>
      <c r="V153" s="82"/>
      <c r="Y153" s="82">
        <f t="shared" si="5"/>
        <v>36</v>
      </c>
      <c r="Z153" s="85"/>
      <c r="AN153" s="85">
        <v>65</v>
      </c>
    </row>
    <row r="154" spans="1:40" x14ac:dyDescent="0.55000000000000004">
      <c r="A154" s="82" t="s">
        <v>310</v>
      </c>
      <c r="B154" s="82" t="s">
        <v>314</v>
      </c>
      <c r="C154" s="82" t="s">
        <v>388</v>
      </c>
      <c r="D154" s="82" t="s">
        <v>494</v>
      </c>
      <c r="E154" s="85"/>
      <c r="F154" s="85"/>
      <c r="I154" s="100">
        <v>44380</v>
      </c>
      <c r="J154" s="104" t="s">
        <v>255</v>
      </c>
      <c r="K154" s="82" t="s">
        <v>375</v>
      </c>
      <c r="L154" s="82" t="s">
        <v>534</v>
      </c>
      <c r="M154" s="82"/>
      <c r="N154" s="82">
        <v>10</v>
      </c>
      <c r="O154" s="82"/>
      <c r="P154" s="82"/>
      <c r="Q154" s="82"/>
      <c r="R154" s="82"/>
      <c r="S154" s="82"/>
      <c r="T154" s="82"/>
      <c r="U154" s="82"/>
      <c r="V154" s="82"/>
      <c r="Y154" s="82">
        <f t="shared" si="5"/>
        <v>10</v>
      </c>
      <c r="Z154" s="85"/>
      <c r="AN154" s="85">
        <v>65</v>
      </c>
    </row>
    <row r="155" spans="1:40" x14ac:dyDescent="0.55000000000000004">
      <c r="A155" s="82" t="s">
        <v>310</v>
      </c>
      <c r="B155" s="82" t="s">
        <v>312</v>
      </c>
      <c r="C155" s="82" t="s">
        <v>399</v>
      </c>
      <c r="D155" s="82" t="s">
        <v>495</v>
      </c>
      <c r="E155" s="85"/>
      <c r="F155" s="85"/>
      <c r="I155" s="100">
        <v>44382</v>
      </c>
      <c r="J155" s="104" t="s">
        <v>255</v>
      </c>
      <c r="K155" s="82" t="s">
        <v>375</v>
      </c>
      <c r="L155" s="82" t="s">
        <v>534</v>
      </c>
      <c r="M155" s="82"/>
      <c r="N155" s="82">
        <v>30</v>
      </c>
      <c r="O155" s="82">
        <v>3</v>
      </c>
      <c r="P155" s="82"/>
      <c r="Q155" s="82">
        <v>1.5</v>
      </c>
      <c r="R155" s="82">
        <v>1.5</v>
      </c>
      <c r="S155" s="82"/>
      <c r="T155" s="82"/>
      <c r="U155" s="82"/>
      <c r="V155" s="82"/>
      <c r="Y155" s="82">
        <f t="shared" si="5"/>
        <v>36</v>
      </c>
      <c r="Z155" s="85"/>
      <c r="AN155" s="85">
        <v>65</v>
      </c>
    </row>
    <row r="156" spans="1:40" x14ac:dyDescent="0.55000000000000004">
      <c r="A156" s="82" t="s">
        <v>310</v>
      </c>
      <c r="B156" s="82" t="s">
        <v>314</v>
      </c>
      <c r="C156" s="82" t="s">
        <v>334</v>
      </c>
      <c r="D156" s="82" t="s">
        <v>496</v>
      </c>
      <c r="E156" s="85"/>
      <c r="F156" s="85"/>
      <c r="I156" s="100">
        <v>44384</v>
      </c>
      <c r="J156" s="104" t="s">
        <v>255</v>
      </c>
      <c r="K156" s="82" t="s">
        <v>375</v>
      </c>
      <c r="L156" s="82" t="s">
        <v>534</v>
      </c>
      <c r="M156" s="82"/>
      <c r="N156" s="82">
        <v>12</v>
      </c>
      <c r="O156" s="82"/>
      <c r="P156" s="82"/>
      <c r="Q156" s="82"/>
      <c r="R156" s="82"/>
      <c r="S156" s="82"/>
      <c r="T156" s="82"/>
      <c r="U156" s="82"/>
      <c r="V156" s="82"/>
      <c r="Y156" s="82">
        <f t="shared" si="5"/>
        <v>12</v>
      </c>
      <c r="Z156" s="85"/>
      <c r="AN156" s="85">
        <v>65</v>
      </c>
    </row>
    <row r="157" spans="1:40" x14ac:dyDescent="0.55000000000000004">
      <c r="A157" s="82" t="s">
        <v>310</v>
      </c>
      <c r="B157" s="82" t="s">
        <v>314</v>
      </c>
      <c r="C157" s="82" t="s">
        <v>394</v>
      </c>
      <c r="D157" s="82" t="s">
        <v>489</v>
      </c>
      <c r="E157" s="85"/>
      <c r="F157" s="85"/>
      <c r="I157" s="100">
        <v>44385</v>
      </c>
      <c r="J157" s="104" t="s">
        <v>255</v>
      </c>
      <c r="K157" s="82" t="s">
        <v>375</v>
      </c>
      <c r="L157" s="82" t="s">
        <v>534</v>
      </c>
      <c r="M157" s="82"/>
      <c r="N157" s="82">
        <v>12</v>
      </c>
      <c r="O157" s="82"/>
      <c r="P157" s="82"/>
      <c r="Q157" s="82"/>
      <c r="R157" s="82"/>
      <c r="S157" s="82"/>
      <c r="T157" s="82"/>
      <c r="U157" s="82"/>
      <c r="V157" s="82"/>
      <c r="Y157" s="82">
        <f t="shared" si="5"/>
        <v>12</v>
      </c>
      <c r="Z157" s="85"/>
      <c r="AN157" s="85">
        <v>65</v>
      </c>
    </row>
    <row r="158" spans="1:40" x14ac:dyDescent="0.55000000000000004">
      <c r="A158" s="82" t="s">
        <v>310</v>
      </c>
      <c r="B158" s="82" t="s">
        <v>312</v>
      </c>
      <c r="C158" s="82" t="s">
        <v>321</v>
      </c>
      <c r="D158" s="82" t="s">
        <v>497</v>
      </c>
      <c r="E158" s="85"/>
      <c r="F158" s="85"/>
      <c r="I158" s="100">
        <v>44389</v>
      </c>
      <c r="J158" s="104" t="s">
        <v>255</v>
      </c>
      <c r="K158" s="82" t="s">
        <v>375</v>
      </c>
      <c r="L158" s="82" t="s">
        <v>534</v>
      </c>
      <c r="M158" s="82"/>
      <c r="N158" s="82">
        <v>30</v>
      </c>
      <c r="O158" s="82">
        <v>3</v>
      </c>
      <c r="P158" s="82"/>
      <c r="Q158" s="82">
        <v>1.5</v>
      </c>
      <c r="R158" s="82">
        <v>1.5</v>
      </c>
      <c r="S158" s="82"/>
      <c r="T158" s="82"/>
      <c r="U158" s="82"/>
      <c r="V158" s="82"/>
      <c r="Y158" s="82">
        <f t="shared" si="5"/>
        <v>36</v>
      </c>
      <c r="Z158" s="85"/>
      <c r="AN158" s="85">
        <v>65</v>
      </c>
    </row>
    <row r="159" spans="1:40" x14ac:dyDescent="0.55000000000000004">
      <c r="A159" s="82" t="s">
        <v>310</v>
      </c>
      <c r="B159" s="82" t="s">
        <v>312</v>
      </c>
      <c r="C159" s="82" t="s">
        <v>321</v>
      </c>
      <c r="D159" s="82" t="s">
        <v>444</v>
      </c>
      <c r="E159" s="85"/>
      <c r="F159" s="85"/>
      <c r="I159" s="100">
        <v>44390</v>
      </c>
      <c r="J159" s="104" t="s">
        <v>255</v>
      </c>
      <c r="K159" s="82" t="s">
        <v>526</v>
      </c>
      <c r="L159" s="82" t="s">
        <v>534</v>
      </c>
      <c r="M159" s="82"/>
      <c r="N159" s="82">
        <v>17</v>
      </c>
      <c r="O159" s="82">
        <v>6</v>
      </c>
      <c r="P159" s="82"/>
      <c r="Q159" s="82"/>
      <c r="R159" s="82">
        <v>1.5</v>
      </c>
      <c r="S159" s="82"/>
      <c r="T159" s="82"/>
      <c r="U159" s="82"/>
      <c r="V159" s="82"/>
      <c r="Y159" s="82">
        <f t="shared" si="5"/>
        <v>24.5</v>
      </c>
      <c r="Z159" s="85"/>
      <c r="AN159" s="85">
        <v>65</v>
      </c>
    </row>
    <row r="160" spans="1:40" x14ac:dyDescent="0.55000000000000004">
      <c r="A160" s="82" t="s">
        <v>310</v>
      </c>
      <c r="B160" s="82" t="s">
        <v>312</v>
      </c>
      <c r="C160" s="82" t="s">
        <v>329</v>
      </c>
      <c r="D160" s="82" t="s">
        <v>498</v>
      </c>
      <c r="E160" s="85"/>
      <c r="F160" s="85"/>
      <c r="I160" s="100">
        <v>44390</v>
      </c>
      <c r="J160" s="104" t="s">
        <v>255</v>
      </c>
      <c r="K160" s="82" t="s">
        <v>524</v>
      </c>
      <c r="L160" s="82" t="s">
        <v>534</v>
      </c>
      <c r="M160" s="82"/>
      <c r="N160" s="82">
        <v>15</v>
      </c>
      <c r="O160" s="82">
        <v>6</v>
      </c>
      <c r="P160" s="82"/>
      <c r="Q160" s="82"/>
      <c r="R160" s="82">
        <v>3</v>
      </c>
      <c r="S160" s="82"/>
      <c r="T160" s="82"/>
      <c r="U160" s="82"/>
      <c r="V160" s="82"/>
      <c r="Y160" s="82">
        <f t="shared" si="5"/>
        <v>24</v>
      </c>
      <c r="Z160" s="85"/>
      <c r="AN160" s="85">
        <v>65</v>
      </c>
    </row>
    <row r="161" spans="1:40" s="102" customFormat="1" x14ac:dyDescent="0.55000000000000004">
      <c r="A161" s="60" t="s">
        <v>310</v>
      </c>
      <c r="B161" s="60" t="s">
        <v>312</v>
      </c>
      <c r="C161" s="60" t="s">
        <v>326</v>
      </c>
      <c r="D161" s="60" t="s">
        <v>499</v>
      </c>
      <c r="E161" s="114"/>
      <c r="F161" s="114"/>
      <c r="I161" s="108">
        <v>44391</v>
      </c>
      <c r="J161" s="109" t="s">
        <v>255</v>
      </c>
      <c r="K161" s="60" t="s">
        <v>527</v>
      </c>
      <c r="L161" s="60" t="s">
        <v>534</v>
      </c>
      <c r="M161" s="60"/>
      <c r="N161" s="60">
        <v>15</v>
      </c>
      <c r="O161" s="60"/>
      <c r="P161" s="60"/>
      <c r="Q161" s="60"/>
      <c r="R161" s="60"/>
      <c r="S161" s="60"/>
      <c r="T161" s="60"/>
      <c r="U161" s="60"/>
      <c r="V161" s="60"/>
      <c r="Y161" s="60">
        <f t="shared" si="5"/>
        <v>15</v>
      </c>
      <c r="Z161" s="114"/>
      <c r="AN161" s="85">
        <v>65</v>
      </c>
    </row>
    <row r="162" spans="1:40" x14ac:dyDescent="0.55000000000000004">
      <c r="A162" s="82" t="s">
        <v>310</v>
      </c>
      <c r="B162" s="82" t="s">
        <v>314</v>
      </c>
      <c r="C162" s="82" t="s">
        <v>391</v>
      </c>
      <c r="D162" s="82" t="s">
        <v>500</v>
      </c>
      <c r="E162" s="85"/>
      <c r="F162" s="85"/>
      <c r="I162" s="100">
        <v>44391</v>
      </c>
      <c r="J162" s="104" t="s">
        <v>255</v>
      </c>
      <c r="K162" s="82" t="s">
        <v>375</v>
      </c>
      <c r="L162" s="82" t="s">
        <v>534</v>
      </c>
      <c r="M162" s="82"/>
      <c r="N162" s="82">
        <v>10</v>
      </c>
      <c r="O162" s="82"/>
      <c r="P162" s="82"/>
      <c r="Q162" s="82"/>
      <c r="R162" s="82"/>
      <c r="S162" s="82"/>
      <c r="T162" s="82"/>
      <c r="U162" s="82"/>
      <c r="V162" s="82"/>
      <c r="Y162" s="82">
        <f t="shared" si="5"/>
        <v>10</v>
      </c>
      <c r="Z162" s="85"/>
      <c r="AN162" s="85">
        <v>65</v>
      </c>
    </row>
    <row r="163" spans="1:40" x14ac:dyDescent="0.55000000000000004">
      <c r="A163" s="82" t="s">
        <v>310</v>
      </c>
      <c r="B163" s="82" t="s">
        <v>314</v>
      </c>
      <c r="C163" s="82" t="s">
        <v>395</v>
      </c>
      <c r="D163" s="82" t="s">
        <v>455</v>
      </c>
      <c r="E163" s="85"/>
      <c r="F163" s="85"/>
      <c r="I163" s="100">
        <v>44391</v>
      </c>
      <c r="J163" s="104" t="s">
        <v>255</v>
      </c>
      <c r="K163" s="82" t="s">
        <v>375</v>
      </c>
      <c r="L163" s="82" t="s">
        <v>534</v>
      </c>
      <c r="M163" s="82"/>
      <c r="N163" s="82">
        <v>5</v>
      </c>
      <c r="O163" s="82"/>
      <c r="P163" s="82"/>
      <c r="Q163" s="82"/>
      <c r="R163" s="82"/>
      <c r="S163" s="82">
        <v>20</v>
      </c>
      <c r="T163" s="82"/>
      <c r="U163" s="82"/>
      <c r="V163" s="82"/>
      <c r="Y163" s="82">
        <f t="shared" si="5"/>
        <v>25</v>
      </c>
      <c r="Z163" s="85"/>
      <c r="AN163" s="85">
        <v>65</v>
      </c>
    </row>
    <row r="164" spans="1:40" x14ac:dyDescent="0.55000000000000004">
      <c r="A164" s="82" t="s">
        <v>310</v>
      </c>
      <c r="B164" s="82" t="s">
        <v>312</v>
      </c>
      <c r="C164" s="82" t="s">
        <v>335</v>
      </c>
      <c r="D164" s="82" t="s">
        <v>370</v>
      </c>
      <c r="E164" s="85"/>
      <c r="F164" s="85"/>
      <c r="I164" s="100">
        <v>44392</v>
      </c>
      <c r="J164" s="104" t="s">
        <v>255</v>
      </c>
      <c r="K164" s="82" t="s">
        <v>524</v>
      </c>
      <c r="L164" s="82" t="s">
        <v>534</v>
      </c>
      <c r="M164" s="82"/>
      <c r="N164" s="82">
        <v>10</v>
      </c>
      <c r="O164" s="82">
        <v>3</v>
      </c>
      <c r="P164" s="82"/>
      <c r="Q164" s="82"/>
      <c r="R164" s="82">
        <v>1.5</v>
      </c>
      <c r="S164" s="82"/>
      <c r="T164" s="82"/>
      <c r="U164" s="82"/>
      <c r="V164" s="82"/>
      <c r="Y164" s="82">
        <f t="shared" si="5"/>
        <v>14.5</v>
      </c>
      <c r="Z164" s="85"/>
      <c r="AN164" s="85">
        <v>65</v>
      </c>
    </row>
    <row r="165" spans="1:40" x14ac:dyDescent="0.55000000000000004">
      <c r="A165" s="82" t="s">
        <v>310</v>
      </c>
      <c r="B165" s="82" t="s">
        <v>314</v>
      </c>
      <c r="C165" s="82" t="s">
        <v>332</v>
      </c>
      <c r="D165" s="82" t="s">
        <v>462</v>
      </c>
      <c r="E165" s="85"/>
      <c r="F165" s="85"/>
      <c r="I165" s="100">
        <v>44393</v>
      </c>
      <c r="J165" s="104" t="s">
        <v>255</v>
      </c>
      <c r="K165" s="82" t="s">
        <v>528</v>
      </c>
      <c r="L165" s="82" t="s">
        <v>534</v>
      </c>
      <c r="M165" s="82"/>
      <c r="N165" s="82">
        <v>13</v>
      </c>
      <c r="O165" s="82"/>
      <c r="P165" s="82"/>
      <c r="Q165" s="82"/>
      <c r="R165" s="82"/>
      <c r="S165" s="82"/>
      <c r="T165" s="82"/>
      <c r="U165" s="82"/>
      <c r="V165" s="82"/>
      <c r="Y165" s="82">
        <f t="shared" si="5"/>
        <v>13</v>
      </c>
      <c r="Z165" s="85"/>
      <c r="AN165" s="85">
        <v>65</v>
      </c>
    </row>
    <row r="166" spans="1:40" x14ac:dyDescent="0.55000000000000004">
      <c r="A166" s="82" t="s">
        <v>310</v>
      </c>
      <c r="B166" s="82" t="s">
        <v>314</v>
      </c>
      <c r="C166" s="82" t="s">
        <v>334</v>
      </c>
      <c r="D166" s="82" t="s">
        <v>368</v>
      </c>
      <c r="E166" s="85"/>
      <c r="F166" s="85"/>
      <c r="I166" s="100">
        <v>44393</v>
      </c>
      <c r="J166" s="104" t="s">
        <v>255</v>
      </c>
      <c r="K166" s="82" t="s">
        <v>375</v>
      </c>
      <c r="L166" s="82" t="s">
        <v>534</v>
      </c>
      <c r="M166" s="82"/>
      <c r="N166" s="82">
        <v>5</v>
      </c>
      <c r="O166" s="82"/>
      <c r="P166" s="82"/>
      <c r="Q166" s="82"/>
      <c r="R166" s="82"/>
      <c r="S166" s="82">
        <v>15</v>
      </c>
      <c r="T166" s="82"/>
      <c r="U166" s="82"/>
      <c r="V166" s="82"/>
      <c r="Y166" s="82">
        <f t="shared" si="5"/>
        <v>20</v>
      </c>
      <c r="Z166" s="85"/>
      <c r="AN166" s="85">
        <v>65</v>
      </c>
    </row>
    <row r="167" spans="1:40" x14ac:dyDescent="0.55000000000000004">
      <c r="A167" s="82" t="s">
        <v>310</v>
      </c>
      <c r="B167" s="82" t="s">
        <v>313</v>
      </c>
      <c r="C167" s="82" t="s">
        <v>402</v>
      </c>
      <c r="D167" s="82" t="s">
        <v>501</v>
      </c>
      <c r="E167" s="85"/>
      <c r="F167" s="85"/>
      <c r="I167" s="100">
        <v>44394</v>
      </c>
      <c r="J167" s="104" t="s">
        <v>255</v>
      </c>
      <c r="K167" s="82" t="s">
        <v>523</v>
      </c>
      <c r="L167" s="82" t="s">
        <v>534</v>
      </c>
      <c r="M167" s="82"/>
      <c r="N167" s="82">
        <v>11</v>
      </c>
      <c r="O167" s="82">
        <v>16</v>
      </c>
      <c r="P167" s="82">
        <v>5</v>
      </c>
      <c r="Q167" s="82"/>
      <c r="R167" s="82"/>
      <c r="S167" s="82"/>
      <c r="T167" s="82"/>
      <c r="U167" s="82"/>
      <c r="V167" s="82"/>
      <c r="Y167" s="82">
        <f t="shared" si="5"/>
        <v>32</v>
      </c>
      <c r="Z167" s="85"/>
      <c r="AN167" s="85">
        <v>65</v>
      </c>
    </row>
    <row r="168" spans="1:40" x14ac:dyDescent="0.55000000000000004">
      <c r="A168" s="82" t="s">
        <v>310</v>
      </c>
      <c r="B168" s="82" t="s">
        <v>312</v>
      </c>
      <c r="C168" s="82" t="s">
        <v>321</v>
      </c>
      <c r="D168" s="82" t="s">
        <v>502</v>
      </c>
      <c r="E168" s="85"/>
      <c r="F168" s="85"/>
      <c r="I168" s="100">
        <v>44394</v>
      </c>
      <c r="J168" s="104" t="s">
        <v>255</v>
      </c>
      <c r="K168" s="82" t="s">
        <v>375</v>
      </c>
      <c r="L168" s="82" t="s">
        <v>534</v>
      </c>
      <c r="M168" s="82"/>
      <c r="N168" s="82">
        <v>30</v>
      </c>
      <c r="O168" s="82">
        <v>3</v>
      </c>
      <c r="P168" s="82"/>
      <c r="Q168" s="82">
        <v>1.5</v>
      </c>
      <c r="R168" s="82">
        <v>1.5</v>
      </c>
      <c r="S168" s="82"/>
      <c r="T168" s="82"/>
      <c r="U168" s="82"/>
      <c r="V168" s="82"/>
      <c r="Y168" s="82">
        <f t="shared" si="5"/>
        <v>36</v>
      </c>
      <c r="Z168" s="85"/>
      <c r="AN168" s="85">
        <v>65</v>
      </c>
    </row>
    <row r="169" spans="1:40" x14ac:dyDescent="0.55000000000000004">
      <c r="A169" s="82" t="s">
        <v>310</v>
      </c>
      <c r="B169" s="82" t="s">
        <v>311</v>
      </c>
      <c r="C169" s="82" t="s">
        <v>315</v>
      </c>
      <c r="D169" s="82" t="s">
        <v>503</v>
      </c>
      <c r="E169" s="85"/>
      <c r="F169" s="85"/>
      <c r="I169" s="100">
        <v>44394</v>
      </c>
      <c r="J169" s="104" t="s">
        <v>255</v>
      </c>
      <c r="K169" s="82" t="s">
        <v>375</v>
      </c>
      <c r="L169" s="82" t="s">
        <v>534</v>
      </c>
      <c r="M169" s="82"/>
      <c r="N169" s="82">
        <v>10</v>
      </c>
      <c r="O169" s="82"/>
      <c r="P169" s="82"/>
      <c r="Q169" s="82"/>
      <c r="R169" s="82"/>
      <c r="S169" s="82"/>
      <c r="T169" s="82"/>
      <c r="U169" s="82"/>
      <c r="V169" s="82"/>
      <c r="Y169" s="82">
        <f t="shared" si="5"/>
        <v>10</v>
      </c>
      <c r="Z169" s="85"/>
      <c r="AN169" s="85">
        <v>65</v>
      </c>
    </row>
    <row r="170" spans="1:40" x14ac:dyDescent="0.55000000000000004">
      <c r="A170" s="82" t="s">
        <v>310</v>
      </c>
      <c r="B170" s="82" t="s">
        <v>311</v>
      </c>
      <c r="C170" s="82" t="s">
        <v>315</v>
      </c>
      <c r="D170" s="82" t="s">
        <v>504</v>
      </c>
      <c r="E170" s="85"/>
      <c r="F170" s="85"/>
      <c r="I170" s="100">
        <v>44394</v>
      </c>
      <c r="J170" s="104" t="s">
        <v>255</v>
      </c>
      <c r="K170" s="82" t="s">
        <v>375</v>
      </c>
      <c r="L170" s="82" t="s">
        <v>534</v>
      </c>
      <c r="M170" s="82"/>
      <c r="N170" s="82"/>
      <c r="O170" s="82"/>
      <c r="P170" s="82"/>
      <c r="Q170" s="82"/>
      <c r="R170" s="82"/>
      <c r="S170" s="82">
        <v>5</v>
      </c>
      <c r="T170" s="82"/>
      <c r="U170" s="82"/>
      <c r="V170" s="82"/>
      <c r="Y170" s="82">
        <f t="shared" si="5"/>
        <v>5</v>
      </c>
      <c r="Z170" s="85"/>
      <c r="AN170" s="85">
        <v>65</v>
      </c>
    </row>
    <row r="171" spans="1:40" x14ac:dyDescent="0.55000000000000004">
      <c r="A171" s="82" t="s">
        <v>310</v>
      </c>
      <c r="B171" s="82" t="s">
        <v>312</v>
      </c>
      <c r="C171" s="82" t="s">
        <v>396</v>
      </c>
      <c r="D171" s="82" t="s">
        <v>505</v>
      </c>
      <c r="E171" s="85"/>
      <c r="F171" s="85"/>
      <c r="I171" s="100">
        <v>44395</v>
      </c>
      <c r="J171" s="104" t="s">
        <v>255</v>
      </c>
      <c r="K171" s="82" t="s">
        <v>526</v>
      </c>
      <c r="L171" s="82" t="s">
        <v>534</v>
      </c>
      <c r="M171" s="82"/>
      <c r="N171" s="82">
        <v>22</v>
      </c>
      <c r="O171" s="82"/>
      <c r="P171" s="82"/>
      <c r="Q171" s="82"/>
      <c r="R171" s="82"/>
      <c r="S171" s="82"/>
      <c r="T171" s="82"/>
      <c r="U171" s="82"/>
      <c r="V171" s="82"/>
      <c r="Y171" s="82">
        <f t="shared" si="5"/>
        <v>22</v>
      </c>
      <c r="Z171" s="85"/>
      <c r="AN171" s="85">
        <v>65</v>
      </c>
    </row>
    <row r="172" spans="1:40" x14ac:dyDescent="0.55000000000000004">
      <c r="A172" s="82" t="s">
        <v>310</v>
      </c>
      <c r="B172" s="82" t="s">
        <v>312</v>
      </c>
      <c r="C172" s="82" t="s">
        <v>321</v>
      </c>
      <c r="D172" s="82" t="s">
        <v>506</v>
      </c>
      <c r="E172" s="85"/>
      <c r="F172" s="85"/>
      <c r="I172" s="100">
        <v>44396</v>
      </c>
      <c r="J172" s="104" t="s">
        <v>255</v>
      </c>
      <c r="K172" s="82" t="s">
        <v>375</v>
      </c>
      <c r="L172" s="82" t="s">
        <v>534</v>
      </c>
      <c r="M172" s="82"/>
      <c r="N172" s="82">
        <v>30</v>
      </c>
      <c r="O172" s="82">
        <v>3</v>
      </c>
      <c r="P172" s="82"/>
      <c r="Q172" s="82">
        <v>1.5</v>
      </c>
      <c r="R172" s="82">
        <v>1.5</v>
      </c>
      <c r="S172" s="82"/>
      <c r="T172" s="82"/>
      <c r="U172" s="82"/>
      <c r="V172" s="82"/>
      <c r="Y172" s="82">
        <f t="shared" si="5"/>
        <v>36</v>
      </c>
      <c r="Z172" s="85"/>
      <c r="AN172" s="85">
        <v>65</v>
      </c>
    </row>
    <row r="173" spans="1:40" x14ac:dyDescent="0.55000000000000004">
      <c r="A173" s="82" t="s">
        <v>310</v>
      </c>
      <c r="B173" s="82" t="s">
        <v>314</v>
      </c>
      <c r="C173" s="82" t="s">
        <v>395</v>
      </c>
      <c r="D173" s="82" t="s">
        <v>507</v>
      </c>
      <c r="E173" s="85"/>
      <c r="F173" s="85"/>
      <c r="I173" s="100">
        <v>44396</v>
      </c>
      <c r="J173" s="104" t="s">
        <v>255</v>
      </c>
      <c r="K173" s="82" t="s">
        <v>375</v>
      </c>
      <c r="L173" s="82" t="s">
        <v>534</v>
      </c>
      <c r="M173" s="82"/>
      <c r="N173" s="82">
        <v>10</v>
      </c>
      <c r="O173" s="82"/>
      <c r="P173" s="82"/>
      <c r="Q173" s="82"/>
      <c r="R173" s="82"/>
      <c r="S173" s="82"/>
      <c r="T173" s="82"/>
      <c r="U173" s="82"/>
      <c r="V173" s="82"/>
      <c r="Y173" s="82">
        <f t="shared" si="5"/>
        <v>10</v>
      </c>
      <c r="Z173" s="85"/>
      <c r="AN173" s="85">
        <v>65</v>
      </c>
    </row>
    <row r="174" spans="1:40" x14ac:dyDescent="0.55000000000000004">
      <c r="A174" s="82" t="s">
        <v>310</v>
      </c>
      <c r="B174" s="82" t="s">
        <v>312</v>
      </c>
      <c r="C174" s="82" t="s">
        <v>321</v>
      </c>
      <c r="D174" s="82" t="s">
        <v>508</v>
      </c>
      <c r="E174" s="85"/>
      <c r="F174" s="85"/>
      <c r="I174" s="100">
        <v>44397</v>
      </c>
      <c r="J174" s="104" t="s">
        <v>255</v>
      </c>
      <c r="K174" s="82" t="s">
        <v>375</v>
      </c>
      <c r="L174" s="82" t="s">
        <v>534</v>
      </c>
      <c r="M174" s="82"/>
      <c r="N174" s="82">
        <v>13</v>
      </c>
      <c r="O174" s="82"/>
      <c r="P174" s="82"/>
      <c r="Q174" s="82"/>
      <c r="R174" s="82"/>
      <c r="S174" s="82"/>
      <c r="T174" s="82"/>
      <c r="U174" s="82"/>
      <c r="V174" s="82"/>
      <c r="Y174" s="82">
        <f t="shared" si="5"/>
        <v>13</v>
      </c>
      <c r="Z174" s="85"/>
      <c r="AN174" s="85">
        <v>65</v>
      </c>
    </row>
    <row r="175" spans="1:40" x14ac:dyDescent="0.55000000000000004">
      <c r="A175" s="82" t="s">
        <v>310</v>
      </c>
      <c r="B175" s="82" t="s">
        <v>312</v>
      </c>
      <c r="C175" s="82" t="s">
        <v>331</v>
      </c>
      <c r="D175" s="82" t="s">
        <v>509</v>
      </c>
      <c r="E175" s="85"/>
      <c r="F175" s="85"/>
      <c r="I175" s="100">
        <v>44397</v>
      </c>
      <c r="J175" s="104" t="s">
        <v>255</v>
      </c>
      <c r="K175" s="82" t="s">
        <v>524</v>
      </c>
      <c r="L175" s="82" t="s">
        <v>534</v>
      </c>
      <c r="M175" s="82"/>
      <c r="N175" s="82">
        <v>15</v>
      </c>
      <c r="O175" s="82"/>
      <c r="P175" s="82"/>
      <c r="Q175" s="82"/>
      <c r="R175" s="82"/>
      <c r="S175" s="82"/>
      <c r="T175" s="82"/>
      <c r="U175" s="82"/>
      <c r="V175" s="82"/>
      <c r="Y175" s="82">
        <f t="shared" si="5"/>
        <v>15</v>
      </c>
      <c r="Z175" s="85"/>
      <c r="AN175" s="85">
        <v>65</v>
      </c>
    </row>
    <row r="176" spans="1:40" x14ac:dyDescent="0.55000000000000004">
      <c r="A176" s="82" t="s">
        <v>310</v>
      </c>
      <c r="B176" s="82" t="s">
        <v>312</v>
      </c>
      <c r="C176" s="82" t="s">
        <v>331</v>
      </c>
      <c r="D176" s="82" t="s">
        <v>510</v>
      </c>
      <c r="E176" s="85"/>
      <c r="F176" s="85"/>
      <c r="I176" s="100">
        <v>44398</v>
      </c>
      <c r="J176" s="104" t="s">
        <v>255</v>
      </c>
      <c r="K176" s="82" t="s">
        <v>524</v>
      </c>
      <c r="L176" s="82" t="s">
        <v>534</v>
      </c>
      <c r="M176" s="82"/>
      <c r="N176" s="82">
        <v>15</v>
      </c>
      <c r="O176" s="82"/>
      <c r="P176" s="82"/>
      <c r="Q176" s="82"/>
      <c r="R176" s="82"/>
      <c r="S176" s="82"/>
      <c r="T176" s="82"/>
      <c r="U176" s="82"/>
      <c r="V176" s="82"/>
      <c r="Y176" s="82">
        <f t="shared" si="5"/>
        <v>15</v>
      </c>
      <c r="Z176" s="85"/>
      <c r="AN176" s="85">
        <v>65</v>
      </c>
    </row>
    <row r="177" spans="1:40" x14ac:dyDescent="0.55000000000000004">
      <c r="A177" s="82" t="s">
        <v>310</v>
      </c>
      <c r="B177" s="82" t="s">
        <v>313</v>
      </c>
      <c r="C177" s="82" t="s">
        <v>386</v>
      </c>
      <c r="D177" s="82" t="s">
        <v>483</v>
      </c>
      <c r="E177" s="85"/>
      <c r="F177" s="85"/>
      <c r="I177" s="100">
        <v>44399</v>
      </c>
      <c r="J177" s="104" t="s">
        <v>255</v>
      </c>
      <c r="K177" s="82" t="s">
        <v>522</v>
      </c>
      <c r="L177" s="82" t="s">
        <v>534</v>
      </c>
      <c r="M177" s="82"/>
      <c r="N177" s="82">
        <v>6</v>
      </c>
      <c r="O177" s="82">
        <v>12</v>
      </c>
      <c r="P177" s="82"/>
      <c r="Q177" s="82"/>
      <c r="R177" s="82">
        <v>8</v>
      </c>
      <c r="S177" s="82"/>
      <c r="T177" s="82"/>
      <c r="U177" s="82"/>
      <c r="V177" s="82"/>
      <c r="Y177" s="82">
        <f t="shared" si="5"/>
        <v>26</v>
      </c>
      <c r="Z177" s="85"/>
      <c r="AN177" s="85">
        <v>65</v>
      </c>
    </row>
    <row r="178" spans="1:40" s="102" customFormat="1" x14ac:dyDescent="0.55000000000000004">
      <c r="A178" s="60" t="s">
        <v>310</v>
      </c>
      <c r="B178" s="60" t="s">
        <v>383</v>
      </c>
      <c r="C178" s="60" t="s">
        <v>403</v>
      </c>
      <c r="D178" s="60" t="s">
        <v>511</v>
      </c>
      <c r="E178" s="114"/>
      <c r="F178" s="114"/>
      <c r="I178" s="108">
        <v>44402</v>
      </c>
      <c r="J178" s="109" t="s">
        <v>255</v>
      </c>
      <c r="K178" s="60" t="s">
        <v>375</v>
      </c>
      <c r="L178" s="60" t="s">
        <v>534</v>
      </c>
      <c r="M178" s="60"/>
      <c r="N178" s="60">
        <v>18</v>
      </c>
      <c r="O178" s="60"/>
      <c r="P178" s="60"/>
      <c r="Q178" s="60"/>
      <c r="R178" s="60"/>
      <c r="S178" s="60"/>
      <c r="T178" s="60"/>
      <c r="U178" s="60"/>
      <c r="V178" s="60"/>
      <c r="Y178" s="60">
        <f t="shared" si="5"/>
        <v>18</v>
      </c>
      <c r="Z178" s="114"/>
      <c r="AN178" s="85">
        <v>65</v>
      </c>
    </row>
    <row r="179" spans="1:40" x14ac:dyDescent="0.55000000000000004">
      <c r="A179" s="82" t="s">
        <v>310</v>
      </c>
      <c r="B179" s="82" t="s">
        <v>311</v>
      </c>
      <c r="C179" s="82" t="s">
        <v>316</v>
      </c>
      <c r="D179" s="82" t="s">
        <v>512</v>
      </c>
      <c r="E179" s="85"/>
      <c r="F179" s="85"/>
      <c r="I179" s="100">
        <v>44405</v>
      </c>
      <c r="J179" s="104" t="s">
        <v>255</v>
      </c>
      <c r="K179" s="82" t="s">
        <v>529</v>
      </c>
      <c r="L179" s="82" t="s">
        <v>534</v>
      </c>
      <c r="M179" s="82"/>
      <c r="N179" s="82"/>
      <c r="O179" s="82"/>
      <c r="P179" s="82"/>
      <c r="Q179" s="82"/>
      <c r="R179" s="82"/>
      <c r="S179" s="82">
        <v>20</v>
      </c>
      <c r="T179" s="82"/>
      <c r="U179" s="82"/>
      <c r="V179" s="82">
        <v>40</v>
      </c>
      <c r="Y179" s="82">
        <f t="shared" si="5"/>
        <v>60</v>
      </c>
      <c r="Z179" s="85"/>
      <c r="AN179" s="85">
        <v>65</v>
      </c>
    </row>
    <row r="180" spans="1:40" x14ac:dyDescent="0.55000000000000004">
      <c r="A180" s="82" t="s">
        <v>310</v>
      </c>
      <c r="B180" s="82" t="s">
        <v>312</v>
      </c>
      <c r="C180" s="82" t="s">
        <v>329</v>
      </c>
      <c r="D180" s="82" t="s">
        <v>421</v>
      </c>
      <c r="E180" s="85"/>
      <c r="F180" s="85"/>
      <c r="H180" s="110">
        <v>19093.78</v>
      </c>
      <c r="I180" s="100">
        <v>44571</v>
      </c>
      <c r="J180" s="104" t="s">
        <v>255</v>
      </c>
      <c r="K180" s="82" t="s">
        <v>530</v>
      </c>
      <c r="N180" s="82">
        <v>10</v>
      </c>
      <c r="O180" s="82">
        <v>3</v>
      </c>
      <c r="P180" s="82"/>
      <c r="Q180" s="82"/>
      <c r="R180" s="82">
        <v>1.5</v>
      </c>
      <c r="S180" s="82"/>
      <c r="T180" s="82"/>
      <c r="U180" s="82"/>
      <c r="V180" s="82"/>
      <c r="Y180" s="82">
        <f t="shared" si="5"/>
        <v>14.5</v>
      </c>
      <c r="Z180" s="85"/>
      <c r="AN180" s="85">
        <v>65</v>
      </c>
    </row>
    <row r="181" spans="1:40" x14ac:dyDescent="0.55000000000000004">
      <c r="A181" s="82" t="s">
        <v>310</v>
      </c>
      <c r="B181" s="82" t="s">
        <v>312</v>
      </c>
      <c r="C181" s="82" t="s">
        <v>404</v>
      </c>
      <c r="D181" s="82" t="s">
        <v>513</v>
      </c>
      <c r="E181" s="85"/>
      <c r="F181" s="85"/>
      <c r="H181" s="110">
        <v>44495.4</v>
      </c>
      <c r="I181" s="100">
        <v>44574</v>
      </c>
      <c r="J181" s="104" t="s">
        <v>255</v>
      </c>
      <c r="K181" s="82" t="s">
        <v>375</v>
      </c>
      <c r="N181" s="82">
        <v>30</v>
      </c>
      <c r="O181" s="82"/>
      <c r="P181" s="82"/>
      <c r="Q181" s="82"/>
      <c r="R181" s="82"/>
      <c r="S181" s="82"/>
      <c r="T181" s="82"/>
      <c r="U181" s="82"/>
      <c r="V181" s="82"/>
      <c r="Y181" s="82">
        <f t="shared" si="5"/>
        <v>30</v>
      </c>
      <c r="Z181" s="85"/>
      <c r="AN181" s="85">
        <v>65</v>
      </c>
    </row>
    <row r="182" spans="1:40" x14ac:dyDescent="0.55000000000000004">
      <c r="A182" s="82" t="s">
        <v>310</v>
      </c>
      <c r="B182" s="82" t="s">
        <v>312</v>
      </c>
      <c r="C182" s="82" t="s">
        <v>404</v>
      </c>
      <c r="D182" s="82" t="s">
        <v>514</v>
      </c>
      <c r="E182" s="85"/>
      <c r="F182" s="85"/>
      <c r="H182" s="110">
        <v>22247.7</v>
      </c>
      <c r="I182" s="100">
        <v>44576</v>
      </c>
      <c r="J182" s="104" t="s">
        <v>255</v>
      </c>
      <c r="K182" s="82" t="s">
        <v>375</v>
      </c>
      <c r="N182" s="82">
        <v>15</v>
      </c>
      <c r="O182" s="82"/>
      <c r="P182" s="82"/>
      <c r="Q182" s="82"/>
      <c r="R182" s="82"/>
      <c r="S182" s="82"/>
      <c r="T182" s="82"/>
      <c r="U182" s="82"/>
      <c r="V182" s="82"/>
      <c r="Y182" s="82">
        <f t="shared" si="5"/>
        <v>15</v>
      </c>
      <c r="Z182" s="85"/>
      <c r="AN182" s="85">
        <v>65</v>
      </c>
    </row>
    <row r="183" spans="1:40" x14ac:dyDescent="0.55000000000000004">
      <c r="A183" s="82" t="s">
        <v>310</v>
      </c>
      <c r="B183" s="82" t="s">
        <v>312</v>
      </c>
      <c r="C183" s="82" t="s">
        <v>385</v>
      </c>
      <c r="D183" s="82" t="s">
        <v>442</v>
      </c>
      <c r="E183" s="85"/>
      <c r="F183" s="85"/>
      <c r="H183" s="110">
        <v>22934.799999999999</v>
      </c>
      <c r="I183" s="100">
        <v>44583</v>
      </c>
      <c r="J183" s="104" t="s">
        <v>255</v>
      </c>
      <c r="K183" s="82" t="s">
        <v>530</v>
      </c>
      <c r="N183" s="82">
        <v>10</v>
      </c>
      <c r="O183" s="82"/>
      <c r="P183" s="82"/>
      <c r="Q183" s="82"/>
      <c r="R183" s="82"/>
      <c r="S183" s="82">
        <v>20</v>
      </c>
      <c r="T183" s="82"/>
      <c r="U183" s="82"/>
      <c r="V183" s="82"/>
      <c r="Y183" s="82">
        <f t="shared" si="5"/>
        <v>30</v>
      </c>
      <c r="Z183" s="85"/>
      <c r="AN183" s="85">
        <v>65</v>
      </c>
    </row>
    <row r="184" spans="1:40" x14ac:dyDescent="0.55000000000000004">
      <c r="A184" s="82" t="s">
        <v>310</v>
      </c>
      <c r="B184" s="82" t="s">
        <v>312</v>
      </c>
      <c r="C184" s="82" t="s">
        <v>329</v>
      </c>
      <c r="D184" s="82" t="s">
        <v>515</v>
      </c>
      <c r="E184" s="85"/>
      <c r="F184" s="85"/>
      <c r="H184" s="110">
        <v>14831.8</v>
      </c>
      <c r="I184" s="100">
        <v>44594</v>
      </c>
      <c r="J184" s="104" t="s">
        <v>255</v>
      </c>
      <c r="K184" s="82" t="s">
        <v>530</v>
      </c>
      <c r="N184" s="82">
        <v>10</v>
      </c>
      <c r="O184" s="82"/>
      <c r="P184" s="82"/>
      <c r="Q184" s="82"/>
      <c r="R184" s="82"/>
      <c r="S184" s="82"/>
      <c r="T184" s="82"/>
      <c r="U184" s="82"/>
      <c r="V184" s="82"/>
      <c r="Y184" s="82">
        <f t="shared" si="5"/>
        <v>10</v>
      </c>
      <c r="Z184" s="85"/>
      <c r="AN184" s="85">
        <v>65</v>
      </c>
    </row>
    <row r="185" spans="1:40" x14ac:dyDescent="0.55000000000000004">
      <c r="A185" s="82" t="s">
        <v>310</v>
      </c>
      <c r="B185" s="82" t="s">
        <v>312</v>
      </c>
      <c r="C185" s="82" t="s">
        <v>326</v>
      </c>
      <c r="D185" s="82" t="s">
        <v>469</v>
      </c>
      <c r="E185" s="85"/>
      <c r="F185" s="85"/>
      <c r="H185" s="110">
        <v>22247.7</v>
      </c>
      <c r="I185" s="100">
        <v>44597</v>
      </c>
      <c r="J185" s="104" t="s">
        <v>255</v>
      </c>
      <c r="K185" s="82" t="s">
        <v>530</v>
      </c>
      <c r="N185" s="82">
        <v>15</v>
      </c>
      <c r="O185" s="82"/>
      <c r="P185" s="82"/>
      <c r="Q185" s="82"/>
      <c r="R185" s="82"/>
      <c r="S185" s="82"/>
      <c r="T185" s="82"/>
      <c r="U185" s="82"/>
      <c r="V185" s="82"/>
      <c r="Y185" s="82">
        <f t="shared" si="5"/>
        <v>15</v>
      </c>
      <c r="Z185" s="85"/>
      <c r="AN185" s="85">
        <v>65</v>
      </c>
    </row>
    <row r="186" spans="1:40" x14ac:dyDescent="0.55000000000000004">
      <c r="A186" s="82" t="s">
        <v>310</v>
      </c>
      <c r="B186" s="82" t="s">
        <v>312</v>
      </c>
      <c r="C186" s="82" t="s">
        <v>321</v>
      </c>
      <c r="D186" s="82" t="s">
        <v>516</v>
      </c>
      <c r="E186" s="85"/>
      <c r="F186" s="85"/>
      <c r="H186" s="110">
        <v>14831.8</v>
      </c>
      <c r="I186" s="100">
        <v>44602</v>
      </c>
      <c r="J186" s="104" t="s">
        <v>255</v>
      </c>
      <c r="K186" s="82" t="s">
        <v>526</v>
      </c>
      <c r="N186" s="82">
        <v>10</v>
      </c>
      <c r="O186" s="82"/>
      <c r="P186" s="82"/>
      <c r="Q186" s="82"/>
      <c r="R186" s="82"/>
      <c r="S186" s="82"/>
      <c r="T186" s="82"/>
      <c r="U186" s="82"/>
      <c r="V186" s="82"/>
      <c r="Y186" s="82">
        <f t="shared" si="5"/>
        <v>10</v>
      </c>
      <c r="Z186" s="85"/>
      <c r="AN186" s="85">
        <v>65</v>
      </c>
    </row>
    <row r="187" spans="1:40" x14ac:dyDescent="0.55000000000000004">
      <c r="A187" s="82" t="s">
        <v>310</v>
      </c>
      <c r="B187" s="82" t="s">
        <v>312</v>
      </c>
      <c r="C187" s="82" t="s">
        <v>321</v>
      </c>
      <c r="D187" s="82" t="s">
        <v>516</v>
      </c>
      <c r="E187" s="85"/>
      <c r="F187" s="85"/>
      <c r="H187" s="110">
        <v>48785.380000000005</v>
      </c>
      <c r="I187" s="100">
        <v>44604</v>
      </c>
      <c r="J187" s="104" t="s">
        <v>255</v>
      </c>
      <c r="K187" s="82" t="s">
        <v>531</v>
      </c>
      <c r="N187" s="82">
        <v>30</v>
      </c>
      <c r="O187" s="82"/>
      <c r="P187" s="82"/>
      <c r="Q187" s="82"/>
      <c r="R187" s="82"/>
      <c r="S187" s="82"/>
      <c r="T187" s="82">
        <v>8</v>
      </c>
      <c r="U187" s="82"/>
      <c r="V187" s="82"/>
      <c r="Y187" s="82">
        <f t="shared" si="5"/>
        <v>38</v>
      </c>
      <c r="Z187" s="85"/>
      <c r="AN187" s="85">
        <v>65</v>
      </c>
    </row>
    <row r="188" spans="1:40" x14ac:dyDescent="0.55000000000000004">
      <c r="A188" s="82" t="s">
        <v>310</v>
      </c>
      <c r="B188" s="82" t="s">
        <v>312</v>
      </c>
      <c r="C188" s="82" t="s">
        <v>396</v>
      </c>
      <c r="D188" s="82" t="s">
        <v>505</v>
      </c>
      <c r="E188" s="85"/>
      <c r="F188" s="85"/>
      <c r="H188" s="110">
        <v>32629.96</v>
      </c>
      <c r="I188" s="100">
        <v>44621</v>
      </c>
      <c r="J188" s="104" t="s">
        <v>255</v>
      </c>
      <c r="K188" s="82" t="s">
        <v>526</v>
      </c>
      <c r="N188" s="82">
        <v>22</v>
      </c>
      <c r="O188" s="82"/>
      <c r="P188" s="82"/>
      <c r="Q188" s="82"/>
      <c r="R188" s="82"/>
      <c r="S188" s="82"/>
      <c r="T188" s="82"/>
      <c r="U188" s="82"/>
      <c r="V188" s="82"/>
      <c r="Y188" s="82">
        <f t="shared" si="5"/>
        <v>22</v>
      </c>
      <c r="Z188" s="85"/>
      <c r="AN188" s="85">
        <v>65</v>
      </c>
    </row>
    <row r="189" spans="1:40" x14ac:dyDescent="0.55000000000000004">
      <c r="A189" s="82" t="s">
        <v>310</v>
      </c>
      <c r="B189" s="82" t="s">
        <v>312</v>
      </c>
      <c r="C189" s="82" t="s">
        <v>326</v>
      </c>
      <c r="D189" s="82" t="s">
        <v>517</v>
      </c>
      <c r="E189" s="85"/>
      <c r="F189" s="85"/>
      <c r="H189" s="110">
        <v>44495.4</v>
      </c>
      <c r="I189" s="100">
        <v>44622</v>
      </c>
      <c r="J189" s="104" t="s">
        <v>255</v>
      </c>
      <c r="K189" s="82" t="s">
        <v>526</v>
      </c>
      <c r="N189" s="82">
        <v>30</v>
      </c>
      <c r="O189" s="82"/>
      <c r="P189" s="82"/>
      <c r="Q189" s="82"/>
      <c r="R189" s="82"/>
      <c r="S189" s="82"/>
      <c r="T189" s="82"/>
      <c r="U189" s="82"/>
      <c r="V189" s="82"/>
      <c r="Y189" s="82">
        <f t="shared" si="5"/>
        <v>30</v>
      </c>
      <c r="Z189" s="85"/>
      <c r="AN189" s="85">
        <v>65</v>
      </c>
    </row>
    <row r="190" spans="1:40" x14ac:dyDescent="0.55000000000000004">
      <c r="A190" s="82" t="s">
        <v>310</v>
      </c>
      <c r="B190" s="82" t="s">
        <v>312</v>
      </c>
      <c r="C190" s="82" t="s">
        <v>329</v>
      </c>
      <c r="D190" s="82" t="s">
        <v>498</v>
      </c>
      <c r="E190" s="85"/>
      <c r="F190" s="85"/>
      <c r="H190" s="110">
        <v>38187.550000000003</v>
      </c>
      <c r="I190" s="100">
        <v>44623</v>
      </c>
      <c r="J190" s="104" t="s">
        <v>255</v>
      </c>
      <c r="K190" s="82" t="s">
        <v>530</v>
      </c>
      <c r="N190" s="82">
        <v>20</v>
      </c>
      <c r="O190" s="82">
        <v>6</v>
      </c>
      <c r="P190" s="82"/>
      <c r="Q190" s="82"/>
      <c r="R190" s="82">
        <v>3</v>
      </c>
      <c r="S190" s="82"/>
      <c r="T190" s="82"/>
      <c r="U190" s="82"/>
      <c r="V190" s="82"/>
      <c r="Y190" s="82">
        <f t="shared" si="5"/>
        <v>29</v>
      </c>
      <c r="Z190" s="85"/>
      <c r="AN190" s="85">
        <v>65</v>
      </c>
    </row>
    <row r="191" spans="1:40" x14ac:dyDescent="0.55000000000000004">
      <c r="A191" s="82" t="s">
        <v>310</v>
      </c>
      <c r="B191" s="82" t="s">
        <v>312</v>
      </c>
      <c r="C191" s="82" t="s">
        <v>335</v>
      </c>
      <c r="D191" s="82" t="s">
        <v>370</v>
      </c>
      <c r="E191" s="85"/>
      <c r="F191" s="85"/>
      <c r="H191" s="110">
        <v>5807.68</v>
      </c>
      <c r="I191" s="100">
        <v>44627</v>
      </c>
      <c r="J191" s="104" t="s">
        <v>255</v>
      </c>
      <c r="K191" s="82" t="s">
        <v>532</v>
      </c>
      <c r="N191" s="82">
        <v>2</v>
      </c>
      <c r="O191" s="82">
        <v>2</v>
      </c>
      <c r="P191" s="82"/>
      <c r="Q191" s="82"/>
      <c r="R191" s="82">
        <v>1</v>
      </c>
      <c r="S191" s="82"/>
      <c r="T191" s="82"/>
      <c r="U191" s="82"/>
      <c r="V191" s="82"/>
      <c r="Y191" s="82">
        <f t="shared" si="5"/>
        <v>5</v>
      </c>
      <c r="Z191" s="85"/>
      <c r="AN191" s="85">
        <v>65</v>
      </c>
    </row>
    <row r="192" spans="1:40" x14ac:dyDescent="0.55000000000000004">
      <c r="A192" s="82" t="s">
        <v>310</v>
      </c>
      <c r="B192" s="82" t="s">
        <v>312</v>
      </c>
      <c r="C192" s="82" t="s">
        <v>335</v>
      </c>
      <c r="D192" s="82" t="s">
        <v>370</v>
      </c>
      <c r="E192" s="85"/>
      <c r="F192" s="85"/>
      <c r="H192" s="110">
        <v>19093.78</v>
      </c>
      <c r="I192" s="100">
        <v>44627</v>
      </c>
      <c r="J192" s="104" t="s">
        <v>255</v>
      </c>
      <c r="K192" s="82" t="s">
        <v>530</v>
      </c>
      <c r="N192" s="82">
        <v>10</v>
      </c>
      <c r="O192" s="82">
        <v>3</v>
      </c>
      <c r="P192" s="82"/>
      <c r="Q192" s="82"/>
      <c r="R192" s="82">
        <v>1.5</v>
      </c>
      <c r="S192" s="82"/>
      <c r="T192" s="82"/>
      <c r="U192" s="82"/>
      <c r="V192" s="82"/>
      <c r="Y192" s="82">
        <f t="shared" ref="Y192:Y199" si="6">SUM(N192:V192)</f>
        <v>14.5</v>
      </c>
      <c r="Z192" s="85"/>
      <c r="AN192" s="85">
        <v>65</v>
      </c>
    </row>
    <row r="193" spans="1:40" x14ac:dyDescent="0.55000000000000004">
      <c r="A193" s="82" t="s">
        <v>310</v>
      </c>
      <c r="B193" s="82" t="s">
        <v>312</v>
      </c>
      <c r="C193" s="82" t="s">
        <v>401</v>
      </c>
      <c r="D193" s="82" t="s">
        <v>518</v>
      </c>
      <c r="E193" s="85"/>
      <c r="F193" s="85"/>
      <c r="H193" s="110">
        <v>13006.47</v>
      </c>
      <c r="I193" s="100">
        <v>44634</v>
      </c>
      <c r="J193" s="104" t="s">
        <v>255</v>
      </c>
      <c r="K193" s="82" t="s">
        <v>532</v>
      </c>
      <c r="N193" s="82">
        <v>4</v>
      </c>
      <c r="O193" s="82">
        <v>4</v>
      </c>
      <c r="P193" s="82"/>
      <c r="Q193" s="82"/>
      <c r="R193" s="82">
        <v>4</v>
      </c>
      <c r="S193" s="82"/>
      <c r="T193" s="82"/>
      <c r="U193" s="82"/>
      <c r="V193" s="82">
        <v>10</v>
      </c>
      <c r="Y193" s="82">
        <f t="shared" si="6"/>
        <v>22</v>
      </c>
      <c r="Z193" s="85"/>
      <c r="AN193" s="85">
        <v>65</v>
      </c>
    </row>
    <row r="194" spans="1:40" x14ac:dyDescent="0.55000000000000004">
      <c r="A194" s="82" t="s">
        <v>310</v>
      </c>
      <c r="B194" s="82" t="s">
        <v>312</v>
      </c>
      <c r="C194" s="82" t="s">
        <v>401</v>
      </c>
      <c r="D194" s="82" t="s">
        <v>364</v>
      </c>
      <c r="E194" s="85"/>
      <c r="F194" s="85"/>
      <c r="H194" s="110">
        <v>12192.97</v>
      </c>
      <c r="I194" s="100">
        <v>44635</v>
      </c>
      <c r="J194" s="104" t="s">
        <v>255</v>
      </c>
      <c r="K194" s="82" t="s">
        <v>532</v>
      </c>
      <c r="N194" s="82">
        <v>4</v>
      </c>
      <c r="O194" s="82">
        <v>4</v>
      </c>
      <c r="P194" s="82"/>
      <c r="Q194" s="82"/>
      <c r="R194" s="82">
        <v>4</v>
      </c>
      <c r="S194" s="82"/>
      <c r="T194" s="82"/>
      <c r="U194" s="82"/>
      <c r="V194" s="82"/>
      <c r="Y194" s="82">
        <f t="shared" si="6"/>
        <v>12</v>
      </c>
      <c r="Z194" s="85"/>
      <c r="AN194" s="85">
        <v>65</v>
      </c>
    </row>
    <row r="195" spans="1:40" x14ac:dyDescent="0.55000000000000004">
      <c r="A195" s="82" t="s">
        <v>310</v>
      </c>
      <c r="B195" s="82" t="s">
        <v>312</v>
      </c>
      <c r="C195" s="82" t="s">
        <v>405</v>
      </c>
      <c r="D195" s="82" t="s">
        <v>519</v>
      </c>
      <c r="E195" s="85"/>
      <c r="F195" s="85"/>
      <c r="H195" s="110">
        <v>29663.599999999999</v>
      </c>
      <c r="I195" s="100">
        <v>44645</v>
      </c>
      <c r="J195" s="104" t="s">
        <v>255</v>
      </c>
      <c r="K195" s="82" t="s">
        <v>375</v>
      </c>
      <c r="N195" s="82">
        <v>20</v>
      </c>
      <c r="O195" s="82"/>
      <c r="P195" s="82"/>
      <c r="Q195" s="82"/>
      <c r="R195" s="82"/>
      <c r="S195" s="82"/>
      <c r="T195" s="82"/>
      <c r="U195" s="82"/>
      <c r="V195" s="82"/>
      <c r="Y195" s="82">
        <f t="shared" si="6"/>
        <v>20</v>
      </c>
      <c r="Z195" s="85"/>
      <c r="AN195" s="85">
        <v>65</v>
      </c>
    </row>
    <row r="196" spans="1:40" x14ac:dyDescent="0.55000000000000004">
      <c r="A196" s="82" t="s">
        <v>310</v>
      </c>
      <c r="B196" s="82" t="s">
        <v>312</v>
      </c>
      <c r="C196" s="82" t="s">
        <v>329</v>
      </c>
      <c r="D196" s="82" t="s">
        <v>421</v>
      </c>
      <c r="E196" s="85"/>
      <c r="F196" s="85"/>
      <c r="H196" s="110">
        <v>19093.78</v>
      </c>
      <c r="I196" s="100">
        <v>44656</v>
      </c>
      <c r="J196" s="104" t="s">
        <v>255</v>
      </c>
      <c r="K196" s="82" t="s">
        <v>530</v>
      </c>
      <c r="N196" s="82">
        <v>10</v>
      </c>
      <c r="O196" s="82">
        <v>3</v>
      </c>
      <c r="P196" s="82"/>
      <c r="Q196" s="82"/>
      <c r="R196" s="82">
        <v>1.5</v>
      </c>
      <c r="S196" s="82"/>
      <c r="T196" s="82"/>
      <c r="U196" s="82"/>
      <c r="V196" s="82"/>
      <c r="Y196" s="82">
        <f t="shared" si="6"/>
        <v>14.5</v>
      </c>
      <c r="Z196" s="85"/>
      <c r="AN196" s="85">
        <v>65</v>
      </c>
    </row>
    <row r="197" spans="1:40" x14ac:dyDescent="0.55000000000000004">
      <c r="A197" s="82" t="s">
        <v>310</v>
      </c>
      <c r="B197" s="82" t="s">
        <v>312</v>
      </c>
      <c r="C197" s="82" t="s">
        <v>325</v>
      </c>
      <c r="D197" s="82" t="s">
        <v>520</v>
      </c>
      <c r="E197" s="85"/>
      <c r="F197" s="85"/>
      <c r="H197" s="110">
        <v>10128.75</v>
      </c>
      <c r="I197" s="100">
        <v>44656</v>
      </c>
      <c r="J197" s="104" t="s">
        <v>255</v>
      </c>
      <c r="K197" s="82" t="s">
        <v>375</v>
      </c>
      <c r="N197" s="82"/>
      <c r="O197" s="82"/>
      <c r="P197" s="82"/>
      <c r="Q197" s="82"/>
      <c r="R197" s="82"/>
      <c r="S197" s="82">
        <v>25</v>
      </c>
      <c r="T197" s="82"/>
      <c r="U197" s="82"/>
      <c r="V197" s="82"/>
      <c r="Y197" s="82">
        <f t="shared" si="6"/>
        <v>25</v>
      </c>
      <c r="Z197" s="85"/>
      <c r="AN197" s="85">
        <v>65</v>
      </c>
    </row>
    <row r="198" spans="1:40" x14ac:dyDescent="0.55000000000000004">
      <c r="A198" s="82" t="s">
        <v>310</v>
      </c>
      <c r="B198" s="82" t="s">
        <v>312</v>
      </c>
      <c r="C198" s="82" t="s">
        <v>329</v>
      </c>
      <c r="D198" s="82" t="s">
        <v>515</v>
      </c>
      <c r="E198" s="85"/>
      <c r="F198" s="85"/>
      <c r="H198" s="110">
        <v>27867.82</v>
      </c>
      <c r="I198" s="100">
        <v>44673</v>
      </c>
      <c r="J198" s="104" t="s">
        <v>255</v>
      </c>
      <c r="K198" s="82" t="s">
        <v>530</v>
      </c>
      <c r="N198" s="82">
        <v>14</v>
      </c>
      <c r="O198" s="82">
        <v>5</v>
      </c>
      <c r="P198" s="82"/>
      <c r="Q198" s="82"/>
      <c r="R198" s="82">
        <v>2.5</v>
      </c>
      <c r="S198" s="82"/>
      <c r="T198" s="82"/>
      <c r="U198" s="82"/>
      <c r="V198" s="82"/>
      <c r="Y198" s="82">
        <f t="shared" si="6"/>
        <v>21.5</v>
      </c>
      <c r="Z198" s="85"/>
      <c r="AN198" s="85">
        <v>65</v>
      </c>
    </row>
    <row r="199" spans="1:40" x14ac:dyDescent="0.55000000000000004">
      <c r="A199" s="82" t="s">
        <v>310</v>
      </c>
      <c r="B199" s="82" t="s">
        <v>312</v>
      </c>
      <c r="C199" s="82" t="s">
        <v>329</v>
      </c>
      <c r="D199" s="82" t="s">
        <v>467</v>
      </c>
      <c r="E199" s="85"/>
      <c r="F199" s="85"/>
      <c r="H199" s="110">
        <v>37200.11</v>
      </c>
      <c r="I199" s="100">
        <v>44679</v>
      </c>
      <c r="J199" s="104" t="s">
        <v>255</v>
      </c>
      <c r="K199" s="82" t="s">
        <v>530</v>
      </c>
      <c r="N199" s="82">
        <v>20</v>
      </c>
      <c r="O199" s="82">
        <v>5</v>
      </c>
      <c r="P199" s="82"/>
      <c r="Q199" s="82"/>
      <c r="R199" s="82">
        <v>4</v>
      </c>
      <c r="S199" s="82"/>
      <c r="T199" s="82"/>
      <c r="U199" s="82"/>
      <c r="V199" s="82"/>
      <c r="Y199" s="82">
        <f t="shared" si="6"/>
        <v>29</v>
      </c>
      <c r="Z199" s="85"/>
      <c r="AN199" s="85">
        <v>65</v>
      </c>
    </row>
  </sheetData>
  <autoFilter ref="B1:AL199" xr:uid="{00000000-0009-0000-0000-000000000000}"/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1"/>
  <sheetViews>
    <sheetView zoomScale="55" zoomScaleNormal="55"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baseColWidth="10" defaultColWidth="11.41796875" defaultRowHeight="13.8" x14ac:dyDescent="0.55000000000000004"/>
  <cols>
    <col min="1" max="1" width="11" style="2" bestFit="1" customWidth="1"/>
    <col min="2" max="2" width="13.20703125" style="2" customWidth="1"/>
    <col min="3" max="3" width="20.41796875" style="2" customWidth="1"/>
    <col min="4" max="4" width="13.20703125" style="2" customWidth="1"/>
    <col min="5" max="5" width="22.5234375" style="2" customWidth="1"/>
    <col min="6" max="7" width="13.20703125" style="2" customWidth="1"/>
    <col min="8" max="13" width="11.89453125" style="2" customWidth="1"/>
    <col min="14" max="14" width="12.1015625" style="2" customWidth="1"/>
    <col min="15" max="16" width="11.41796875" style="2" customWidth="1"/>
    <col min="17" max="17" width="13.20703125" style="2" customWidth="1"/>
    <col min="18" max="19" width="12" style="2" customWidth="1"/>
    <col min="20" max="20" width="13.20703125" style="2" customWidth="1"/>
    <col min="21" max="27" width="13.20703125" style="84" customWidth="1"/>
    <col min="28" max="28" width="13.68359375" style="2" bestFit="1" customWidth="1"/>
    <col min="29" max="29" width="39.41796875" style="2" bestFit="1" customWidth="1"/>
    <col min="30" max="30" width="17.68359375" style="6" bestFit="1" customWidth="1"/>
    <col min="31" max="32" width="13.20703125" style="5" customWidth="1"/>
    <col min="33" max="33" width="9.1015625" style="6" bestFit="1" customWidth="1"/>
    <col min="34" max="34" width="11.89453125" style="2" customWidth="1"/>
    <col min="35" max="35" width="16.20703125" style="2" bestFit="1" customWidth="1"/>
    <col min="36" max="36" width="9.5234375" style="2" bestFit="1" customWidth="1"/>
    <col min="37" max="37" width="12.20703125" style="2" bestFit="1" customWidth="1"/>
    <col min="38" max="38" width="11.68359375" style="2" bestFit="1" customWidth="1"/>
    <col min="39" max="41" width="6.41796875" style="2" bestFit="1" customWidth="1"/>
    <col min="42" max="42" width="16.68359375" style="2" bestFit="1" customWidth="1"/>
    <col min="43" max="43" width="10.5234375" style="2" bestFit="1" customWidth="1"/>
    <col min="44" max="44" width="16.5234375" style="2" bestFit="1" customWidth="1"/>
    <col min="45" max="45" width="9.5234375" style="2" bestFit="1" customWidth="1"/>
    <col min="46" max="46" width="11.1015625" style="2" bestFit="1" customWidth="1"/>
    <col min="47" max="47" width="14.41796875" style="2" bestFit="1" customWidth="1"/>
    <col min="48" max="48" width="5.89453125" style="2" bestFit="1" customWidth="1"/>
    <col min="49" max="49" width="6.41796875" style="2" bestFit="1" customWidth="1"/>
    <col min="50" max="50" width="5.68359375" style="2" bestFit="1" customWidth="1"/>
    <col min="51" max="51" width="6.20703125" style="2" bestFit="1" customWidth="1"/>
    <col min="52" max="54" width="8.89453125" style="2" bestFit="1" customWidth="1"/>
    <col min="55" max="56" width="7.68359375" style="2" bestFit="1" customWidth="1"/>
    <col min="57" max="57" width="5.41796875" style="6" bestFit="1" customWidth="1"/>
    <col min="58" max="58" width="8.1015625" style="2" bestFit="1" customWidth="1"/>
    <col min="59" max="59" width="10.5234375" style="2" bestFit="1" customWidth="1"/>
    <col min="60" max="16384" width="11.41796875" style="2"/>
  </cols>
  <sheetData>
    <row r="1" spans="1:65" ht="14.25" customHeight="1" x14ac:dyDescent="0.55000000000000004">
      <c r="A1" s="122" t="s">
        <v>0</v>
      </c>
      <c r="B1" s="116" t="s">
        <v>1</v>
      </c>
      <c r="C1" s="122" t="s">
        <v>1</v>
      </c>
      <c r="D1" s="122" t="s">
        <v>2</v>
      </c>
      <c r="E1" s="122" t="s">
        <v>107</v>
      </c>
      <c r="F1" s="122" t="s">
        <v>63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83"/>
      <c r="V1" s="83"/>
      <c r="W1" s="83"/>
      <c r="X1" s="83"/>
      <c r="Y1" s="86"/>
      <c r="Z1" s="86"/>
      <c r="AA1" s="86"/>
      <c r="AB1" s="116" t="s">
        <v>57</v>
      </c>
      <c r="AC1" s="116" t="s">
        <v>55</v>
      </c>
      <c r="AD1" s="126" t="s">
        <v>75</v>
      </c>
      <c r="AE1" s="129" t="s">
        <v>6</v>
      </c>
      <c r="AF1" s="130"/>
      <c r="AG1" s="126" t="s">
        <v>80</v>
      </c>
      <c r="AH1" s="116" t="s">
        <v>79</v>
      </c>
      <c r="AI1" s="116" t="s">
        <v>101</v>
      </c>
      <c r="AJ1" s="116" t="s">
        <v>129</v>
      </c>
      <c r="AK1" s="119" t="s">
        <v>174</v>
      </c>
      <c r="AL1" s="120"/>
      <c r="AM1" s="120"/>
      <c r="AN1" s="120"/>
      <c r="AO1" s="121"/>
      <c r="AP1" s="119" t="s">
        <v>3</v>
      </c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1"/>
      <c r="BH1" s="119" t="s">
        <v>16</v>
      </c>
      <c r="BI1" s="120"/>
      <c r="BJ1" s="120"/>
      <c r="BK1" s="120"/>
      <c r="BL1" s="120"/>
      <c r="BM1" s="121"/>
    </row>
    <row r="2" spans="1:65" ht="14.25" customHeight="1" x14ac:dyDescent="0.55000000000000004">
      <c r="A2" s="122"/>
      <c r="B2" s="118"/>
      <c r="C2" s="122"/>
      <c r="D2" s="122"/>
      <c r="E2" s="122"/>
      <c r="F2" s="122"/>
      <c r="G2" s="1"/>
      <c r="H2" s="1"/>
      <c r="I2" s="1"/>
      <c r="J2" s="1"/>
      <c r="K2" s="1"/>
      <c r="L2" s="1"/>
      <c r="M2" s="1"/>
      <c r="N2" s="1"/>
      <c r="O2" s="122" t="s">
        <v>8</v>
      </c>
      <c r="P2" s="122"/>
      <c r="Q2" s="1"/>
      <c r="R2" s="119" t="s">
        <v>213</v>
      </c>
      <c r="S2" s="120"/>
      <c r="T2" s="121"/>
      <c r="U2" s="123" t="s">
        <v>214</v>
      </c>
      <c r="V2" s="124"/>
      <c r="W2" s="124"/>
      <c r="X2" s="125"/>
      <c r="Y2" s="89"/>
      <c r="Z2" s="89"/>
      <c r="AA2" s="89"/>
      <c r="AB2" s="118"/>
      <c r="AC2" s="118"/>
      <c r="AD2" s="127"/>
      <c r="AE2" s="131"/>
      <c r="AF2" s="132"/>
      <c r="AG2" s="127"/>
      <c r="AH2" s="118"/>
      <c r="AI2" s="118"/>
      <c r="AJ2" s="118"/>
      <c r="AK2" s="116" t="s">
        <v>126</v>
      </c>
      <c r="AL2" s="116" t="s">
        <v>122</v>
      </c>
      <c r="AM2" s="116" t="s">
        <v>98</v>
      </c>
      <c r="AN2" s="116" t="s">
        <v>99</v>
      </c>
      <c r="AO2" s="116" t="s">
        <v>100</v>
      </c>
      <c r="AP2" s="119" t="s">
        <v>4</v>
      </c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1"/>
      <c r="BC2" s="122" t="s">
        <v>15</v>
      </c>
      <c r="BD2" s="122" t="s">
        <v>135</v>
      </c>
      <c r="BE2" s="133" t="s">
        <v>156</v>
      </c>
      <c r="BF2" s="122" t="s">
        <v>7</v>
      </c>
      <c r="BG2" s="122" t="s">
        <v>74</v>
      </c>
      <c r="BH2" s="122" t="s">
        <v>8</v>
      </c>
      <c r="BI2" s="122"/>
      <c r="BJ2" s="122" t="s">
        <v>11</v>
      </c>
      <c r="BK2" s="122" t="s">
        <v>13</v>
      </c>
      <c r="BL2" s="122" t="s">
        <v>12</v>
      </c>
      <c r="BM2" s="122" t="s">
        <v>14</v>
      </c>
    </row>
    <row r="3" spans="1:65" ht="42.75" customHeight="1" x14ac:dyDescent="0.55000000000000004">
      <c r="A3" s="122"/>
      <c r="B3" s="117"/>
      <c r="C3" s="122"/>
      <c r="D3" s="122"/>
      <c r="E3" s="122"/>
      <c r="F3" s="122"/>
      <c r="G3" s="43" t="s">
        <v>41</v>
      </c>
      <c r="H3" s="43" t="s">
        <v>54</v>
      </c>
      <c r="I3" s="43" t="s">
        <v>42</v>
      </c>
      <c r="J3" s="43" t="s">
        <v>43</v>
      </c>
      <c r="K3" s="43" t="s">
        <v>53</v>
      </c>
      <c r="L3" s="43" t="s">
        <v>5</v>
      </c>
      <c r="M3" s="43" t="s">
        <v>208</v>
      </c>
      <c r="N3" s="43" t="s">
        <v>224</v>
      </c>
      <c r="O3" s="43" t="s">
        <v>210</v>
      </c>
      <c r="P3" s="43" t="s">
        <v>215</v>
      </c>
      <c r="Q3" s="43" t="s">
        <v>9</v>
      </c>
      <c r="R3" s="43" t="s">
        <v>243</v>
      </c>
      <c r="S3" s="43" t="s">
        <v>244</v>
      </c>
      <c r="T3" s="43" t="s">
        <v>245</v>
      </c>
      <c r="U3" s="86" t="s">
        <v>243</v>
      </c>
      <c r="V3" s="86" t="s">
        <v>244</v>
      </c>
      <c r="W3" s="86" t="s">
        <v>248</v>
      </c>
      <c r="X3" s="86" t="s">
        <v>245</v>
      </c>
      <c r="Y3" s="90"/>
      <c r="Z3" s="90"/>
      <c r="AA3" s="90"/>
      <c r="AB3" s="117"/>
      <c r="AC3" s="117"/>
      <c r="AD3" s="128"/>
      <c r="AE3" s="87" t="s">
        <v>97</v>
      </c>
      <c r="AF3" s="87" t="s">
        <v>96</v>
      </c>
      <c r="AG3" s="128"/>
      <c r="AH3" s="117"/>
      <c r="AI3" s="117"/>
      <c r="AJ3" s="117"/>
      <c r="AK3" s="117"/>
      <c r="AL3" s="117"/>
      <c r="AM3" s="117"/>
      <c r="AN3" s="117"/>
      <c r="AO3" s="117"/>
      <c r="AP3" s="43" t="s">
        <v>36</v>
      </c>
      <c r="AQ3" s="43" t="s">
        <v>44</v>
      </c>
      <c r="AR3" s="43" t="s">
        <v>45</v>
      </c>
      <c r="AS3" s="43" t="s">
        <v>46</v>
      </c>
      <c r="AT3" s="43" t="s">
        <v>47</v>
      </c>
      <c r="AU3" s="43" t="s">
        <v>51</v>
      </c>
      <c r="AV3" s="43" t="s">
        <v>41</v>
      </c>
      <c r="AW3" s="43" t="s">
        <v>54</v>
      </c>
      <c r="AX3" s="43" t="s">
        <v>42</v>
      </c>
      <c r="AY3" s="43" t="s">
        <v>43</v>
      </c>
      <c r="AZ3" s="43" t="s">
        <v>53</v>
      </c>
      <c r="BA3" s="43" t="s">
        <v>5</v>
      </c>
      <c r="BB3" s="43" t="s">
        <v>64</v>
      </c>
      <c r="BC3" s="122"/>
      <c r="BD3" s="122"/>
      <c r="BE3" s="133"/>
      <c r="BF3" s="122"/>
      <c r="BG3" s="122"/>
      <c r="BH3" s="43" t="s">
        <v>9</v>
      </c>
      <c r="BI3" s="43" t="s">
        <v>10</v>
      </c>
      <c r="BJ3" s="122"/>
      <c r="BK3" s="122"/>
      <c r="BL3" s="122"/>
      <c r="BM3" s="122"/>
    </row>
    <row r="4" spans="1:65" s="66" customFormat="1" ht="14.1" x14ac:dyDescent="0.55000000000000004">
      <c r="A4" s="66">
        <v>16</v>
      </c>
      <c r="B4" s="66" t="s">
        <v>192</v>
      </c>
      <c r="C4" s="66" t="s">
        <v>68</v>
      </c>
      <c r="D4" s="68">
        <v>44312</v>
      </c>
      <c r="E4" s="66" t="s">
        <v>105</v>
      </c>
      <c r="F4" s="66" t="s">
        <v>38</v>
      </c>
      <c r="G4" s="66">
        <v>45</v>
      </c>
      <c r="H4" s="66">
        <v>135</v>
      </c>
      <c r="I4" s="66">
        <v>40</v>
      </c>
      <c r="J4" s="66">
        <v>40</v>
      </c>
      <c r="K4" s="66">
        <v>58</v>
      </c>
      <c r="L4" s="66">
        <f>SUM(G4:K4)</f>
        <v>318</v>
      </c>
      <c r="M4" s="66">
        <f t="shared" ref="M4:M33" si="0">H4+I4</f>
        <v>175</v>
      </c>
      <c r="N4" s="66">
        <f t="shared" ref="N4:N33" si="1">AF4-AE4</f>
        <v>82</v>
      </c>
      <c r="O4" s="66">
        <v>6497</v>
      </c>
      <c r="P4" s="66">
        <v>8498</v>
      </c>
      <c r="Q4" s="66">
        <f t="shared" ref="Q4:Q33" si="2">P4-O4</f>
        <v>2001</v>
      </c>
      <c r="R4" s="66">
        <v>283</v>
      </c>
      <c r="S4" s="66">
        <v>426</v>
      </c>
      <c r="T4" s="66">
        <f t="shared" ref="T4:T41" si="3">S4-R4</f>
        <v>143</v>
      </c>
      <c r="U4" s="88"/>
      <c r="V4" s="88"/>
      <c r="W4" s="66" t="s">
        <v>250</v>
      </c>
      <c r="X4" s="66">
        <f t="shared" ref="X4:X41" si="4">V4-U4</f>
        <v>0</v>
      </c>
      <c r="AB4" s="66" t="s">
        <v>127</v>
      </c>
      <c r="AC4" s="66" t="s">
        <v>76</v>
      </c>
      <c r="AD4" s="66">
        <v>658.68</v>
      </c>
      <c r="AE4" s="66">
        <v>6729</v>
      </c>
      <c r="AF4" s="66">
        <v>6811</v>
      </c>
      <c r="AG4" s="66">
        <v>11974.082</v>
      </c>
      <c r="AH4" s="66">
        <v>166.4</v>
      </c>
      <c r="AI4" s="66" t="s">
        <v>102</v>
      </c>
      <c r="AJ4" s="66">
        <v>43</v>
      </c>
      <c r="AK4" s="66">
        <v>5.15</v>
      </c>
      <c r="AM4" s="66">
        <v>82</v>
      </c>
      <c r="AN4" s="66">
        <v>286.2</v>
      </c>
      <c r="AP4" s="66" t="s">
        <v>103</v>
      </c>
      <c r="AQ4" s="66" t="s">
        <v>83</v>
      </c>
      <c r="AR4" s="66" t="s">
        <v>71</v>
      </c>
      <c r="AS4" s="66" t="s">
        <v>70</v>
      </c>
      <c r="AT4" s="66" t="s">
        <v>72</v>
      </c>
      <c r="AU4" s="66" t="s">
        <v>164</v>
      </c>
      <c r="AV4" s="66">
        <v>45</v>
      </c>
      <c r="AW4" s="66">
        <v>135</v>
      </c>
      <c r="AX4" s="66">
        <v>40</v>
      </c>
      <c r="AY4" s="66">
        <v>40</v>
      </c>
      <c r="AZ4" s="66">
        <v>58</v>
      </c>
      <c r="BA4" s="66">
        <f t="shared" ref="BA4:BA10" si="5">SUM(AV4:AZ4)</f>
        <v>318</v>
      </c>
      <c r="BB4" s="66">
        <v>0</v>
      </c>
      <c r="BC4" s="66">
        <f t="shared" ref="BC4:BC31" si="6">AW4/AM4</f>
        <v>1.6463414634146341</v>
      </c>
      <c r="BD4" s="66">
        <f t="shared" ref="BD4:BD24" si="7">AW4/AN4</f>
        <v>0.47169811320754718</v>
      </c>
    </row>
    <row r="5" spans="1:65" s="66" customFormat="1" ht="14.1" x14ac:dyDescent="0.55000000000000004">
      <c r="A5" s="66">
        <v>3</v>
      </c>
      <c r="B5" s="88" t="s">
        <v>237</v>
      </c>
      <c r="C5" s="66" t="s">
        <v>235</v>
      </c>
      <c r="D5" s="68">
        <v>44343</v>
      </c>
      <c r="E5" s="66" t="s">
        <v>105</v>
      </c>
      <c r="F5" s="66" t="s">
        <v>38</v>
      </c>
      <c r="G5" s="66">
        <f>15+5+5+5+15</f>
        <v>45</v>
      </c>
      <c r="H5" s="66">
        <f>14+6+15+15+30+20+30+15</f>
        <v>145</v>
      </c>
      <c r="I5" s="66">
        <f>10+5+5+10+20</f>
        <v>50</v>
      </c>
      <c r="J5" s="66">
        <f>15+12+10</f>
        <v>37</v>
      </c>
      <c r="K5" s="66">
        <f>58</f>
        <v>58</v>
      </c>
      <c r="L5" s="66">
        <f>SUM(G5:K5)</f>
        <v>335</v>
      </c>
      <c r="M5" s="66">
        <f t="shared" si="0"/>
        <v>195</v>
      </c>
      <c r="N5" s="66">
        <f t="shared" si="1"/>
        <v>880</v>
      </c>
      <c r="O5" s="66">
        <v>4600</v>
      </c>
      <c r="P5" s="66">
        <v>6412</v>
      </c>
      <c r="Q5" s="66">
        <f t="shared" si="2"/>
        <v>1812</v>
      </c>
      <c r="R5" s="66">
        <v>430</v>
      </c>
      <c r="S5" s="66">
        <v>456</v>
      </c>
      <c r="T5" s="66">
        <f t="shared" si="3"/>
        <v>26</v>
      </c>
      <c r="U5" s="66">
        <v>600</v>
      </c>
      <c r="V5" s="66">
        <v>756</v>
      </c>
      <c r="W5" s="66" t="s">
        <v>249</v>
      </c>
      <c r="X5" s="66">
        <f t="shared" si="4"/>
        <v>156</v>
      </c>
      <c r="AB5" s="66" t="s">
        <v>81</v>
      </c>
      <c r="AC5" s="66" t="s">
        <v>82</v>
      </c>
      <c r="AD5" s="66">
        <v>342.83</v>
      </c>
      <c r="AE5" s="66">
        <v>7040</v>
      </c>
      <c r="AF5" s="66">
        <v>7920</v>
      </c>
      <c r="AG5" s="66">
        <f>874*14.22</f>
        <v>12428.28</v>
      </c>
      <c r="AH5" s="66">
        <v>171.54</v>
      </c>
      <c r="AI5" s="66" t="s">
        <v>102</v>
      </c>
      <c r="AM5" s="66">
        <f>109+234+405</f>
        <v>748</v>
      </c>
      <c r="AN5" s="66">
        <f>62+180+351</f>
        <v>593</v>
      </c>
      <c r="AP5" s="66" t="s">
        <v>37</v>
      </c>
      <c r="AQ5" s="66" t="s">
        <v>83</v>
      </c>
      <c r="AR5" s="66" t="s">
        <v>109</v>
      </c>
      <c r="AS5" s="66" t="s">
        <v>70</v>
      </c>
      <c r="AT5" s="66" t="s">
        <v>72</v>
      </c>
      <c r="AU5" s="66" t="s">
        <v>121</v>
      </c>
      <c r="AV5" s="66">
        <f>15+5+5+5+15</f>
        <v>45</v>
      </c>
      <c r="AW5" s="66">
        <f>14+6+15+15+30+20+30+15</f>
        <v>145</v>
      </c>
      <c r="AX5" s="66">
        <f>10+5+5+10+20</f>
        <v>50</v>
      </c>
      <c r="AY5" s="66">
        <f>15+12+10</f>
        <v>37</v>
      </c>
      <c r="AZ5" s="66">
        <f>58</f>
        <v>58</v>
      </c>
      <c r="BA5" s="66">
        <f t="shared" si="5"/>
        <v>335</v>
      </c>
      <c r="BB5" s="66">
        <v>0</v>
      </c>
      <c r="BC5" s="66">
        <f t="shared" si="6"/>
        <v>0.19385026737967914</v>
      </c>
      <c r="BD5" s="66">
        <f t="shared" si="7"/>
        <v>0.24451939291736932</v>
      </c>
      <c r="BE5" s="66">
        <v>7471</v>
      </c>
      <c r="BF5" s="66">
        <v>20</v>
      </c>
      <c r="BG5" s="66">
        <v>2647</v>
      </c>
    </row>
    <row r="6" spans="1:65" s="66" customFormat="1" ht="14.1" x14ac:dyDescent="0.55000000000000004">
      <c r="A6" s="66">
        <v>4</v>
      </c>
      <c r="B6" s="88" t="s">
        <v>225</v>
      </c>
      <c r="C6" s="66" t="s">
        <v>19</v>
      </c>
      <c r="D6" s="68">
        <v>44409</v>
      </c>
      <c r="E6" s="66" t="s">
        <v>105</v>
      </c>
      <c r="F6" s="66" t="s">
        <v>38</v>
      </c>
      <c r="G6" s="66">
        <v>35</v>
      </c>
      <c r="H6" s="66">
        <v>180</v>
      </c>
      <c r="I6" s="66">
        <v>20</v>
      </c>
      <c r="J6" s="66">
        <v>42</v>
      </c>
      <c r="K6" s="66">
        <v>80</v>
      </c>
      <c r="L6" s="66">
        <f>SUM(G6:K6)</f>
        <v>357</v>
      </c>
      <c r="M6" s="66">
        <f t="shared" si="0"/>
        <v>200</v>
      </c>
      <c r="N6" s="66">
        <f t="shared" si="1"/>
        <v>765</v>
      </c>
      <c r="O6" s="66">
        <v>3000</v>
      </c>
      <c r="P6" s="66">
        <v>5800</v>
      </c>
      <c r="Q6" s="66">
        <f t="shared" si="2"/>
        <v>2800</v>
      </c>
      <c r="R6" s="66">
        <v>300</v>
      </c>
      <c r="S6" s="66">
        <v>470</v>
      </c>
      <c r="T6" s="66">
        <f t="shared" si="3"/>
        <v>170</v>
      </c>
      <c r="U6" s="66">
        <v>520</v>
      </c>
      <c r="V6" s="66">
        <v>710</v>
      </c>
      <c r="W6" s="66" t="s">
        <v>249</v>
      </c>
      <c r="X6" s="66">
        <f t="shared" si="4"/>
        <v>190</v>
      </c>
      <c r="AB6" s="66" t="s">
        <v>93</v>
      </c>
      <c r="AC6" s="66" t="s">
        <v>94</v>
      </c>
      <c r="AD6" s="66">
        <v>175</v>
      </c>
      <c r="AE6" s="66">
        <v>6550</v>
      </c>
      <c r="AF6" s="66">
        <v>7315</v>
      </c>
      <c r="AG6" s="66">
        <v>12305.85793</v>
      </c>
      <c r="AH6" s="66">
        <v>175.5</v>
      </c>
      <c r="AI6" s="66" t="s">
        <v>102</v>
      </c>
      <c r="AJ6" s="66">
        <v>43</v>
      </c>
      <c r="AL6" s="66">
        <v>13.09</v>
      </c>
      <c r="AM6" s="66">
        <v>765</v>
      </c>
      <c r="AN6" s="66">
        <v>184</v>
      </c>
      <c r="AP6" s="66" t="s">
        <v>103</v>
      </c>
      <c r="AQ6" s="66" t="s">
        <v>83</v>
      </c>
      <c r="AR6" s="66" t="s">
        <v>109</v>
      </c>
      <c r="AS6" s="66" t="s">
        <v>70</v>
      </c>
      <c r="AT6" s="66" t="s">
        <v>72</v>
      </c>
      <c r="AU6" s="66" t="s">
        <v>114</v>
      </c>
      <c r="AV6" s="66">
        <v>35</v>
      </c>
      <c r="AW6" s="66">
        <v>180</v>
      </c>
      <c r="AX6" s="66">
        <v>20</v>
      </c>
      <c r="AY6" s="66">
        <v>42</v>
      </c>
      <c r="AZ6" s="66">
        <v>80</v>
      </c>
      <c r="BA6" s="66">
        <f t="shared" si="5"/>
        <v>357</v>
      </c>
      <c r="BB6" s="66">
        <v>0</v>
      </c>
      <c r="BC6" s="66">
        <f t="shared" si="6"/>
        <v>0.23529411764705882</v>
      </c>
      <c r="BD6" s="66">
        <f t="shared" si="7"/>
        <v>0.97826086956521741</v>
      </c>
      <c r="BE6" s="66">
        <v>8119</v>
      </c>
      <c r="BF6" s="66">
        <v>20</v>
      </c>
      <c r="BG6" s="66">
        <v>2028</v>
      </c>
    </row>
    <row r="7" spans="1:65" s="66" customFormat="1" ht="14.1" x14ac:dyDescent="0.55000000000000004">
      <c r="A7" s="66">
        <v>5</v>
      </c>
      <c r="B7" s="66" t="s">
        <v>188</v>
      </c>
      <c r="C7" s="66" t="s">
        <v>20</v>
      </c>
      <c r="D7" s="68">
        <v>44416</v>
      </c>
      <c r="E7" s="66" t="s">
        <v>105</v>
      </c>
      <c r="F7" s="66" t="s">
        <v>39</v>
      </c>
      <c r="G7" s="66">
        <v>60</v>
      </c>
      <c r="H7" s="66">
        <v>140</v>
      </c>
      <c r="I7" s="66">
        <v>120</v>
      </c>
      <c r="J7" s="66">
        <v>43</v>
      </c>
      <c r="K7" s="66">
        <v>74</v>
      </c>
      <c r="L7" s="66">
        <v>363</v>
      </c>
      <c r="M7" s="66">
        <f t="shared" si="0"/>
        <v>260</v>
      </c>
      <c r="N7" s="66">
        <f t="shared" si="1"/>
        <v>906</v>
      </c>
      <c r="O7" s="66">
        <v>0</v>
      </c>
      <c r="P7" s="66">
        <v>0</v>
      </c>
      <c r="Q7" s="66">
        <f t="shared" si="2"/>
        <v>0</v>
      </c>
      <c r="R7" s="66">
        <v>0</v>
      </c>
      <c r="S7" s="66">
        <v>0</v>
      </c>
      <c r="T7" s="66">
        <f t="shared" si="3"/>
        <v>0</v>
      </c>
      <c r="U7" s="88"/>
      <c r="V7" s="88"/>
      <c r="W7" s="66" t="s">
        <v>250</v>
      </c>
      <c r="X7" s="66">
        <f t="shared" si="4"/>
        <v>0</v>
      </c>
      <c r="AB7" s="66" t="s">
        <v>81</v>
      </c>
      <c r="AC7" s="66" t="s">
        <v>131</v>
      </c>
      <c r="AE7" s="66">
        <v>6285</v>
      </c>
      <c r="AF7" s="66">
        <v>7191</v>
      </c>
      <c r="AG7" s="66">
        <v>12511.6</v>
      </c>
      <c r="AH7" s="66">
        <v>171</v>
      </c>
      <c r="AI7" s="66" t="s">
        <v>102</v>
      </c>
      <c r="AJ7" s="66">
        <v>41.78</v>
      </c>
      <c r="AK7" s="66">
        <v>3.2</v>
      </c>
      <c r="AL7" s="66" t="s">
        <v>123</v>
      </c>
      <c r="AM7" s="66">
        <v>906</v>
      </c>
      <c r="AN7" s="66">
        <v>254</v>
      </c>
      <c r="AP7" s="66" t="s">
        <v>103</v>
      </c>
      <c r="AQ7" s="66" t="s">
        <v>48</v>
      </c>
      <c r="AR7" s="66" t="s">
        <v>115</v>
      </c>
      <c r="AS7" s="66" t="s">
        <v>116</v>
      </c>
      <c r="AT7" s="66" t="s">
        <v>77</v>
      </c>
      <c r="AU7" s="66" t="s">
        <v>106</v>
      </c>
      <c r="AV7" s="66">
        <v>60</v>
      </c>
      <c r="AW7" s="66">
        <v>140</v>
      </c>
      <c r="AX7" s="66">
        <v>120</v>
      </c>
      <c r="AY7" s="66">
        <v>43</v>
      </c>
      <c r="AZ7" s="66">
        <v>74</v>
      </c>
      <c r="BA7" s="66">
        <f t="shared" si="5"/>
        <v>437</v>
      </c>
      <c r="BB7" s="66">
        <v>0</v>
      </c>
      <c r="BC7" s="66">
        <f t="shared" si="6"/>
        <v>0.1545253863134658</v>
      </c>
      <c r="BD7" s="66">
        <f t="shared" si="7"/>
        <v>0.55118110236220474</v>
      </c>
    </row>
    <row r="8" spans="1:65" s="66" customFormat="1" ht="14.1" x14ac:dyDescent="0.55000000000000004">
      <c r="A8" s="66">
        <v>6</v>
      </c>
      <c r="B8" s="88" t="s">
        <v>217</v>
      </c>
      <c r="C8" s="66" t="s">
        <v>21</v>
      </c>
      <c r="D8" s="68">
        <v>44524</v>
      </c>
      <c r="E8" s="66" t="s">
        <v>105</v>
      </c>
      <c r="F8" s="66" t="s">
        <v>38</v>
      </c>
      <c r="G8" s="66">
        <v>28</v>
      </c>
      <c r="H8" s="66">
        <v>77</v>
      </c>
      <c r="I8" s="66">
        <v>35</v>
      </c>
      <c r="J8" s="66">
        <v>21</v>
      </c>
      <c r="K8" s="66">
        <v>68</v>
      </c>
      <c r="L8" s="66">
        <f>SUM(G8:K8)</f>
        <v>229</v>
      </c>
      <c r="M8" s="66">
        <f t="shared" si="0"/>
        <v>112</v>
      </c>
      <c r="N8" s="66">
        <f t="shared" si="1"/>
        <v>1005</v>
      </c>
      <c r="O8" s="66">
        <v>2800</v>
      </c>
      <c r="P8" s="66">
        <v>4600</v>
      </c>
      <c r="Q8" s="66">
        <f t="shared" si="2"/>
        <v>1800</v>
      </c>
      <c r="R8" s="66">
        <v>400</v>
      </c>
      <c r="S8" s="66">
        <v>432</v>
      </c>
      <c r="T8" s="66">
        <f t="shared" si="3"/>
        <v>32</v>
      </c>
      <c r="U8" s="66">
        <v>610</v>
      </c>
      <c r="V8" s="66">
        <v>650</v>
      </c>
      <c r="W8" s="66" t="s">
        <v>249</v>
      </c>
      <c r="X8" s="66">
        <f t="shared" si="4"/>
        <v>40</v>
      </c>
      <c r="AB8" s="66" t="s">
        <v>93</v>
      </c>
      <c r="AC8" s="66" t="s">
        <v>95</v>
      </c>
      <c r="AE8" s="66">
        <v>6400</v>
      </c>
      <c r="AF8" s="66">
        <v>7405</v>
      </c>
      <c r="AG8" s="66">
        <v>12617.724459999999</v>
      </c>
      <c r="AH8" s="66">
        <v>178.4</v>
      </c>
      <c r="AI8" s="66" t="s">
        <v>102</v>
      </c>
      <c r="AJ8" s="66">
        <v>43</v>
      </c>
      <c r="AL8" s="66">
        <v>13.09</v>
      </c>
      <c r="AM8" s="66">
        <v>1005</v>
      </c>
      <c r="AN8" s="66">
        <v>153</v>
      </c>
      <c r="AP8" s="66" t="s">
        <v>103</v>
      </c>
      <c r="AQ8" s="66" t="s">
        <v>83</v>
      </c>
      <c r="AR8" s="66" t="s">
        <v>109</v>
      </c>
      <c r="AS8" s="66" t="s">
        <v>70</v>
      </c>
      <c r="AT8" s="66" t="s">
        <v>72</v>
      </c>
      <c r="AU8" s="66" t="s">
        <v>87</v>
      </c>
      <c r="AV8" s="66">
        <v>28</v>
      </c>
      <c r="AW8" s="66">
        <v>77</v>
      </c>
      <c r="AX8" s="66">
        <v>35</v>
      </c>
      <c r="AY8" s="66">
        <v>21</v>
      </c>
      <c r="AZ8" s="66">
        <v>68</v>
      </c>
      <c r="BA8" s="66">
        <f t="shared" si="5"/>
        <v>229</v>
      </c>
      <c r="BB8" s="66">
        <v>0</v>
      </c>
      <c r="BC8" s="66">
        <f t="shared" si="6"/>
        <v>7.6616915422885568E-2</v>
      </c>
      <c r="BD8" s="66">
        <f t="shared" si="7"/>
        <v>0.50326797385620914</v>
      </c>
    </row>
    <row r="9" spans="1:65" s="66" customFormat="1" ht="14.1" x14ac:dyDescent="0.55000000000000004">
      <c r="A9" s="66">
        <v>7</v>
      </c>
      <c r="B9" s="88" t="s">
        <v>200</v>
      </c>
      <c r="C9" s="66" t="s">
        <v>22</v>
      </c>
      <c r="D9" s="68">
        <v>44560</v>
      </c>
      <c r="E9" s="66" t="s">
        <v>105</v>
      </c>
      <c r="F9" s="66" t="s">
        <v>38</v>
      </c>
      <c r="G9" s="66">
        <v>36</v>
      </c>
      <c r="H9" s="66">
        <v>27</v>
      </c>
      <c r="I9" s="66">
        <v>50</v>
      </c>
      <c r="J9" s="66">
        <v>28</v>
      </c>
      <c r="K9" s="66">
        <v>75</v>
      </c>
      <c r="L9" s="66">
        <f>SUM(G9:K9)</f>
        <v>216</v>
      </c>
      <c r="M9" s="66">
        <f t="shared" si="0"/>
        <v>77</v>
      </c>
      <c r="N9" s="66">
        <f t="shared" si="1"/>
        <v>1200</v>
      </c>
      <c r="O9" s="66">
        <v>5353</v>
      </c>
      <c r="P9" s="66">
        <v>5800</v>
      </c>
      <c r="Q9" s="66">
        <f t="shared" si="2"/>
        <v>447</v>
      </c>
      <c r="R9" s="66">
        <v>376</v>
      </c>
      <c r="S9" s="66">
        <v>322</v>
      </c>
      <c r="T9" s="66">
        <f t="shared" si="3"/>
        <v>-54</v>
      </c>
      <c r="U9" s="66">
        <v>630</v>
      </c>
      <c r="V9" s="66">
        <v>640</v>
      </c>
      <c r="W9" s="66" t="s">
        <v>249</v>
      </c>
      <c r="X9" s="66">
        <f t="shared" si="4"/>
        <v>10</v>
      </c>
      <c r="AB9" s="66" t="s">
        <v>60</v>
      </c>
      <c r="AC9" s="66" t="s">
        <v>95</v>
      </c>
      <c r="AE9" s="66">
        <v>6235</v>
      </c>
      <c r="AF9" s="66">
        <v>7435</v>
      </c>
      <c r="AG9" s="66">
        <v>11444.491959999999</v>
      </c>
      <c r="AH9" s="66">
        <v>172.9</v>
      </c>
      <c r="AI9" s="66" t="s">
        <v>102</v>
      </c>
      <c r="AJ9" s="66">
        <v>41</v>
      </c>
      <c r="AL9" s="66">
        <v>13.09</v>
      </c>
      <c r="AM9" s="66">
        <v>1200</v>
      </c>
      <c r="AN9" s="66">
        <v>300</v>
      </c>
      <c r="AP9" s="66" t="s">
        <v>103</v>
      </c>
      <c r="AQ9" s="66" t="s">
        <v>83</v>
      </c>
      <c r="AR9" s="66" t="s">
        <v>71</v>
      </c>
      <c r="AS9" s="66" t="s">
        <v>117</v>
      </c>
      <c r="AT9" s="66" t="s">
        <v>72</v>
      </c>
      <c r="AU9" s="66" t="s">
        <v>114</v>
      </c>
      <c r="AV9" s="66">
        <v>36</v>
      </c>
      <c r="AW9" s="66">
        <v>27</v>
      </c>
      <c r="AX9" s="66">
        <v>50</v>
      </c>
      <c r="AY9" s="66">
        <v>28</v>
      </c>
      <c r="AZ9" s="66">
        <v>75</v>
      </c>
      <c r="BA9" s="66">
        <f t="shared" si="5"/>
        <v>216</v>
      </c>
      <c r="BB9" s="66">
        <v>0</v>
      </c>
      <c r="BC9" s="66">
        <f t="shared" si="6"/>
        <v>2.2499999999999999E-2</v>
      </c>
      <c r="BD9" s="66">
        <f t="shared" si="7"/>
        <v>0.09</v>
      </c>
    </row>
    <row r="10" spans="1:65" s="66" customFormat="1" ht="14.1" x14ac:dyDescent="0.55000000000000004">
      <c r="A10" s="66">
        <v>8</v>
      </c>
      <c r="B10" s="88" t="s">
        <v>191</v>
      </c>
      <c r="C10" s="66" t="s">
        <v>23</v>
      </c>
      <c r="D10" s="68">
        <v>44566</v>
      </c>
      <c r="E10" s="66" t="s">
        <v>105</v>
      </c>
      <c r="F10" s="66" t="s">
        <v>38</v>
      </c>
      <c r="G10" s="66">
        <v>30</v>
      </c>
      <c r="H10" s="66">
        <v>30</v>
      </c>
      <c r="I10" s="66">
        <v>60</v>
      </c>
      <c r="J10" s="66">
        <v>30</v>
      </c>
      <c r="K10" s="66">
        <v>65</v>
      </c>
      <c r="L10" s="66">
        <f>SUM(G10:K10)</f>
        <v>215</v>
      </c>
      <c r="M10" s="66">
        <f t="shared" si="0"/>
        <v>90</v>
      </c>
      <c r="N10" s="66">
        <f t="shared" si="1"/>
        <v>1257</v>
      </c>
      <c r="O10" s="66">
        <v>3742</v>
      </c>
      <c r="P10" s="66">
        <v>4127</v>
      </c>
      <c r="Q10" s="66">
        <f t="shared" si="2"/>
        <v>385</v>
      </c>
      <c r="R10" s="66">
        <v>313</v>
      </c>
      <c r="S10" s="66">
        <v>315</v>
      </c>
      <c r="T10" s="66">
        <f t="shared" si="3"/>
        <v>2</v>
      </c>
      <c r="U10" s="66">
        <v>530</v>
      </c>
      <c r="V10" s="66">
        <v>635</v>
      </c>
      <c r="W10" s="66" t="s">
        <v>249</v>
      </c>
      <c r="X10" s="66">
        <f t="shared" si="4"/>
        <v>105</v>
      </c>
      <c r="AB10" s="66" t="s">
        <v>132</v>
      </c>
      <c r="AC10" s="66" t="s">
        <v>130</v>
      </c>
      <c r="AE10" s="66">
        <v>6103</v>
      </c>
      <c r="AF10" s="66">
        <v>7360</v>
      </c>
      <c r="AG10" s="66">
        <v>11444.491959999999</v>
      </c>
      <c r="AH10" s="66">
        <v>170</v>
      </c>
      <c r="AI10" s="66" t="s">
        <v>102</v>
      </c>
      <c r="AJ10" s="66">
        <v>41</v>
      </c>
      <c r="AM10" s="66">
        <v>1257</v>
      </c>
      <c r="AN10" s="66">
        <v>190</v>
      </c>
      <c r="AP10" s="66" t="s">
        <v>103</v>
      </c>
      <c r="AQ10" s="66" t="s">
        <v>83</v>
      </c>
      <c r="AR10" s="66" t="s">
        <v>71</v>
      </c>
      <c r="AS10" s="66" t="s">
        <v>117</v>
      </c>
      <c r="AT10" s="66" t="s">
        <v>72</v>
      </c>
      <c r="AU10" s="66" t="s">
        <v>87</v>
      </c>
      <c r="AV10" s="66">
        <v>30</v>
      </c>
      <c r="AW10" s="66">
        <v>30</v>
      </c>
      <c r="AX10" s="66">
        <v>60</v>
      </c>
      <c r="AY10" s="66">
        <v>30</v>
      </c>
      <c r="AZ10" s="66">
        <v>65</v>
      </c>
      <c r="BA10" s="66">
        <f t="shared" si="5"/>
        <v>215</v>
      </c>
      <c r="BB10" s="66">
        <v>0</v>
      </c>
      <c r="BC10" s="66">
        <f t="shared" si="6"/>
        <v>2.386634844868735E-2</v>
      </c>
      <c r="BD10" s="66">
        <f t="shared" si="7"/>
        <v>0.15789473684210525</v>
      </c>
      <c r="BF10" s="66">
        <v>12</v>
      </c>
      <c r="BG10" s="66">
        <v>6945</v>
      </c>
    </row>
    <row r="11" spans="1:65" s="66" customFormat="1" ht="14.1" x14ac:dyDescent="0.55000000000000004">
      <c r="A11" s="66">
        <v>9</v>
      </c>
      <c r="B11" s="66" t="s">
        <v>184</v>
      </c>
      <c r="C11" s="66" t="s">
        <v>17</v>
      </c>
      <c r="D11" s="68">
        <v>44619</v>
      </c>
      <c r="E11" s="66" t="s">
        <v>105</v>
      </c>
      <c r="F11" s="66" t="s">
        <v>38</v>
      </c>
      <c r="G11" s="66">
        <v>50</v>
      </c>
      <c r="H11" s="66">
        <v>85</v>
      </c>
      <c r="I11" s="66">
        <v>25</v>
      </c>
      <c r="J11" s="66">
        <v>30</v>
      </c>
      <c r="K11" s="66">
        <v>21750</v>
      </c>
      <c r="L11" s="66">
        <f>SUM(G11:J11)</f>
        <v>190</v>
      </c>
      <c r="M11" s="66">
        <f t="shared" si="0"/>
        <v>110</v>
      </c>
      <c r="N11" s="66">
        <f t="shared" si="1"/>
        <v>791</v>
      </c>
      <c r="O11" s="66">
        <v>3497</v>
      </c>
      <c r="P11" s="66">
        <v>6975</v>
      </c>
      <c r="Q11" s="66">
        <f t="shared" si="2"/>
        <v>3478</v>
      </c>
      <c r="R11" s="66">
        <v>206</v>
      </c>
      <c r="S11" s="66">
        <v>260</v>
      </c>
      <c r="T11" s="66">
        <f t="shared" si="3"/>
        <v>54</v>
      </c>
      <c r="U11" s="88"/>
      <c r="V11" s="88"/>
      <c r="W11" s="66" t="s">
        <v>250</v>
      </c>
      <c r="X11" s="66">
        <f t="shared" si="4"/>
        <v>0</v>
      </c>
      <c r="AB11" s="66" t="s">
        <v>93</v>
      </c>
      <c r="AC11" s="66" t="s">
        <v>108</v>
      </c>
      <c r="AE11" s="66">
        <v>6256</v>
      </c>
      <c r="AF11" s="66">
        <v>7047</v>
      </c>
      <c r="AG11" s="66">
        <v>12372.27</v>
      </c>
      <c r="AH11" s="66">
        <v>170.602</v>
      </c>
      <c r="AI11" s="66" t="s">
        <v>102</v>
      </c>
      <c r="AJ11" s="66">
        <v>43</v>
      </c>
      <c r="AK11" s="66">
        <v>5.15</v>
      </c>
      <c r="AL11" s="66">
        <v>11.9</v>
      </c>
      <c r="AM11" s="66">
        <v>791</v>
      </c>
      <c r="AN11" s="66">
        <v>395</v>
      </c>
      <c r="AP11" s="66" t="s">
        <v>103</v>
      </c>
      <c r="AQ11" s="66" t="s">
        <v>83</v>
      </c>
      <c r="AR11" s="66" t="s">
        <v>109</v>
      </c>
      <c r="AS11" s="66" t="s">
        <v>70</v>
      </c>
      <c r="AT11" s="66" t="s">
        <v>72</v>
      </c>
      <c r="AU11" s="66" t="s">
        <v>52</v>
      </c>
      <c r="AV11" s="66">
        <v>50</v>
      </c>
      <c r="AW11" s="66">
        <v>85</v>
      </c>
      <c r="AX11" s="66">
        <v>25</v>
      </c>
      <c r="AY11" s="66">
        <v>30</v>
      </c>
      <c r="AZ11" s="66">
        <v>21750</v>
      </c>
      <c r="BA11" s="66">
        <f>SUM(AV11:AY11)</f>
        <v>190</v>
      </c>
      <c r="BB11" s="66">
        <v>21750</v>
      </c>
      <c r="BC11" s="66">
        <f t="shared" si="6"/>
        <v>0.10745891276864729</v>
      </c>
      <c r="BD11" s="66">
        <f t="shared" si="7"/>
        <v>0.21518987341772153</v>
      </c>
    </row>
    <row r="12" spans="1:65" s="66" customFormat="1" ht="14.1" x14ac:dyDescent="0.55000000000000004">
      <c r="A12" s="66">
        <v>10</v>
      </c>
      <c r="B12" s="88" t="s">
        <v>219</v>
      </c>
      <c r="C12" s="66" t="s">
        <v>89</v>
      </c>
      <c r="D12" s="68">
        <v>44622</v>
      </c>
      <c r="E12" s="66" t="s">
        <v>105</v>
      </c>
      <c r="F12" s="66" t="s">
        <v>38</v>
      </c>
      <c r="G12" s="66">
        <f>15+5+5+25</f>
        <v>50</v>
      </c>
      <c r="H12" s="66">
        <f>20+15</f>
        <v>35</v>
      </c>
      <c r="I12" s="66">
        <v>46</v>
      </c>
      <c r="J12" s="66">
        <f>6+9+9</f>
        <v>24</v>
      </c>
      <c r="K12" s="66">
        <v>70</v>
      </c>
      <c r="L12" s="66">
        <f>SUM(G12:K12)</f>
        <v>225</v>
      </c>
      <c r="M12" s="66">
        <f t="shared" si="0"/>
        <v>81</v>
      </c>
      <c r="N12" s="66">
        <f t="shared" si="1"/>
        <v>1029</v>
      </c>
      <c r="O12" s="66">
        <v>4800</v>
      </c>
      <c r="P12" s="66">
        <v>4902</v>
      </c>
      <c r="Q12" s="66">
        <f t="shared" si="2"/>
        <v>102</v>
      </c>
      <c r="R12" s="66">
        <v>320</v>
      </c>
      <c r="S12" s="66">
        <v>392</v>
      </c>
      <c r="T12" s="66">
        <f t="shared" si="3"/>
        <v>72</v>
      </c>
      <c r="U12" s="66">
        <v>414</v>
      </c>
      <c r="V12" s="66">
        <v>488</v>
      </c>
      <c r="W12" s="66" t="s">
        <v>249</v>
      </c>
      <c r="X12" s="66">
        <f t="shared" si="4"/>
        <v>74</v>
      </c>
      <c r="AB12" s="66" t="s">
        <v>60</v>
      </c>
      <c r="AC12" s="66" t="s">
        <v>125</v>
      </c>
      <c r="AE12" s="66">
        <v>6118</v>
      </c>
      <c r="AF12" s="66">
        <v>7147</v>
      </c>
      <c r="AG12" s="66">
        <v>11492</v>
      </c>
      <c r="AH12" s="66">
        <v>173.84</v>
      </c>
      <c r="AI12" s="66" t="s">
        <v>102</v>
      </c>
      <c r="AJ12" s="66">
        <v>39.39</v>
      </c>
      <c r="AK12" s="66">
        <v>3.2</v>
      </c>
      <c r="AL12" s="66">
        <v>13.09</v>
      </c>
      <c r="AM12" s="66">
        <v>1029</v>
      </c>
      <c r="AN12" s="66">
        <v>88.5</v>
      </c>
      <c r="AP12" s="66" t="s">
        <v>103</v>
      </c>
      <c r="AQ12" s="66" t="s">
        <v>83</v>
      </c>
      <c r="AR12" s="66" t="s">
        <v>71</v>
      </c>
      <c r="AS12" s="66" t="s">
        <v>113</v>
      </c>
      <c r="AT12" s="66" t="s">
        <v>72</v>
      </c>
      <c r="AU12" s="66" t="s">
        <v>114</v>
      </c>
      <c r="AV12" s="66">
        <f>15+5+5+25</f>
        <v>50</v>
      </c>
      <c r="AW12" s="66">
        <f>20+15</f>
        <v>35</v>
      </c>
      <c r="AX12" s="66">
        <v>46</v>
      </c>
      <c r="AY12" s="66">
        <f>6+9+9</f>
        <v>24</v>
      </c>
      <c r="AZ12" s="66">
        <v>70</v>
      </c>
      <c r="BA12" s="66">
        <f>SUM(AV12:AZ12)</f>
        <v>225</v>
      </c>
      <c r="BB12" s="66">
        <v>0</v>
      </c>
      <c r="BC12" s="66">
        <f t="shared" si="6"/>
        <v>3.4013605442176874E-2</v>
      </c>
      <c r="BD12" s="66">
        <f t="shared" si="7"/>
        <v>0.39548022598870058</v>
      </c>
    </row>
    <row r="13" spans="1:65" s="66" customFormat="1" ht="14.1" x14ac:dyDescent="0.55000000000000004">
      <c r="A13" s="66">
        <v>11</v>
      </c>
      <c r="B13" s="88" t="s">
        <v>194</v>
      </c>
      <c r="C13" s="66" t="s">
        <v>25</v>
      </c>
      <c r="D13" s="68">
        <v>44630</v>
      </c>
      <c r="E13" s="66" t="s">
        <v>105</v>
      </c>
      <c r="F13" s="66" t="s">
        <v>40</v>
      </c>
      <c r="G13" s="66">
        <v>48</v>
      </c>
      <c r="H13" s="66">
        <v>63</v>
      </c>
      <c r="I13" s="66">
        <v>95.9</v>
      </c>
      <c r="J13" s="66">
        <v>29</v>
      </c>
      <c r="K13" s="66">
        <v>27022</v>
      </c>
      <c r="L13" s="66">
        <f>SUM(G13:J13)</f>
        <v>235.9</v>
      </c>
      <c r="M13" s="66">
        <f t="shared" si="0"/>
        <v>158.9</v>
      </c>
      <c r="N13" s="66">
        <f t="shared" si="1"/>
        <v>475</v>
      </c>
      <c r="O13" s="66">
        <v>3900</v>
      </c>
      <c r="P13" s="66">
        <v>5400</v>
      </c>
      <c r="Q13" s="66">
        <f t="shared" si="2"/>
        <v>1500</v>
      </c>
      <c r="R13" s="66">
        <v>280</v>
      </c>
      <c r="S13" s="66">
        <v>340</v>
      </c>
      <c r="T13" s="66">
        <f t="shared" si="3"/>
        <v>60</v>
      </c>
      <c r="U13" s="66">
        <v>408</v>
      </c>
      <c r="V13" s="66">
        <v>554</v>
      </c>
      <c r="W13" s="66" t="s">
        <v>249</v>
      </c>
      <c r="X13" s="66">
        <f t="shared" si="4"/>
        <v>146</v>
      </c>
      <c r="AB13" s="66" t="s">
        <v>60</v>
      </c>
      <c r="AC13" s="66" t="s">
        <v>65</v>
      </c>
      <c r="AE13" s="66">
        <v>6900</v>
      </c>
      <c r="AF13" s="66">
        <v>7375</v>
      </c>
      <c r="AG13" s="66">
        <v>11691.51073</v>
      </c>
      <c r="AH13" s="66">
        <v>191</v>
      </c>
      <c r="AI13" s="66" t="s">
        <v>102</v>
      </c>
      <c r="AJ13" s="66">
        <v>43</v>
      </c>
      <c r="AL13" s="66">
        <v>13.09</v>
      </c>
      <c r="AM13" s="66">
        <v>475</v>
      </c>
      <c r="AN13" s="66">
        <v>127.5</v>
      </c>
      <c r="AP13" s="66" t="s">
        <v>103</v>
      </c>
      <c r="AQ13" s="66" t="s">
        <v>118</v>
      </c>
      <c r="AR13" s="66" t="s">
        <v>110</v>
      </c>
      <c r="AS13" s="66" t="s">
        <v>111</v>
      </c>
      <c r="AT13" s="66" t="s">
        <v>67</v>
      </c>
      <c r="AU13" s="66" t="s">
        <v>52</v>
      </c>
      <c r="AV13" s="66">
        <v>48</v>
      </c>
      <c r="AW13" s="66">
        <v>63</v>
      </c>
      <c r="AX13" s="66">
        <v>95.9</v>
      </c>
      <c r="AY13" s="66">
        <v>29</v>
      </c>
      <c r="AZ13" s="66">
        <v>27022</v>
      </c>
      <c r="BA13" s="66">
        <f>SUM(AV13:AY13)</f>
        <v>235.9</v>
      </c>
      <c r="BB13" s="66">
        <v>27022</v>
      </c>
      <c r="BC13" s="66">
        <f t="shared" si="6"/>
        <v>0.13263157894736843</v>
      </c>
      <c r="BD13" s="66">
        <f t="shared" si="7"/>
        <v>0.49411764705882355</v>
      </c>
    </row>
    <row r="14" spans="1:65" s="66" customFormat="1" ht="14.1" x14ac:dyDescent="0.55000000000000004">
      <c r="A14" s="66">
        <v>12</v>
      </c>
      <c r="B14" s="88" t="s">
        <v>226</v>
      </c>
      <c r="C14" s="66" t="s">
        <v>24</v>
      </c>
      <c r="D14" s="68">
        <v>44631</v>
      </c>
      <c r="E14" s="66" t="s">
        <v>105</v>
      </c>
      <c r="F14" s="66" t="s">
        <v>39</v>
      </c>
      <c r="G14" s="66">
        <v>45</v>
      </c>
      <c r="H14" s="66">
        <f>20+45+20</f>
        <v>85</v>
      </c>
      <c r="I14" s="66">
        <v>0</v>
      </c>
      <c r="J14" s="66">
        <v>20</v>
      </c>
      <c r="K14" s="66">
        <v>76</v>
      </c>
      <c r="L14" s="66">
        <f>SUM(G14:K14)</f>
        <v>226</v>
      </c>
      <c r="M14" s="66">
        <f t="shared" si="0"/>
        <v>85</v>
      </c>
      <c r="N14" s="66">
        <f t="shared" si="1"/>
        <v>1264</v>
      </c>
      <c r="O14" s="66">
        <v>2400</v>
      </c>
      <c r="P14" s="66">
        <v>2905</v>
      </c>
      <c r="Q14" s="66">
        <f t="shared" si="2"/>
        <v>505</v>
      </c>
      <c r="R14" s="66">
        <v>100</v>
      </c>
      <c r="S14" s="66">
        <v>126</v>
      </c>
      <c r="T14" s="66">
        <f t="shared" si="3"/>
        <v>26</v>
      </c>
      <c r="U14" s="66">
        <v>283</v>
      </c>
      <c r="V14" s="66">
        <v>313</v>
      </c>
      <c r="W14" s="66" t="s">
        <v>249</v>
      </c>
      <c r="X14" s="66">
        <f t="shared" si="4"/>
        <v>30</v>
      </c>
      <c r="AB14" s="66" t="s">
        <v>60</v>
      </c>
      <c r="AC14" s="66" t="s">
        <v>76</v>
      </c>
      <c r="AE14" s="66">
        <v>6300</v>
      </c>
      <c r="AF14" s="66">
        <v>7564</v>
      </c>
      <c r="AG14" s="66">
        <v>11006</v>
      </c>
      <c r="AH14" s="66">
        <v>173.47</v>
      </c>
      <c r="AI14" s="66" t="s">
        <v>102</v>
      </c>
      <c r="AK14" s="66">
        <v>3.2</v>
      </c>
      <c r="AL14" s="66">
        <v>13.09</v>
      </c>
      <c r="AM14" s="66">
        <v>314</v>
      </c>
      <c r="AN14" s="66">
        <v>35</v>
      </c>
      <c r="AP14" s="66" t="s">
        <v>37</v>
      </c>
      <c r="AQ14" s="66" t="s">
        <v>48</v>
      </c>
      <c r="AR14" s="66" t="s">
        <v>175</v>
      </c>
      <c r="AS14" s="66" t="s">
        <v>176</v>
      </c>
      <c r="AT14" s="66" t="s">
        <v>50</v>
      </c>
      <c r="AU14" s="66" t="s">
        <v>106</v>
      </c>
      <c r="AV14" s="66">
        <v>45</v>
      </c>
      <c r="AW14" s="66">
        <f>20+45+20</f>
        <v>85</v>
      </c>
      <c r="AX14" s="66">
        <v>0</v>
      </c>
      <c r="AY14" s="66">
        <v>20</v>
      </c>
      <c r="AZ14" s="66">
        <v>76</v>
      </c>
      <c r="BA14" s="66">
        <f>SUM(AV14:AZ14)</f>
        <v>226</v>
      </c>
      <c r="BB14" s="66">
        <v>0</v>
      </c>
      <c r="BC14" s="66">
        <f t="shared" si="6"/>
        <v>0.27070063694267515</v>
      </c>
      <c r="BD14" s="66">
        <f t="shared" si="7"/>
        <v>2.4285714285714284</v>
      </c>
      <c r="BF14" s="66">
        <v>1.5</v>
      </c>
    </row>
    <row r="15" spans="1:65" s="66" customFormat="1" ht="14.1" x14ac:dyDescent="0.55000000000000004">
      <c r="A15" s="66">
        <v>13</v>
      </c>
      <c r="B15" s="88" t="s">
        <v>189</v>
      </c>
      <c r="C15" s="66" t="s">
        <v>26</v>
      </c>
      <c r="D15" s="68">
        <v>44674</v>
      </c>
      <c r="E15" s="66" t="s">
        <v>105</v>
      </c>
      <c r="F15" s="66" t="s">
        <v>39</v>
      </c>
      <c r="G15" s="66">
        <v>40</v>
      </c>
      <c r="H15" s="66">
        <f>60+20</f>
        <v>80</v>
      </c>
      <c r="I15" s="66">
        <v>65</v>
      </c>
      <c r="J15" s="66">
        <v>20</v>
      </c>
      <c r="K15" s="66">
        <v>25038</v>
      </c>
      <c r="L15" s="66">
        <f t="shared" ref="L15:L20" si="8">SUM(G15:J15)</f>
        <v>205</v>
      </c>
      <c r="M15" s="66">
        <f t="shared" si="0"/>
        <v>145</v>
      </c>
      <c r="N15" s="66">
        <f t="shared" si="1"/>
        <v>935</v>
      </c>
      <c r="O15" s="66">
        <v>5300</v>
      </c>
      <c r="P15" s="66">
        <v>5400</v>
      </c>
      <c r="Q15" s="66">
        <f t="shared" si="2"/>
        <v>100</v>
      </c>
      <c r="R15" s="66">
        <v>250</v>
      </c>
      <c r="S15" s="66">
        <v>280</v>
      </c>
      <c r="T15" s="66">
        <f t="shared" si="3"/>
        <v>30</v>
      </c>
      <c r="U15" s="66">
        <v>443</v>
      </c>
      <c r="V15" s="66">
        <v>480</v>
      </c>
      <c r="W15" s="66" t="s">
        <v>249</v>
      </c>
      <c r="X15" s="66">
        <f t="shared" si="4"/>
        <v>37</v>
      </c>
      <c r="AB15" s="66" t="s">
        <v>60</v>
      </c>
      <c r="AC15" s="66" t="s">
        <v>95</v>
      </c>
      <c r="AE15" s="66">
        <v>6490</v>
      </c>
      <c r="AF15" s="66">
        <v>7425</v>
      </c>
      <c r="AG15" s="66">
        <v>12406.4004</v>
      </c>
      <c r="AH15" s="66">
        <v>164.4</v>
      </c>
      <c r="AI15" s="66" t="s">
        <v>102</v>
      </c>
      <c r="AJ15" s="66">
        <v>43</v>
      </c>
      <c r="AL15" s="66">
        <v>13.09</v>
      </c>
      <c r="AM15" s="66">
        <v>935</v>
      </c>
      <c r="AN15" s="66">
        <v>302</v>
      </c>
      <c r="AP15" s="66" t="s">
        <v>103</v>
      </c>
      <c r="AQ15" s="66" t="s">
        <v>48</v>
      </c>
      <c r="AR15" s="66" t="s">
        <v>120</v>
      </c>
      <c r="AS15" s="66" t="s">
        <v>119</v>
      </c>
      <c r="AT15" s="66" t="s">
        <v>77</v>
      </c>
      <c r="AU15" s="66" t="s">
        <v>52</v>
      </c>
      <c r="AV15" s="66">
        <v>40</v>
      </c>
      <c r="AW15" s="66">
        <f>60+20</f>
        <v>80</v>
      </c>
      <c r="AX15" s="66">
        <v>65</v>
      </c>
      <c r="AY15" s="66">
        <v>20</v>
      </c>
      <c r="AZ15" s="66">
        <v>25038</v>
      </c>
      <c r="BA15" s="66">
        <f t="shared" ref="BA15:BA20" si="9">SUM(AV15:AY15)</f>
        <v>205</v>
      </c>
      <c r="BB15" s="66">
        <v>25038</v>
      </c>
      <c r="BC15" s="66">
        <f t="shared" si="6"/>
        <v>8.5561497326203204E-2</v>
      </c>
      <c r="BD15" s="66">
        <f t="shared" si="7"/>
        <v>0.26490066225165565</v>
      </c>
    </row>
    <row r="16" spans="1:65" s="66" customFormat="1" ht="14.1" x14ac:dyDescent="0.55000000000000004">
      <c r="A16" s="66">
        <v>15</v>
      </c>
      <c r="B16" s="88" t="s">
        <v>187</v>
      </c>
      <c r="C16" s="66" t="s">
        <v>27</v>
      </c>
      <c r="D16" s="68">
        <v>44729</v>
      </c>
      <c r="E16" s="66" t="s">
        <v>105</v>
      </c>
      <c r="F16" s="66" t="s">
        <v>38</v>
      </c>
      <c r="G16" s="66">
        <v>50</v>
      </c>
      <c r="H16" s="66">
        <v>150</v>
      </c>
      <c r="I16" s="66">
        <v>30</v>
      </c>
      <c r="J16" s="66">
        <v>39</v>
      </c>
      <c r="K16" s="66">
        <v>27569</v>
      </c>
      <c r="L16" s="66">
        <f t="shared" si="8"/>
        <v>269</v>
      </c>
      <c r="M16" s="66">
        <f t="shared" si="0"/>
        <v>180</v>
      </c>
      <c r="N16" s="66">
        <f t="shared" si="1"/>
        <v>866</v>
      </c>
      <c r="O16" s="66">
        <v>4430</v>
      </c>
      <c r="P16" s="66">
        <v>4720</v>
      </c>
      <c r="Q16" s="66">
        <f t="shared" si="2"/>
        <v>290</v>
      </c>
      <c r="R16" s="66">
        <v>342</v>
      </c>
      <c r="S16" s="66">
        <v>270</v>
      </c>
      <c r="T16" s="66">
        <f t="shared" si="3"/>
        <v>-72</v>
      </c>
      <c r="U16" s="66">
        <v>523</v>
      </c>
      <c r="V16" s="66">
        <v>547</v>
      </c>
      <c r="W16" s="66" t="s">
        <v>249</v>
      </c>
      <c r="X16" s="66">
        <f t="shared" si="4"/>
        <v>24</v>
      </c>
      <c r="AB16" s="66" t="s">
        <v>81</v>
      </c>
      <c r="AC16" s="66" t="s">
        <v>95</v>
      </c>
      <c r="AE16" s="66">
        <v>7114</v>
      </c>
      <c r="AF16" s="66">
        <v>7980</v>
      </c>
      <c r="AG16" s="66">
        <v>10864</v>
      </c>
      <c r="AH16" s="66">
        <v>175</v>
      </c>
      <c r="AI16" s="66" t="s">
        <v>102</v>
      </c>
      <c r="AJ16" s="66">
        <v>38.68</v>
      </c>
      <c r="AK16" s="66">
        <v>4.2</v>
      </c>
      <c r="AL16" s="66">
        <v>12.5</v>
      </c>
      <c r="AM16" s="66">
        <v>866</v>
      </c>
      <c r="AN16" s="66">
        <v>256</v>
      </c>
      <c r="AP16" s="66" t="s">
        <v>104</v>
      </c>
      <c r="AQ16" s="66" t="s">
        <v>83</v>
      </c>
      <c r="AR16" s="66" t="s">
        <v>109</v>
      </c>
      <c r="AS16" s="66" t="s">
        <v>70</v>
      </c>
      <c r="AT16" s="66" t="s">
        <v>72</v>
      </c>
      <c r="AU16" s="66" t="s">
        <v>52</v>
      </c>
      <c r="AV16" s="66">
        <v>50</v>
      </c>
      <c r="AW16" s="66">
        <v>150</v>
      </c>
      <c r="AX16" s="66">
        <v>30</v>
      </c>
      <c r="AY16" s="66">
        <v>39</v>
      </c>
      <c r="AZ16" s="66">
        <v>27569</v>
      </c>
      <c r="BA16" s="66">
        <f t="shared" si="9"/>
        <v>269</v>
      </c>
      <c r="BB16" s="66">
        <v>43764</v>
      </c>
      <c r="BC16" s="66">
        <f t="shared" si="6"/>
        <v>0.17321016166281755</v>
      </c>
      <c r="BD16" s="66">
        <f t="shared" si="7"/>
        <v>0.5859375</v>
      </c>
    </row>
    <row r="17" spans="1:59" s="66" customFormat="1" ht="14.1" x14ac:dyDescent="0.55000000000000004">
      <c r="A17" s="66">
        <v>17</v>
      </c>
      <c r="B17" s="66" t="s">
        <v>185</v>
      </c>
      <c r="C17" s="66" t="s">
        <v>69</v>
      </c>
      <c r="D17" s="68">
        <v>44804</v>
      </c>
      <c r="E17" s="66" t="s">
        <v>105</v>
      </c>
      <c r="F17" s="66" t="s">
        <v>39</v>
      </c>
      <c r="G17" s="66">
        <f>5+5+11+30</f>
        <v>51</v>
      </c>
      <c r="H17" s="66">
        <f>10+20+20+10+15+15</f>
        <v>90</v>
      </c>
      <c r="I17" s="66">
        <v>0</v>
      </c>
      <c r="J17" s="66">
        <f>10+8</f>
        <v>18</v>
      </c>
      <c r="K17" s="66">
        <v>23079.439999999999</v>
      </c>
      <c r="L17" s="66">
        <f t="shared" si="8"/>
        <v>159</v>
      </c>
      <c r="M17" s="66">
        <f t="shared" si="0"/>
        <v>90</v>
      </c>
      <c r="N17" s="66">
        <f t="shared" si="1"/>
        <v>377</v>
      </c>
      <c r="O17" s="66">
        <v>9057</v>
      </c>
      <c r="P17" s="66">
        <v>11101</v>
      </c>
      <c r="Q17" s="66">
        <f t="shared" si="2"/>
        <v>2044</v>
      </c>
      <c r="R17" s="66">
        <v>126</v>
      </c>
      <c r="S17" s="66">
        <v>152</v>
      </c>
      <c r="T17" s="66">
        <f t="shared" si="3"/>
        <v>26</v>
      </c>
      <c r="U17" s="88"/>
      <c r="V17" s="88"/>
      <c r="W17" s="66" t="s">
        <v>250</v>
      </c>
      <c r="X17" s="66">
        <f t="shared" si="4"/>
        <v>0</v>
      </c>
      <c r="AB17" s="66" t="s">
        <v>93</v>
      </c>
      <c r="AC17" s="66" t="s">
        <v>65</v>
      </c>
      <c r="AD17" s="66">
        <v>76</v>
      </c>
      <c r="AE17" s="66">
        <v>7523</v>
      </c>
      <c r="AF17" s="66">
        <v>7900</v>
      </c>
      <c r="AG17" s="66">
        <v>10211</v>
      </c>
      <c r="AH17" s="66">
        <v>155</v>
      </c>
      <c r="AI17" s="66" t="s">
        <v>102</v>
      </c>
      <c r="AK17" s="66">
        <v>3.3</v>
      </c>
      <c r="AL17" s="66">
        <v>4.8000000000000001E-2</v>
      </c>
      <c r="AM17" s="66">
        <f t="shared" ref="AM17:AM24" si="10">AF17-AE17</f>
        <v>377</v>
      </c>
      <c r="AN17" s="66">
        <v>152</v>
      </c>
      <c r="AP17" s="66" t="s">
        <v>104</v>
      </c>
      <c r="AQ17" s="66" t="s">
        <v>48</v>
      </c>
      <c r="AR17" s="66" t="s">
        <v>78</v>
      </c>
      <c r="AS17" s="66" t="s">
        <v>176</v>
      </c>
      <c r="AT17" s="66" t="s">
        <v>77</v>
      </c>
      <c r="AU17" s="66" t="s">
        <v>52</v>
      </c>
      <c r="AV17" s="66">
        <f>5+5+11+30</f>
        <v>51</v>
      </c>
      <c r="AW17" s="66">
        <f>10+20+20+10+15+15</f>
        <v>90</v>
      </c>
      <c r="AX17" s="66">
        <v>0</v>
      </c>
      <c r="AY17" s="66">
        <f>10+8</f>
        <v>18</v>
      </c>
      <c r="AZ17" s="66">
        <v>23079.439999999999</v>
      </c>
      <c r="BA17" s="66">
        <f t="shared" si="9"/>
        <v>159</v>
      </c>
      <c r="BB17" s="66">
        <v>36174</v>
      </c>
      <c r="BC17" s="66">
        <f t="shared" si="6"/>
        <v>0.23872679045092837</v>
      </c>
      <c r="BD17" s="66">
        <f t="shared" si="7"/>
        <v>0.59210526315789469</v>
      </c>
      <c r="BE17" s="66">
        <v>5997</v>
      </c>
    </row>
    <row r="18" spans="1:59" s="66" customFormat="1" ht="14.1" x14ac:dyDescent="0.55000000000000004">
      <c r="A18" s="66">
        <v>18</v>
      </c>
      <c r="B18" s="66" t="s">
        <v>198</v>
      </c>
      <c r="C18" s="66" t="s">
        <v>161</v>
      </c>
      <c r="D18" s="68">
        <v>44852</v>
      </c>
      <c r="E18" s="66" t="s">
        <v>105</v>
      </c>
      <c r="F18" s="66" t="s">
        <v>38</v>
      </c>
      <c r="G18" s="66">
        <v>9</v>
      </c>
      <c r="H18" s="66">
        <v>90</v>
      </c>
      <c r="I18" s="66">
        <v>0</v>
      </c>
      <c r="J18" s="66">
        <v>20</v>
      </c>
      <c r="K18" s="66">
        <v>25727</v>
      </c>
      <c r="L18" s="66">
        <f t="shared" si="8"/>
        <v>119</v>
      </c>
      <c r="M18" s="66">
        <f t="shared" si="0"/>
        <v>90</v>
      </c>
      <c r="N18" s="66">
        <f t="shared" si="1"/>
        <v>454</v>
      </c>
      <c r="O18" s="66">
        <v>403</v>
      </c>
      <c r="P18" s="66">
        <v>3610</v>
      </c>
      <c r="Q18" s="66">
        <f t="shared" si="2"/>
        <v>3207</v>
      </c>
      <c r="R18" s="66">
        <v>200</v>
      </c>
      <c r="S18" s="66">
        <v>243</v>
      </c>
      <c r="T18" s="66">
        <f t="shared" si="3"/>
        <v>43</v>
      </c>
      <c r="U18" s="88"/>
      <c r="V18" s="88"/>
      <c r="W18" s="66" t="s">
        <v>250</v>
      </c>
      <c r="X18" s="66">
        <f t="shared" si="4"/>
        <v>0</v>
      </c>
      <c r="AB18" s="66" t="s">
        <v>60</v>
      </c>
      <c r="AC18" s="66" t="s">
        <v>56</v>
      </c>
      <c r="AD18" s="66">
        <v>645.29999999999995</v>
      </c>
      <c r="AE18" s="66">
        <v>6810</v>
      </c>
      <c r="AF18" s="66">
        <v>7264</v>
      </c>
      <c r="AG18" s="66">
        <v>8659</v>
      </c>
      <c r="AH18" s="66">
        <v>167</v>
      </c>
      <c r="AI18" s="66" t="s">
        <v>102</v>
      </c>
      <c r="AK18" s="66">
        <v>3.2</v>
      </c>
      <c r="AL18" s="66">
        <v>13</v>
      </c>
      <c r="AM18" s="66">
        <f t="shared" si="10"/>
        <v>454</v>
      </c>
      <c r="AN18" s="66">
        <v>307</v>
      </c>
      <c r="AO18" s="66">
        <v>221</v>
      </c>
      <c r="AP18" s="66" t="s">
        <v>104</v>
      </c>
      <c r="AQ18" s="66" t="s">
        <v>83</v>
      </c>
      <c r="AR18" s="66" t="s">
        <v>162</v>
      </c>
      <c r="AS18" s="66" t="s">
        <v>176</v>
      </c>
      <c r="AT18" s="66" t="s">
        <v>72</v>
      </c>
      <c r="AU18" s="66" t="s">
        <v>52</v>
      </c>
      <c r="AV18" s="66">
        <v>9</v>
      </c>
      <c r="AW18" s="66">
        <v>90</v>
      </c>
      <c r="AX18" s="66">
        <v>0</v>
      </c>
      <c r="AY18" s="66">
        <v>20</v>
      </c>
      <c r="AZ18" s="66">
        <v>25727</v>
      </c>
      <c r="BA18" s="66">
        <f t="shared" si="9"/>
        <v>119</v>
      </c>
      <c r="BB18" s="66">
        <v>38352</v>
      </c>
      <c r="BC18" s="66">
        <f t="shared" si="6"/>
        <v>0.19823788546255505</v>
      </c>
      <c r="BD18" s="66">
        <f t="shared" si="7"/>
        <v>0.29315960912052119</v>
      </c>
    </row>
    <row r="19" spans="1:59" s="66" customFormat="1" ht="14.1" x14ac:dyDescent="0.55000000000000004">
      <c r="A19" s="66">
        <v>19</v>
      </c>
      <c r="B19" s="88" t="s">
        <v>190</v>
      </c>
      <c r="C19" s="66" t="s">
        <v>28</v>
      </c>
      <c r="D19" s="68">
        <v>44856</v>
      </c>
      <c r="E19" s="66" t="s">
        <v>105</v>
      </c>
      <c r="F19" s="66" t="s">
        <v>39</v>
      </c>
      <c r="G19" s="66">
        <v>32</v>
      </c>
      <c r="H19" s="66">
        <v>115</v>
      </c>
      <c r="I19" s="66">
        <v>0</v>
      </c>
      <c r="J19" s="66">
        <v>28</v>
      </c>
      <c r="K19" s="66">
        <v>19013</v>
      </c>
      <c r="L19" s="66">
        <f t="shared" si="8"/>
        <v>175</v>
      </c>
      <c r="M19" s="66">
        <f t="shared" si="0"/>
        <v>115</v>
      </c>
      <c r="N19" s="66">
        <f t="shared" si="1"/>
        <v>154</v>
      </c>
      <c r="O19" s="66">
        <v>4400</v>
      </c>
      <c r="P19" s="66">
        <v>4800</v>
      </c>
      <c r="Q19" s="66">
        <f t="shared" si="2"/>
        <v>400</v>
      </c>
      <c r="R19" s="66">
        <v>300</v>
      </c>
      <c r="S19" s="66">
        <v>307</v>
      </c>
      <c r="T19" s="66">
        <f t="shared" si="3"/>
        <v>7</v>
      </c>
      <c r="U19" s="66">
        <v>468</v>
      </c>
      <c r="V19" s="66">
        <v>489</v>
      </c>
      <c r="W19" s="66" t="s">
        <v>249</v>
      </c>
      <c r="X19" s="66">
        <f t="shared" si="4"/>
        <v>21</v>
      </c>
      <c r="AB19" s="66" t="s">
        <v>81</v>
      </c>
      <c r="AC19" s="66" t="s">
        <v>56</v>
      </c>
      <c r="AE19" s="66">
        <v>6391</v>
      </c>
      <c r="AF19" s="66">
        <v>6545</v>
      </c>
      <c r="AG19" s="66">
        <v>9457</v>
      </c>
      <c r="AH19" s="66">
        <v>173</v>
      </c>
      <c r="AI19" s="66" t="s">
        <v>102</v>
      </c>
      <c r="AJ19" s="66">
        <v>38.700000000000003</v>
      </c>
      <c r="AK19" s="66">
        <v>3.6</v>
      </c>
      <c r="AL19" s="66">
        <v>13</v>
      </c>
      <c r="AM19" s="66">
        <f t="shared" si="10"/>
        <v>154</v>
      </c>
      <c r="AN19" s="66">
        <v>60.5</v>
      </c>
      <c r="AP19" s="66" t="s">
        <v>103</v>
      </c>
      <c r="AQ19" s="66" t="s">
        <v>48</v>
      </c>
      <c r="AR19" s="66" t="s">
        <v>49</v>
      </c>
      <c r="AS19" s="66" t="s">
        <v>176</v>
      </c>
      <c r="AT19" s="66" t="s">
        <v>50</v>
      </c>
      <c r="AU19" s="66" t="s">
        <v>52</v>
      </c>
      <c r="AV19" s="66">
        <v>32</v>
      </c>
      <c r="AW19" s="66">
        <v>115</v>
      </c>
      <c r="AX19" s="66">
        <v>0</v>
      </c>
      <c r="AY19" s="66">
        <v>28</v>
      </c>
      <c r="AZ19" s="66">
        <v>19013</v>
      </c>
      <c r="BA19" s="66">
        <f t="shared" si="9"/>
        <v>175</v>
      </c>
      <c r="BB19" s="66">
        <v>19013</v>
      </c>
      <c r="BC19" s="66">
        <f t="shared" si="6"/>
        <v>0.74675324675324672</v>
      </c>
      <c r="BD19" s="66">
        <f t="shared" si="7"/>
        <v>1.9008264462809918</v>
      </c>
      <c r="BF19" s="66">
        <v>14</v>
      </c>
    </row>
    <row r="20" spans="1:59" s="66" customFormat="1" ht="14.1" x14ac:dyDescent="0.55000000000000004">
      <c r="A20" s="66">
        <v>20</v>
      </c>
      <c r="B20" s="88" t="s">
        <v>199</v>
      </c>
      <c r="C20" s="66" t="s">
        <v>59</v>
      </c>
      <c r="D20" s="68">
        <v>44872</v>
      </c>
      <c r="E20" s="66" t="s">
        <v>133</v>
      </c>
      <c r="F20" s="66" t="s">
        <v>39</v>
      </c>
      <c r="G20" s="66">
        <v>48</v>
      </c>
      <c r="H20" s="66">
        <v>0</v>
      </c>
      <c r="I20" s="66">
        <v>0</v>
      </c>
      <c r="J20" s="66">
        <v>0</v>
      </c>
      <c r="K20" s="66">
        <v>22000</v>
      </c>
      <c r="L20" s="66">
        <f t="shared" si="8"/>
        <v>48</v>
      </c>
      <c r="M20" s="66">
        <f t="shared" si="0"/>
        <v>0</v>
      </c>
      <c r="N20" s="66">
        <f t="shared" si="1"/>
        <v>406</v>
      </c>
      <c r="O20" s="66">
        <v>3600</v>
      </c>
      <c r="P20" s="66">
        <v>3800</v>
      </c>
      <c r="Q20" s="66">
        <f t="shared" si="2"/>
        <v>200</v>
      </c>
      <c r="R20" s="66">
        <v>245</v>
      </c>
      <c r="S20" s="66">
        <v>287</v>
      </c>
      <c r="T20" s="66">
        <f t="shared" si="3"/>
        <v>42</v>
      </c>
      <c r="U20" s="66">
        <v>430</v>
      </c>
      <c r="V20" s="66">
        <v>440</v>
      </c>
      <c r="W20" s="66" t="s">
        <v>249</v>
      </c>
      <c r="X20" s="66">
        <f t="shared" si="4"/>
        <v>10</v>
      </c>
      <c r="AB20" s="66" t="s">
        <v>60</v>
      </c>
      <c r="AC20" s="66" t="s">
        <v>56</v>
      </c>
      <c r="AD20" s="66">
        <v>1064.2</v>
      </c>
      <c r="AE20" s="66">
        <v>6839</v>
      </c>
      <c r="AF20" s="66">
        <v>7245</v>
      </c>
      <c r="AG20" s="66">
        <f>612*14.22</f>
        <v>8702.6400000000012</v>
      </c>
      <c r="AH20" s="66">
        <v>173</v>
      </c>
      <c r="AI20" s="66" t="s">
        <v>102</v>
      </c>
      <c r="AK20" s="66">
        <v>4</v>
      </c>
      <c r="AL20" s="66">
        <v>13</v>
      </c>
      <c r="AM20" s="66">
        <f t="shared" si="10"/>
        <v>406</v>
      </c>
      <c r="AN20" s="66">
        <v>114</v>
      </c>
      <c r="AO20" s="66">
        <v>137</v>
      </c>
      <c r="AP20" s="66" t="s">
        <v>103</v>
      </c>
      <c r="AQ20" s="66" t="s">
        <v>48</v>
      </c>
      <c r="AR20" s="66" t="s">
        <v>176</v>
      </c>
      <c r="AS20" s="66" t="s">
        <v>176</v>
      </c>
      <c r="AT20" s="66" t="s">
        <v>176</v>
      </c>
      <c r="AU20" s="66" t="s">
        <v>52</v>
      </c>
      <c r="AV20" s="66">
        <v>48</v>
      </c>
      <c r="AW20" s="66">
        <v>0</v>
      </c>
      <c r="AX20" s="66">
        <v>0</v>
      </c>
      <c r="AY20" s="66">
        <v>0</v>
      </c>
      <c r="AZ20" s="66">
        <v>22000</v>
      </c>
      <c r="BA20" s="66">
        <f t="shared" si="9"/>
        <v>48</v>
      </c>
      <c r="BB20" s="66">
        <v>22000</v>
      </c>
      <c r="BC20" s="66">
        <f t="shared" si="6"/>
        <v>0</v>
      </c>
      <c r="BD20" s="66">
        <f t="shared" si="7"/>
        <v>0</v>
      </c>
      <c r="BE20" s="66">
        <v>5102</v>
      </c>
      <c r="BF20" s="66">
        <v>5</v>
      </c>
      <c r="BG20" s="66">
        <v>5102</v>
      </c>
    </row>
    <row r="21" spans="1:59" s="66" customFormat="1" ht="14.1" x14ac:dyDescent="0.55000000000000004">
      <c r="A21" s="66">
        <v>22</v>
      </c>
      <c r="B21" s="88" t="s">
        <v>203</v>
      </c>
      <c r="C21" s="66" t="s">
        <v>29</v>
      </c>
      <c r="D21" s="68">
        <v>44896</v>
      </c>
      <c r="E21" s="66" t="s">
        <v>105</v>
      </c>
      <c r="F21" s="66" t="s">
        <v>39</v>
      </c>
      <c r="G21" s="66">
        <v>30</v>
      </c>
      <c r="H21" s="66">
        <f>24+35+47</f>
        <v>106</v>
      </c>
      <c r="I21" s="66">
        <v>0</v>
      </c>
      <c r="J21" s="66">
        <v>26</v>
      </c>
      <c r="K21" s="66">
        <v>21500</v>
      </c>
      <c r="L21" s="66">
        <v>40</v>
      </c>
      <c r="M21" s="66">
        <f t="shared" si="0"/>
        <v>106</v>
      </c>
      <c r="N21" s="66">
        <f t="shared" si="1"/>
        <v>360</v>
      </c>
      <c r="O21" s="66">
        <v>2500</v>
      </c>
      <c r="P21" s="66">
        <v>3550</v>
      </c>
      <c r="Q21" s="66">
        <f t="shared" si="2"/>
        <v>1050</v>
      </c>
      <c r="R21" s="66">
        <v>123</v>
      </c>
      <c r="S21" s="66">
        <v>155</v>
      </c>
      <c r="T21" s="66">
        <f t="shared" si="3"/>
        <v>32</v>
      </c>
      <c r="U21" s="66">
        <v>246</v>
      </c>
      <c r="V21" s="66">
        <v>340</v>
      </c>
      <c r="W21" s="66" t="s">
        <v>249</v>
      </c>
      <c r="X21" s="66">
        <f t="shared" si="4"/>
        <v>94</v>
      </c>
      <c r="AB21" s="66" t="s">
        <v>60</v>
      </c>
      <c r="AC21" s="66" t="s">
        <v>56</v>
      </c>
      <c r="AD21" s="66">
        <v>302</v>
      </c>
      <c r="AE21" s="66">
        <v>6640</v>
      </c>
      <c r="AF21" s="66">
        <v>7000</v>
      </c>
      <c r="AG21" s="66">
        <v>9286</v>
      </c>
      <c r="AH21" s="66">
        <v>173</v>
      </c>
      <c r="AI21" s="66" t="s">
        <v>102</v>
      </c>
      <c r="AK21" s="66">
        <v>3.6</v>
      </c>
      <c r="AL21" s="66">
        <v>13</v>
      </c>
      <c r="AM21" s="66">
        <f t="shared" si="10"/>
        <v>360</v>
      </c>
      <c r="AN21" s="66">
        <v>67</v>
      </c>
      <c r="AO21" s="66">
        <v>127</v>
      </c>
      <c r="AP21" s="66" t="s">
        <v>104</v>
      </c>
      <c r="AQ21" s="66" t="s">
        <v>48</v>
      </c>
      <c r="AR21" s="66" t="s">
        <v>62</v>
      </c>
      <c r="AS21" s="66" t="s">
        <v>176</v>
      </c>
      <c r="AT21" s="66" t="s">
        <v>50</v>
      </c>
      <c r="AU21" s="66" t="s">
        <v>52</v>
      </c>
      <c r="AV21" s="66">
        <v>30</v>
      </c>
      <c r="AW21" s="66">
        <f>24+35+47</f>
        <v>106</v>
      </c>
      <c r="AX21" s="66">
        <v>0</v>
      </c>
      <c r="AY21" s="66">
        <v>26</v>
      </c>
      <c r="AZ21" s="66">
        <v>21500</v>
      </c>
      <c r="BA21" s="66">
        <f>SUM(AV21:AZ21)</f>
        <v>21662</v>
      </c>
      <c r="BB21" s="66">
        <v>36040</v>
      </c>
      <c r="BC21" s="66">
        <f t="shared" si="6"/>
        <v>0.29444444444444445</v>
      </c>
      <c r="BD21" s="66">
        <f t="shared" si="7"/>
        <v>1.5820895522388059</v>
      </c>
      <c r="BF21" s="66">
        <v>12</v>
      </c>
    </row>
    <row r="22" spans="1:59" s="66" customFormat="1" ht="14.1" x14ac:dyDescent="0.55000000000000004">
      <c r="A22" s="66">
        <v>23</v>
      </c>
      <c r="B22" s="88" t="s">
        <v>241</v>
      </c>
      <c r="C22" s="66" t="s">
        <v>30</v>
      </c>
      <c r="D22" s="68">
        <v>44920</v>
      </c>
      <c r="E22" s="66" t="s">
        <v>105</v>
      </c>
      <c r="F22" s="66" t="s">
        <v>39</v>
      </c>
      <c r="G22" s="66">
        <f>12+3+3+3+5</f>
        <v>26</v>
      </c>
      <c r="H22" s="66">
        <f>20+20+20+25+15+20+25+20</f>
        <v>165</v>
      </c>
      <c r="I22" s="66">
        <v>0</v>
      </c>
      <c r="J22" s="66">
        <f>10+12+12</f>
        <v>34</v>
      </c>
      <c r="K22" s="66">
        <v>22750</v>
      </c>
      <c r="L22" s="66">
        <f t="shared" ref="L22:L33" si="11">SUM(G22:J22)</f>
        <v>225</v>
      </c>
      <c r="M22" s="66">
        <f t="shared" si="0"/>
        <v>165</v>
      </c>
      <c r="N22" s="66">
        <f t="shared" si="1"/>
        <v>542</v>
      </c>
      <c r="O22" s="66">
        <v>4000</v>
      </c>
      <c r="P22" s="66">
        <v>4200</v>
      </c>
      <c r="Q22" s="66">
        <f t="shared" si="2"/>
        <v>200</v>
      </c>
      <c r="R22" s="66">
        <v>210</v>
      </c>
      <c r="S22" s="66">
        <v>245</v>
      </c>
      <c r="T22" s="66">
        <f t="shared" si="3"/>
        <v>35</v>
      </c>
      <c r="U22" s="66">
        <v>356</v>
      </c>
      <c r="V22" s="66">
        <v>420</v>
      </c>
      <c r="W22" s="66" t="s">
        <v>249</v>
      </c>
      <c r="X22" s="66">
        <f t="shared" si="4"/>
        <v>64</v>
      </c>
      <c r="AB22" s="66" t="s">
        <v>60</v>
      </c>
      <c r="AC22" s="66" t="s">
        <v>56</v>
      </c>
      <c r="AD22" s="66">
        <v>1947</v>
      </c>
      <c r="AE22" s="66">
        <v>7108</v>
      </c>
      <c r="AF22" s="66">
        <v>7650</v>
      </c>
      <c r="AG22" s="66">
        <v>8290</v>
      </c>
      <c r="AH22" s="66">
        <v>173</v>
      </c>
      <c r="AI22" s="66" t="s">
        <v>102</v>
      </c>
      <c r="AJ22" s="66">
        <v>40.22</v>
      </c>
      <c r="AK22" s="66">
        <v>3.6</v>
      </c>
      <c r="AL22" s="66">
        <v>13</v>
      </c>
      <c r="AM22" s="66">
        <f t="shared" si="10"/>
        <v>542</v>
      </c>
      <c r="AN22" s="66">
        <v>144</v>
      </c>
      <c r="AO22" s="66">
        <v>177</v>
      </c>
      <c r="AP22" s="66" t="s">
        <v>104</v>
      </c>
      <c r="AQ22" s="66" t="s">
        <v>48</v>
      </c>
      <c r="AR22" s="66" t="s">
        <v>49</v>
      </c>
      <c r="AS22" s="66" t="s">
        <v>176</v>
      </c>
      <c r="AT22" s="66" t="s">
        <v>50</v>
      </c>
      <c r="AU22" s="66" t="s">
        <v>52</v>
      </c>
      <c r="AV22" s="66">
        <f>12+3+3+3+5</f>
        <v>26</v>
      </c>
      <c r="AW22" s="66">
        <f>20+20+20+25+15+20+25+20</f>
        <v>165</v>
      </c>
      <c r="AX22" s="66">
        <v>0</v>
      </c>
      <c r="AY22" s="66">
        <f>10+12+12</f>
        <v>34</v>
      </c>
      <c r="AZ22" s="66">
        <v>22750</v>
      </c>
      <c r="BA22" s="66">
        <f t="shared" ref="BA22:BA31" si="12">SUM(AV22:AY22)</f>
        <v>225</v>
      </c>
      <c r="BB22" s="66">
        <v>45156</v>
      </c>
      <c r="BC22" s="66">
        <f t="shared" si="6"/>
        <v>0.30442804428044279</v>
      </c>
      <c r="BD22" s="66">
        <f t="shared" si="7"/>
        <v>1.1458333333333333</v>
      </c>
      <c r="BE22" s="66">
        <v>3950</v>
      </c>
      <c r="BF22" s="66">
        <v>13</v>
      </c>
      <c r="BG22" s="66">
        <v>5003</v>
      </c>
    </row>
    <row r="23" spans="1:59" s="66" customFormat="1" ht="14.1" x14ac:dyDescent="0.55000000000000004">
      <c r="A23" s="66">
        <v>24</v>
      </c>
      <c r="B23" s="88" t="s">
        <v>196</v>
      </c>
      <c r="C23" s="66" t="s">
        <v>31</v>
      </c>
      <c r="D23" s="68">
        <v>44921</v>
      </c>
      <c r="E23" s="66" t="s">
        <v>105</v>
      </c>
      <c r="F23" s="66" t="s">
        <v>39</v>
      </c>
      <c r="G23" s="66">
        <v>29</v>
      </c>
      <c r="H23" s="66">
        <v>111</v>
      </c>
      <c r="I23" s="66">
        <v>0</v>
      </c>
      <c r="J23" s="66">
        <v>23</v>
      </c>
      <c r="K23" s="66">
        <v>22800</v>
      </c>
      <c r="L23" s="66">
        <f t="shared" si="11"/>
        <v>163</v>
      </c>
      <c r="M23" s="66">
        <f t="shared" si="0"/>
        <v>111</v>
      </c>
      <c r="N23" s="66">
        <f t="shared" si="1"/>
        <v>874</v>
      </c>
      <c r="O23" s="66">
        <v>3300</v>
      </c>
      <c r="P23" s="66">
        <v>4300</v>
      </c>
      <c r="Q23" s="66">
        <f t="shared" si="2"/>
        <v>1000</v>
      </c>
      <c r="R23" s="66">
        <v>187</v>
      </c>
      <c r="S23" s="66">
        <v>290</v>
      </c>
      <c r="T23" s="66">
        <f t="shared" si="3"/>
        <v>103</v>
      </c>
      <c r="U23" s="66">
        <v>300</v>
      </c>
      <c r="V23" s="66">
        <v>410</v>
      </c>
      <c r="W23" s="66" t="s">
        <v>249</v>
      </c>
      <c r="X23" s="66">
        <f t="shared" si="4"/>
        <v>110</v>
      </c>
      <c r="AB23" s="66" t="s">
        <v>58</v>
      </c>
      <c r="AC23" s="66" t="s">
        <v>61</v>
      </c>
      <c r="AD23" s="66">
        <v>183</v>
      </c>
      <c r="AE23" s="66">
        <v>6726</v>
      </c>
      <c r="AF23" s="66">
        <v>7600</v>
      </c>
      <c r="AG23" s="66">
        <v>8462</v>
      </c>
      <c r="AH23" s="66">
        <v>178</v>
      </c>
      <c r="AI23" s="66" t="s">
        <v>102</v>
      </c>
      <c r="AK23" s="66">
        <v>3.6</v>
      </c>
      <c r="AL23" s="66">
        <v>13.09</v>
      </c>
      <c r="AM23" s="66">
        <f t="shared" si="10"/>
        <v>874</v>
      </c>
      <c r="AN23" s="66">
        <v>108</v>
      </c>
      <c r="AP23" s="66" t="s">
        <v>104</v>
      </c>
      <c r="AQ23" s="66" t="s">
        <v>48</v>
      </c>
      <c r="AR23" s="66" t="s">
        <v>62</v>
      </c>
      <c r="AS23" s="66" t="s">
        <v>176</v>
      </c>
      <c r="AT23" s="66" t="s">
        <v>50</v>
      </c>
      <c r="AU23" s="66" t="s">
        <v>52</v>
      </c>
      <c r="AV23" s="66">
        <v>29</v>
      </c>
      <c r="AW23" s="66">
        <v>111</v>
      </c>
      <c r="AX23" s="66">
        <v>0</v>
      </c>
      <c r="AY23" s="66">
        <v>23</v>
      </c>
      <c r="AZ23" s="66">
        <v>22800</v>
      </c>
      <c r="BA23" s="66">
        <f t="shared" si="12"/>
        <v>163</v>
      </c>
      <c r="BB23" s="66">
        <v>35975</v>
      </c>
      <c r="BC23" s="66">
        <f t="shared" si="6"/>
        <v>0.12700228832951946</v>
      </c>
      <c r="BD23" s="66">
        <f t="shared" si="7"/>
        <v>1.0277777777777777</v>
      </c>
      <c r="BE23" s="66">
        <v>5484</v>
      </c>
      <c r="BF23" s="66">
        <v>12</v>
      </c>
      <c r="BG23" s="66">
        <v>4732</v>
      </c>
    </row>
    <row r="24" spans="1:59" s="66" customFormat="1" ht="14.1" x14ac:dyDescent="0.55000000000000004">
      <c r="A24" s="66">
        <v>25</v>
      </c>
      <c r="B24" s="88" t="s">
        <v>205</v>
      </c>
      <c r="C24" s="66" t="s">
        <v>32</v>
      </c>
      <c r="D24" s="68">
        <v>44937</v>
      </c>
      <c r="E24" s="66" t="s">
        <v>105</v>
      </c>
      <c r="F24" s="66" t="s">
        <v>39</v>
      </c>
      <c r="G24" s="66">
        <v>25</v>
      </c>
      <c r="H24" s="66">
        <v>138</v>
      </c>
      <c r="I24" s="66">
        <v>0</v>
      </c>
      <c r="J24" s="66">
        <v>31</v>
      </c>
      <c r="K24" s="66">
        <v>16000</v>
      </c>
      <c r="L24" s="66">
        <f t="shared" si="11"/>
        <v>194</v>
      </c>
      <c r="M24" s="66">
        <f t="shared" si="0"/>
        <v>138</v>
      </c>
      <c r="N24" s="66">
        <f t="shared" si="1"/>
        <v>295.78999999999996</v>
      </c>
      <c r="O24" s="66">
        <v>3200</v>
      </c>
      <c r="P24" s="66">
        <v>3400</v>
      </c>
      <c r="Q24" s="66">
        <f t="shared" si="2"/>
        <v>200</v>
      </c>
      <c r="R24" s="66">
        <v>252</v>
      </c>
      <c r="S24" s="66">
        <v>268</v>
      </c>
      <c r="T24" s="66">
        <f t="shared" si="3"/>
        <v>16</v>
      </c>
      <c r="U24" s="66">
        <v>460</v>
      </c>
      <c r="V24" s="66">
        <v>470</v>
      </c>
      <c r="W24" s="66" t="s">
        <v>249</v>
      </c>
      <c r="X24" s="66">
        <f t="shared" si="4"/>
        <v>10</v>
      </c>
      <c r="AB24" s="66" t="s">
        <v>81</v>
      </c>
      <c r="AC24" s="66" t="s">
        <v>56</v>
      </c>
      <c r="AD24" s="66">
        <v>445</v>
      </c>
      <c r="AE24" s="66">
        <v>6489.75</v>
      </c>
      <c r="AF24" s="66">
        <v>6785.54</v>
      </c>
      <c r="AG24" s="66">
        <v>8207</v>
      </c>
      <c r="AH24" s="66">
        <v>173</v>
      </c>
      <c r="AI24" s="66" t="s">
        <v>102</v>
      </c>
      <c r="AJ24" s="66">
        <v>40.22</v>
      </c>
      <c r="AK24" s="66">
        <v>3.7</v>
      </c>
      <c r="AL24" s="66">
        <v>13</v>
      </c>
      <c r="AM24" s="66">
        <f t="shared" si="10"/>
        <v>295.78999999999996</v>
      </c>
      <c r="AN24" s="66">
        <v>196</v>
      </c>
      <c r="AP24" s="66" t="s">
        <v>104</v>
      </c>
      <c r="AQ24" s="66" t="s">
        <v>48</v>
      </c>
      <c r="AR24" s="66" t="s">
        <v>62</v>
      </c>
      <c r="AS24" s="66" t="s">
        <v>176</v>
      </c>
      <c r="AT24" s="66" t="s">
        <v>50</v>
      </c>
      <c r="AU24" s="66" t="s">
        <v>52</v>
      </c>
      <c r="AV24" s="66">
        <v>25</v>
      </c>
      <c r="AW24" s="66">
        <v>138</v>
      </c>
      <c r="AX24" s="66">
        <v>0</v>
      </c>
      <c r="AY24" s="66">
        <v>31</v>
      </c>
      <c r="AZ24" s="66">
        <v>16000</v>
      </c>
      <c r="BA24" s="66">
        <f t="shared" si="12"/>
        <v>194</v>
      </c>
      <c r="BB24" s="66">
        <v>58000</v>
      </c>
      <c r="BC24" s="66">
        <f t="shared" si="6"/>
        <v>0.46654721254944392</v>
      </c>
      <c r="BD24" s="66">
        <f t="shared" si="7"/>
        <v>0.70408163265306123</v>
      </c>
    </row>
    <row r="25" spans="1:59" s="66" customFormat="1" ht="14.1" x14ac:dyDescent="0.55000000000000004">
      <c r="A25" s="66">
        <v>27</v>
      </c>
      <c r="B25" s="88" t="s">
        <v>193</v>
      </c>
      <c r="C25" s="66" t="s">
        <v>33</v>
      </c>
      <c r="D25" s="68">
        <v>44965</v>
      </c>
      <c r="E25" s="66" t="s">
        <v>105</v>
      </c>
      <c r="F25" s="66" t="s">
        <v>39</v>
      </c>
      <c r="G25" s="66">
        <v>26</v>
      </c>
      <c r="H25" s="66">
        <v>78</v>
      </c>
      <c r="I25" s="66">
        <v>0</v>
      </c>
      <c r="J25" s="66">
        <v>18</v>
      </c>
      <c r="K25" s="66">
        <v>22600</v>
      </c>
      <c r="L25" s="66">
        <f t="shared" si="11"/>
        <v>122</v>
      </c>
      <c r="M25" s="66">
        <f t="shared" si="0"/>
        <v>78</v>
      </c>
      <c r="N25" s="66">
        <f t="shared" si="1"/>
        <v>593</v>
      </c>
      <c r="O25" s="66">
        <v>2607</v>
      </c>
      <c r="P25" s="66">
        <v>4357</v>
      </c>
      <c r="Q25" s="66">
        <f t="shared" si="2"/>
        <v>1750</v>
      </c>
      <c r="R25" s="66">
        <v>206</v>
      </c>
      <c r="S25" s="66">
        <v>208</v>
      </c>
      <c r="T25" s="66">
        <f t="shared" si="3"/>
        <v>2</v>
      </c>
      <c r="U25" s="66">
        <v>237</v>
      </c>
      <c r="V25" s="66">
        <v>380</v>
      </c>
      <c r="W25" s="66" t="s">
        <v>249</v>
      </c>
      <c r="X25" s="66">
        <f t="shared" si="4"/>
        <v>143</v>
      </c>
      <c r="AB25" s="66" t="s">
        <v>81</v>
      </c>
      <c r="AC25" s="66" t="s">
        <v>160</v>
      </c>
      <c r="AD25" s="66">
        <v>2121.1799999999998</v>
      </c>
      <c r="AE25" s="66">
        <v>7374</v>
      </c>
      <c r="AF25" s="66">
        <v>7967</v>
      </c>
      <c r="AG25" s="66">
        <v>8703</v>
      </c>
      <c r="AH25" s="66">
        <v>179</v>
      </c>
      <c r="AI25" s="66" t="s">
        <v>102</v>
      </c>
      <c r="AJ25" s="66">
        <v>40.22</v>
      </c>
      <c r="AK25" s="66">
        <v>4.0999999999999996</v>
      </c>
      <c r="AL25" s="66">
        <v>13</v>
      </c>
      <c r="AM25" s="66">
        <f>473+120</f>
        <v>593</v>
      </c>
      <c r="AO25" s="66">
        <v>132</v>
      </c>
      <c r="AP25" s="66" t="s">
        <v>104</v>
      </c>
      <c r="AQ25" s="66" t="s">
        <v>48</v>
      </c>
      <c r="AR25" s="66" t="s">
        <v>62</v>
      </c>
      <c r="AS25" s="66" t="s">
        <v>176</v>
      </c>
      <c r="AT25" s="66" t="s">
        <v>50</v>
      </c>
      <c r="AU25" s="66" t="s">
        <v>52</v>
      </c>
      <c r="AV25" s="66">
        <v>26</v>
      </c>
      <c r="AW25" s="66">
        <v>78</v>
      </c>
      <c r="AX25" s="66">
        <v>0</v>
      </c>
      <c r="AY25" s="66">
        <v>18</v>
      </c>
      <c r="AZ25" s="66">
        <v>22600</v>
      </c>
      <c r="BA25" s="66">
        <f t="shared" si="12"/>
        <v>122</v>
      </c>
      <c r="BB25" s="66">
        <v>23500</v>
      </c>
      <c r="BC25" s="66">
        <f t="shared" si="6"/>
        <v>0.13153456998313659</v>
      </c>
      <c r="BD25" s="66">
        <f t="shared" ref="BD25:BD31" si="13">AW25/AO25</f>
        <v>0.59090909090909094</v>
      </c>
      <c r="BE25" s="66">
        <v>3547</v>
      </c>
      <c r="BF25" s="66">
        <v>8</v>
      </c>
      <c r="BG25" s="66">
        <v>2846</v>
      </c>
    </row>
    <row r="26" spans="1:59" s="66" customFormat="1" ht="14.1" x14ac:dyDescent="0.55000000000000004">
      <c r="A26" s="66">
        <v>29</v>
      </c>
      <c r="B26" s="88" t="s">
        <v>228</v>
      </c>
      <c r="C26" s="66" t="s">
        <v>34</v>
      </c>
      <c r="D26" s="68">
        <v>45005</v>
      </c>
      <c r="E26" s="66" t="s">
        <v>105</v>
      </c>
      <c r="F26" s="66" t="s">
        <v>39</v>
      </c>
      <c r="G26" s="66">
        <v>30</v>
      </c>
      <c r="H26" s="66">
        <v>102</v>
      </c>
      <c r="I26" s="66">
        <v>0</v>
      </c>
      <c r="J26" s="66">
        <v>30</v>
      </c>
      <c r="K26" s="66">
        <v>22944.400000000001</v>
      </c>
      <c r="L26" s="66">
        <f t="shared" si="11"/>
        <v>162</v>
      </c>
      <c r="M26" s="66">
        <f t="shared" si="0"/>
        <v>102</v>
      </c>
      <c r="N26" s="66">
        <f t="shared" si="1"/>
        <v>763</v>
      </c>
      <c r="O26" s="66">
        <v>3300</v>
      </c>
      <c r="P26" s="66">
        <v>4000</v>
      </c>
      <c r="Q26" s="66">
        <f t="shared" si="2"/>
        <v>700</v>
      </c>
      <c r="R26" s="66">
        <v>131</v>
      </c>
      <c r="S26" s="66">
        <v>210</v>
      </c>
      <c r="T26" s="66">
        <f t="shared" si="3"/>
        <v>79</v>
      </c>
      <c r="U26" s="66">
        <v>262</v>
      </c>
      <c r="V26" s="66">
        <v>401</v>
      </c>
      <c r="W26" s="66" t="s">
        <v>249</v>
      </c>
      <c r="X26" s="66">
        <f t="shared" si="4"/>
        <v>139</v>
      </c>
      <c r="AB26" s="66" t="s">
        <v>148</v>
      </c>
      <c r="AC26" s="66" t="s">
        <v>85</v>
      </c>
      <c r="AD26" s="66">
        <v>221.4</v>
      </c>
      <c r="AE26" s="66">
        <v>7372</v>
      </c>
      <c r="AF26" s="66">
        <v>8135</v>
      </c>
      <c r="AG26" s="66">
        <v>8120</v>
      </c>
      <c r="AH26" s="66">
        <v>185</v>
      </c>
      <c r="AI26" s="66" t="s">
        <v>102</v>
      </c>
      <c r="AK26" s="66">
        <v>2.83</v>
      </c>
      <c r="AL26" s="66">
        <v>15</v>
      </c>
      <c r="AM26" s="66">
        <f t="shared" ref="AM26:AM31" si="14">AF26-AE26</f>
        <v>763</v>
      </c>
      <c r="AN26" s="66">
        <f>5.1+38+112</f>
        <v>155.1</v>
      </c>
      <c r="AO26" s="66">
        <v>181</v>
      </c>
      <c r="AP26" s="66" t="s">
        <v>104</v>
      </c>
      <c r="AQ26" s="66" t="s">
        <v>48</v>
      </c>
      <c r="AR26" s="66" t="s">
        <v>155</v>
      </c>
      <c r="AS26" s="66" t="s">
        <v>176</v>
      </c>
      <c r="AT26" s="66" t="s">
        <v>50</v>
      </c>
      <c r="AU26" s="66" t="s">
        <v>52</v>
      </c>
      <c r="AV26" s="66">
        <v>30</v>
      </c>
      <c r="AW26" s="66">
        <v>102</v>
      </c>
      <c r="AX26" s="66">
        <v>0</v>
      </c>
      <c r="AY26" s="66">
        <v>30</v>
      </c>
      <c r="AZ26" s="66">
        <v>22944.400000000001</v>
      </c>
      <c r="BA26" s="66">
        <f t="shared" si="12"/>
        <v>162</v>
      </c>
      <c r="BB26" s="66">
        <f>AZ26+1460.85+2000+800+300+1000+1500</f>
        <v>30005.25</v>
      </c>
      <c r="BC26" s="66">
        <f t="shared" si="6"/>
        <v>0.13368283093053734</v>
      </c>
      <c r="BD26" s="66">
        <f t="shared" si="13"/>
        <v>0.56353591160220995</v>
      </c>
      <c r="BE26" s="66">
        <v>3579</v>
      </c>
      <c r="BF26" s="66">
        <v>10</v>
      </c>
      <c r="BG26" s="66">
        <v>3579</v>
      </c>
    </row>
    <row r="27" spans="1:59" s="66" customFormat="1" ht="14.1" x14ac:dyDescent="0.55000000000000004">
      <c r="A27" s="66">
        <v>30</v>
      </c>
      <c r="B27" s="88" t="s">
        <v>204</v>
      </c>
      <c r="C27" s="66" t="s">
        <v>147</v>
      </c>
      <c r="D27" s="68">
        <v>45019</v>
      </c>
      <c r="E27" s="66" t="s">
        <v>105</v>
      </c>
      <c r="F27" s="66" t="s">
        <v>38</v>
      </c>
      <c r="G27" s="66">
        <v>28</v>
      </c>
      <c r="H27" s="66">
        <v>80</v>
      </c>
      <c r="I27" s="66">
        <v>28</v>
      </c>
      <c r="J27" s="66">
        <v>22</v>
      </c>
      <c r="K27" s="66">
        <v>25515</v>
      </c>
      <c r="L27" s="66">
        <f t="shared" si="11"/>
        <v>158</v>
      </c>
      <c r="M27" s="66">
        <f t="shared" si="0"/>
        <v>108</v>
      </c>
      <c r="N27" s="66">
        <f t="shared" si="1"/>
        <v>672.23999999999978</v>
      </c>
      <c r="O27" s="66">
        <v>4000</v>
      </c>
      <c r="P27" s="66">
        <v>4510</v>
      </c>
      <c r="Q27" s="66">
        <f t="shared" si="2"/>
        <v>510</v>
      </c>
      <c r="R27" s="66">
        <v>153</v>
      </c>
      <c r="S27" s="66">
        <v>164</v>
      </c>
      <c r="T27" s="66">
        <f t="shared" si="3"/>
        <v>11</v>
      </c>
      <c r="U27" s="66">
        <v>316</v>
      </c>
      <c r="V27" s="66">
        <v>328</v>
      </c>
      <c r="W27" s="66" t="s">
        <v>249</v>
      </c>
      <c r="X27" s="66">
        <f t="shared" si="4"/>
        <v>12</v>
      </c>
      <c r="AB27" s="66" t="s">
        <v>148</v>
      </c>
      <c r="AC27" s="66" t="s">
        <v>149</v>
      </c>
      <c r="AD27" s="66">
        <v>61.4</v>
      </c>
      <c r="AE27" s="66">
        <v>7517.76</v>
      </c>
      <c r="AF27" s="66">
        <v>8190</v>
      </c>
      <c r="AG27" s="66">
        <v>8646</v>
      </c>
      <c r="AH27" s="66">
        <v>181</v>
      </c>
      <c r="AI27" s="66" t="s">
        <v>102</v>
      </c>
      <c r="AK27" s="66" t="s">
        <v>153</v>
      </c>
      <c r="AL27" s="66">
        <v>13</v>
      </c>
      <c r="AM27" s="66">
        <f t="shared" si="14"/>
        <v>672.23999999999978</v>
      </c>
      <c r="AO27" s="66">
        <v>156</v>
      </c>
      <c r="AP27" s="66" t="s">
        <v>104</v>
      </c>
      <c r="AQ27" s="66" t="s">
        <v>83</v>
      </c>
      <c r="AR27" s="66" t="s">
        <v>154</v>
      </c>
      <c r="AS27" s="66" t="s">
        <v>70</v>
      </c>
      <c r="AT27" s="66" t="s">
        <v>72</v>
      </c>
      <c r="AU27" s="66" t="s">
        <v>52</v>
      </c>
      <c r="AV27" s="66">
        <v>28</v>
      </c>
      <c r="AW27" s="66">
        <v>80</v>
      </c>
      <c r="AX27" s="66">
        <v>28</v>
      </c>
      <c r="AY27" s="66">
        <v>22</v>
      </c>
      <c r="AZ27" s="66">
        <v>25515</v>
      </c>
      <c r="BA27" s="66">
        <f t="shared" si="12"/>
        <v>158</v>
      </c>
      <c r="BB27" s="66">
        <v>42259</v>
      </c>
      <c r="BC27" s="66">
        <f t="shared" si="6"/>
        <v>0.11900511722004051</v>
      </c>
      <c r="BD27" s="66">
        <f t="shared" si="13"/>
        <v>0.51282051282051277</v>
      </c>
      <c r="BE27" s="66">
        <v>4490</v>
      </c>
      <c r="BF27" s="66">
        <v>12</v>
      </c>
      <c r="BG27" s="66">
        <v>4595</v>
      </c>
    </row>
    <row r="28" spans="1:59" s="66" customFormat="1" ht="14.1" x14ac:dyDescent="0.55000000000000004">
      <c r="A28" s="66">
        <v>31</v>
      </c>
      <c r="B28" s="88" t="s">
        <v>229</v>
      </c>
      <c r="C28" s="66" t="s">
        <v>35</v>
      </c>
      <c r="D28" s="68">
        <v>45032</v>
      </c>
      <c r="E28" s="66" t="s">
        <v>105</v>
      </c>
      <c r="F28" s="66" t="s">
        <v>39</v>
      </c>
      <c r="G28" s="66">
        <f>9+4+3+3+3</f>
        <v>22</v>
      </c>
      <c r="H28" s="66">
        <f>8+10+8+15+15+8+12+10</f>
        <v>86</v>
      </c>
      <c r="I28" s="66">
        <v>0</v>
      </c>
      <c r="J28" s="66">
        <f>4+4+4</f>
        <v>12</v>
      </c>
      <c r="K28" s="66">
        <v>24045</v>
      </c>
      <c r="L28" s="66">
        <f t="shared" si="11"/>
        <v>120</v>
      </c>
      <c r="M28" s="66">
        <f t="shared" si="0"/>
        <v>86</v>
      </c>
      <c r="N28" s="66">
        <f t="shared" si="1"/>
        <v>506</v>
      </c>
      <c r="O28" s="66">
        <v>4000</v>
      </c>
      <c r="P28" s="66">
        <v>5259</v>
      </c>
      <c r="Q28" s="66">
        <f t="shared" si="2"/>
        <v>1259</v>
      </c>
      <c r="R28" s="66">
        <v>188</v>
      </c>
      <c r="S28" s="66">
        <v>211</v>
      </c>
      <c r="T28" s="66">
        <f t="shared" si="3"/>
        <v>23</v>
      </c>
      <c r="U28" s="66">
        <v>377</v>
      </c>
      <c r="V28" s="66">
        <v>383</v>
      </c>
      <c r="W28" s="66" t="s">
        <v>249</v>
      </c>
      <c r="X28" s="66">
        <f t="shared" si="4"/>
        <v>6</v>
      </c>
      <c r="AB28" s="66" t="s">
        <v>81</v>
      </c>
      <c r="AC28" s="66" t="s">
        <v>85</v>
      </c>
      <c r="AD28" s="66">
        <v>1240</v>
      </c>
      <c r="AE28" s="66">
        <v>7374</v>
      </c>
      <c r="AF28" s="66">
        <v>7880</v>
      </c>
      <c r="AG28" s="66">
        <v>7992</v>
      </c>
      <c r="AH28" s="66">
        <v>173.9</v>
      </c>
      <c r="AI28" s="66" t="s">
        <v>102</v>
      </c>
      <c r="AK28" s="66">
        <v>3.8</v>
      </c>
      <c r="AL28" s="66" t="s">
        <v>146</v>
      </c>
      <c r="AM28" s="66">
        <f t="shared" si="14"/>
        <v>506</v>
      </c>
      <c r="AO28" s="66">
        <v>146</v>
      </c>
      <c r="AP28" s="66" t="s">
        <v>104</v>
      </c>
      <c r="AQ28" s="66" t="s">
        <v>48</v>
      </c>
      <c r="AR28" s="66" t="s">
        <v>78</v>
      </c>
      <c r="AS28" s="66" t="s">
        <v>176</v>
      </c>
      <c r="AT28" s="66" t="s">
        <v>77</v>
      </c>
      <c r="AU28" s="66" t="s">
        <v>52</v>
      </c>
      <c r="AV28" s="66">
        <f>9+4+3+3+3</f>
        <v>22</v>
      </c>
      <c r="AW28" s="66">
        <f>8+10+8+15+15+8+12+10</f>
        <v>86</v>
      </c>
      <c r="AX28" s="66">
        <v>0</v>
      </c>
      <c r="AY28" s="66">
        <f>4+4+4</f>
        <v>12</v>
      </c>
      <c r="AZ28" s="66">
        <v>24045</v>
      </c>
      <c r="BA28" s="66">
        <f t="shared" si="12"/>
        <v>120</v>
      </c>
      <c r="BB28" s="66">
        <v>40271</v>
      </c>
      <c r="BC28" s="66">
        <f t="shared" si="6"/>
        <v>0.16996047430830039</v>
      </c>
      <c r="BD28" s="66">
        <f t="shared" si="13"/>
        <v>0.58904109589041098</v>
      </c>
    </row>
    <row r="29" spans="1:59" s="66" customFormat="1" ht="14.1" x14ac:dyDescent="0.55000000000000004">
      <c r="A29" s="66">
        <v>32</v>
      </c>
      <c r="B29" s="88" t="s">
        <v>230</v>
      </c>
      <c r="C29" s="66" t="s">
        <v>134</v>
      </c>
      <c r="D29" s="68">
        <v>45089</v>
      </c>
      <c r="E29" s="66" t="s">
        <v>105</v>
      </c>
      <c r="F29" s="66" t="s">
        <v>39</v>
      </c>
      <c r="G29" s="66">
        <f>10+3+2+3+8+3</f>
        <v>29</v>
      </c>
      <c r="H29" s="66">
        <f>8+8+6+12+15+15+12+8</f>
        <v>84</v>
      </c>
      <c r="I29" s="66">
        <v>0</v>
      </c>
      <c r="J29" s="66">
        <f>5+4+4</f>
        <v>13</v>
      </c>
      <c r="K29" s="66">
        <v>14419</v>
      </c>
      <c r="L29" s="66">
        <f t="shared" si="11"/>
        <v>126</v>
      </c>
      <c r="M29" s="66">
        <f t="shared" si="0"/>
        <v>84</v>
      </c>
      <c r="N29" s="66">
        <f t="shared" si="1"/>
        <v>484</v>
      </c>
      <c r="O29" s="66">
        <v>3800</v>
      </c>
      <c r="P29" s="66">
        <v>4300</v>
      </c>
      <c r="Q29" s="66">
        <f t="shared" si="2"/>
        <v>500</v>
      </c>
      <c r="R29" s="66">
        <v>163</v>
      </c>
      <c r="S29" s="66">
        <v>180</v>
      </c>
      <c r="T29" s="66">
        <f t="shared" si="3"/>
        <v>17</v>
      </c>
      <c r="U29" s="66">
        <v>347</v>
      </c>
      <c r="V29" s="66">
        <v>370</v>
      </c>
      <c r="W29" s="66" t="s">
        <v>249</v>
      </c>
      <c r="X29" s="66">
        <f t="shared" si="4"/>
        <v>23</v>
      </c>
      <c r="AB29" s="66" t="s">
        <v>81</v>
      </c>
      <c r="AC29" s="66" t="s">
        <v>85</v>
      </c>
      <c r="AD29" s="66">
        <v>1105</v>
      </c>
      <c r="AE29" s="66">
        <v>6230</v>
      </c>
      <c r="AF29" s="66">
        <v>6714</v>
      </c>
      <c r="AG29" s="66">
        <v>6925</v>
      </c>
      <c r="AH29" s="66">
        <v>173</v>
      </c>
      <c r="AI29" s="66" t="s">
        <v>102</v>
      </c>
      <c r="AJ29" s="66">
        <v>38.700000000000003</v>
      </c>
      <c r="AK29" s="66">
        <v>2.9</v>
      </c>
      <c r="AL29" s="66">
        <v>33</v>
      </c>
      <c r="AM29" s="66">
        <f t="shared" si="14"/>
        <v>484</v>
      </c>
      <c r="AO29" s="66">
        <v>156</v>
      </c>
      <c r="AP29" s="66" t="s">
        <v>104</v>
      </c>
      <c r="AQ29" s="66" t="s">
        <v>48</v>
      </c>
      <c r="AR29" s="66" t="s">
        <v>78</v>
      </c>
      <c r="AS29" s="66" t="s">
        <v>176</v>
      </c>
      <c r="AT29" s="66" t="s">
        <v>50</v>
      </c>
      <c r="AU29" s="66" t="s">
        <v>52</v>
      </c>
      <c r="AV29" s="66">
        <f>10+3+2+3+8+3</f>
        <v>29</v>
      </c>
      <c r="AW29" s="66">
        <f>8+8+6+12+15+15+12+8</f>
        <v>84</v>
      </c>
      <c r="AX29" s="66">
        <v>0</v>
      </c>
      <c r="AY29" s="66">
        <f>5+4+4</f>
        <v>13</v>
      </c>
      <c r="AZ29" s="66">
        <v>14419</v>
      </c>
      <c r="BA29" s="66">
        <f t="shared" si="12"/>
        <v>126</v>
      </c>
      <c r="BB29" s="66">
        <f>27796+AZ29</f>
        <v>42215</v>
      </c>
      <c r="BC29" s="66">
        <f t="shared" si="6"/>
        <v>0.17355371900826447</v>
      </c>
      <c r="BD29" s="66">
        <f t="shared" si="13"/>
        <v>0.53846153846153844</v>
      </c>
    </row>
    <row r="30" spans="1:59" s="66" customFormat="1" ht="26.25" customHeight="1" x14ac:dyDescent="0.55000000000000004">
      <c r="A30" s="66">
        <v>33</v>
      </c>
      <c r="B30" s="88" t="s">
        <v>232</v>
      </c>
      <c r="C30" s="66" t="s">
        <v>171</v>
      </c>
      <c r="D30" s="68">
        <v>45164</v>
      </c>
      <c r="E30" s="66" t="s">
        <v>105</v>
      </c>
      <c r="F30" s="66" t="s">
        <v>38</v>
      </c>
      <c r="G30" s="66">
        <v>39</v>
      </c>
      <c r="H30" s="66">
        <v>50</v>
      </c>
      <c r="I30" s="66">
        <v>72</v>
      </c>
      <c r="J30" s="66">
        <v>27</v>
      </c>
      <c r="K30" s="66">
        <v>24654</v>
      </c>
      <c r="L30" s="66">
        <f t="shared" si="11"/>
        <v>188</v>
      </c>
      <c r="M30" s="66">
        <f t="shared" si="0"/>
        <v>122</v>
      </c>
      <c r="N30" s="66">
        <f t="shared" si="1"/>
        <v>571</v>
      </c>
      <c r="O30" s="66">
        <v>1700</v>
      </c>
      <c r="P30" s="66">
        <v>2930</v>
      </c>
      <c r="Q30" s="66">
        <f t="shared" si="2"/>
        <v>1230</v>
      </c>
      <c r="R30" s="66">
        <v>56</v>
      </c>
      <c r="S30" s="66">
        <v>176</v>
      </c>
      <c r="T30" s="66">
        <f t="shared" si="3"/>
        <v>120</v>
      </c>
      <c r="U30" s="66">
        <v>280</v>
      </c>
      <c r="V30" s="66">
        <v>324</v>
      </c>
      <c r="W30" s="66" t="s">
        <v>249</v>
      </c>
      <c r="X30" s="66">
        <f t="shared" si="4"/>
        <v>44</v>
      </c>
      <c r="AB30" s="66" t="s">
        <v>81</v>
      </c>
      <c r="AC30" s="66" t="s">
        <v>172</v>
      </c>
      <c r="AD30" s="66">
        <v>1630</v>
      </c>
      <c r="AE30" s="66">
        <v>7662</v>
      </c>
      <c r="AF30" s="66">
        <v>8233</v>
      </c>
      <c r="AG30" s="66">
        <v>6655</v>
      </c>
      <c r="AH30" s="66">
        <v>179</v>
      </c>
      <c r="AI30" s="66" t="s">
        <v>102</v>
      </c>
      <c r="AJ30" s="66">
        <v>44</v>
      </c>
      <c r="AK30" s="66">
        <v>3.4</v>
      </c>
      <c r="AL30" s="66">
        <v>13</v>
      </c>
      <c r="AM30" s="66">
        <f t="shared" si="14"/>
        <v>571</v>
      </c>
      <c r="AN30" s="66">
        <v>483</v>
      </c>
      <c r="AO30" s="66">
        <v>225.6</v>
      </c>
      <c r="AP30" s="66" t="s">
        <v>104</v>
      </c>
      <c r="AQ30" s="66" t="s">
        <v>83</v>
      </c>
      <c r="AR30" s="66" t="s">
        <v>173</v>
      </c>
      <c r="AS30" s="66" t="s">
        <v>71</v>
      </c>
      <c r="AT30" s="66" t="s">
        <v>72</v>
      </c>
      <c r="AU30" s="66" t="s">
        <v>52</v>
      </c>
      <c r="AV30" s="66">
        <v>39</v>
      </c>
      <c r="AW30" s="66">
        <v>50</v>
      </c>
      <c r="AX30" s="66">
        <v>72</v>
      </c>
      <c r="AY30" s="66">
        <v>27</v>
      </c>
      <c r="AZ30" s="66">
        <v>24654</v>
      </c>
      <c r="BA30" s="66">
        <f t="shared" si="12"/>
        <v>188</v>
      </c>
      <c r="BB30" s="66">
        <v>26512</v>
      </c>
      <c r="BC30" s="66">
        <f t="shared" si="6"/>
        <v>8.7565674255691769E-2</v>
      </c>
      <c r="BD30" s="66">
        <f t="shared" si="13"/>
        <v>0.22163120567375888</v>
      </c>
      <c r="BE30" s="66">
        <v>5305</v>
      </c>
      <c r="BF30" s="66">
        <v>12</v>
      </c>
      <c r="BG30" s="66">
        <v>3350</v>
      </c>
    </row>
    <row r="31" spans="1:59" s="66" customFormat="1" ht="26.25" customHeight="1" x14ac:dyDescent="0.55000000000000004">
      <c r="A31" s="66">
        <v>35</v>
      </c>
      <c r="B31" s="88" t="s">
        <v>233</v>
      </c>
      <c r="C31" s="66" t="s">
        <v>181</v>
      </c>
      <c r="D31" s="68">
        <v>45179</v>
      </c>
      <c r="E31" s="66" t="s">
        <v>105</v>
      </c>
      <c r="F31" s="66" t="s">
        <v>38</v>
      </c>
      <c r="G31" s="66">
        <v>16</v>
      </c>
      <c r="H31" s="66">
        <v>60</v>
      </c>
      <c r="I31" s="66">
        <v>80</v>
      </c>
      <c r="J31" s="66">
        <v>30</v>
      </c>
      <c r="K31" s="66">
        <v>17112.900000000001</v>
      </c>
      <c r="L31" s="66">
        <f t="shared" si="11"/>
        <v>186</v>
      </c>
      <c r="M31" s="66">
        <f t="shared" si="0"/>
        <v>140</v>
      </c>
      <c r="N31" s="66">
        <f t="shared" si="1"/>
        <v>909</v>
      </c>
      <c r="O31" s="66">
        <v>2300</v>
      </c>
      <c r="P31" s="66">
        <v>2600</v>
      </c>
      <c r="Q31" s="66">
        <f t="shared" si="2"/>
        <v>300</v>
      </c>
      <c r="R31" s="66">
        <v>112</v>
      </c>
      <c r="S31" s="66">
        <v>160</v>
      </c>
      <c r="T31" s="66">
        <f t="shared" si="3"/>
        <v>48</v>
      </c>
      <c r="U31" s="66">
        <v>305</v>
      </c>
      <c r="V31" s="66">
        <v>320</v>
      </c>
      <c r="W31" s="66" t="s">
        <v>249</v>
      </c>
      <c r="X31" s="66">
        <f t="shared" si="4"/>
        <v>15</v>
      </c>
      <c r="AB31" s="66" t="s">
        <v>81</v>
      </c>
      <c r="AC31" s="66" t="s">
        <v>61</v>
      </c>
      <c r="AD31" s="66">
        <v>1349.48</v>
      </c>
      <c r="AE31" s="66">
        <v>6663</v>
      </c>
      <c r="AF31" s="66">
        <v>7572</v>
      </c>
      <c r="AG31" s="66">
        <v>6229</v>
      </c>
      <c r="AH31" s="66">
        <v>175</v>
      </c>
      <c r="AI31" s="66" t="s">
        <v>102</v>
      </c>
      <c r="AJ31" s="66">
        <v>44</v>
      </c>
      <c r="AK31" s="66">
        <v>3.4</v>
      </c>
      <c r="AL31" s="66">
        <v>20.6</v>
      </c>
      <c r="AM31" s="66">
        <f t="shared" si="14"/>
        <v>909</v>
      </c>
      <c r="AN31" s="66">
        <v>102.8</v>
      </c>
      <c r="AP31" s="66" t="s">
        <v>104</v>
      </c>
      <c r="AQ31" s="66" t="s">
        <v>83</v>
      </c>
      <c r="AR31" s="66" t="s">
        <v>173</v>
      </c>
      <c r="AS31" s="66" t="s">
        <v>71</v>
      </c>
      <c r="AT31" s="66" t="s">
        <v>72</v>
      </c>
      <c r="AU31" s="66" t="s">
        <v>52</v>
      </c>
      <c r="AV31" s="66">
        <v>16</v>
      </c>
      <c r="AW31" s="66">
        <v>60</v>
      </c>
      <c r="AX31" s="66">
        <v>80</v>
      </c>
      <c r="AY31" s="66">
        <v>30</v>
      </c>
      <c r="AZ31" s="66">
        <v>17112.900000000001</v>
      </c>
      <c r="BA31" s="66">
        <f t="shared" si="12"/>
        <v>186</v>
      </c>
      <c r="BB31" s="66">
        <v>38554.9</v>
      </c>
      <c r="BC31" s="66">
        <f t="shared" si="6"/>
        <v>6.6006600660066E-2</v>
      </c>
      <c r="BD31" s="66" t="e">
        <f t="shared" si="13"/>
        <v>#DIV/0!</v>
      </c>
      <c r="BE31" s="66">
        <v>3284</v>
      </c>
      <c r="BF31" s="66">
        <v>12</v>
      </c>
      <c r="BG31" s="66">
        <v>3237</v>
      </c>
    </row>
    <row r="32" spans="1:59" s="66" customFormat="1" ht="26.25" customHeight="1" x14ac:dyDescent="0.55000000000000004">
      <c r="A32" s="66">
        <v>36</v>
      </c>
      <c r="B32" s="88" t="s">
        <v>216</v>
      </c>
      <c r="C32" s="66" t="s">
        <v>182</v>
      </c>
      <c r="D32" s="68">
        <v>45187</v>
      </c>
      <c r="E32" s="66" t="s">
        <v>105</v>
      </c>
      <c r="F32" s="66" t="s">
        <v>39</v>
      </c>
      <c r="G32" s="66">
        <v>39</v>
      </c>
      <c r="H32" s="66">
        <v>50</v>
      </c>
      <c r="I32" s="66">
        <v>72</v>
      </c>
      <c r="J32" s="66">
        <v>27</v>
      </c>
      <c r="K32" s="66">
        <v>24654</v>
      </c>
      <c r="L32" s="66">
        <f t="shared" si="11"/>
        <v>188</v>
      </c>
      <c r="M32" s="66">
        <f t="shared" si="0"/>
        <v>122</v>
      </c>
      <c r="N32" s="66">
        <f t="shared" si="1"/>
        <v>0</v>
      </c>
      <c r="O32" s="66">
        <v>3500</v>
      </c>
      <c r="P32" s="66">
        <v>3856</v>
      </c>
      <c r="Q32" s="66">
        <f t="shared" si="2"/>
        <v>356</v>
      </c>
      <c r="R32" s="66">
        <v>130</v>
      </c>
      <c r="S32" s="66">
        <v>152</v>
      </c>
      <c r="T32" s="66">
        <f t="shared" si="3"/>
        <v>22</v>
      </c>
      <c r="U32" s="66">
        <v>283</v>
      </c>
      <c r="V32" s="66">
        <v>313</v>
      </c>
      <c r="W32" s="66" t="s">
        <v>249</v>
      </c>
      <c r="X32" s="66">
        <f t="shared" si="4"/>
        <v>30</v>
      </c>
    </row>
    <row r="33" spans="1:56" s="66" customFormat="1" ht="26.25" customHeight="1" x14ac:dyDescent="0.55000000000000004">
      <c r="A33" s="66">
        <v>34</v>
      </c>
      <c r="B33" s="88" t="s">
        <v>207</v>
      </c>
      <c r="C33" s="66" t="s">
        <v>180</v>
      </c>
      <c r="D33" s="68">
        <v>45195</v>
      </c>
      <c r="E33" s="66" t="s">
        <v>105</v>
      </c>
      <c r="F33" s="66" t="s">
        <v>38</v>
      </c>
      <c r="G33" s="66">
        <v>26</v>
      </c>
      <c r="H33" s="66">
        <v>50</v>
      </c>
      <c r="I33" s="66">
        <v>60</v>
      </c>
      <c r="J33" s="66">
        <v>25</v>
      </c>
      <c r="K33" s="66">
        <v>19334</v>
      </c>
      <c r="L33" s="66">
        <f t="shared" si="11"/>
        <v>161</v>
      </c>
      <c r="M33" s="66">
        <f t="shared" si="0"/>
        <v>110</v>
      </c>
      <c r="N33" s="66">
        <f t="shared" si="1"/>
        <v>592</v>
      </c>
      <c r="O33" s="66">
        <v>1400</v>
      </c>
      <c r="P33" s="66">
        <v>3805</v>
      </c>
      <c r="Q33" s="66">
        <f t="shared" si="2"/>
        <v>2405</v>
      </c>
      <c r="R33" s="66">
        <v>122</v>
      </c>
      <c r="S33" s="66">
        <v>120</v>
      </c>
      <c r="T33" s="66">
        <f t="shared" si="3"/>
        <v>-2</v>
      </c>
      <c r="U33" s="66">
        <v>280</v>
      </c>
      <c r="V33" s="66">
        <v>315</v>
      </c>
      <c r="W33" s="66" t="s">
        <v>249</v>
      </c>
      <c r="X33" s="66">
        <f t="shared" si="4"/>
        <v>35</v>
      </c>
      <c r="AB33" s="66" t="s">
        <v>148</v>
      </c>
      <c r="AC33" s="66" t="s">
        <v>61</v>
      </c>
      <c r="AD33" s="66">
        <v>798.12</v>
      </c>
      <c r="AE33" s="66">
        <v>7335</v>
      </c>
      <c r="AF33" s="66">
        <v>7927</v>
      </c>
      <c r="AG33" s="66">
        <v>6628</v>
      </c>
      <c r="AH33" s="66">
        <v>184</v>
      </c>
      <c r="AI33" s="66" t="s">
        <v>102</v>
      </c>
      <c r="AJ33" s="66">
        <v>44</v>
      </c>
      <c r="AK33" s="66">
        <v>3.58</v>
      </c>
      <c r="AL33" s="66">
        <v>1</v>
      </c>
      <c r="AM33" s="66">
        <f>AF33-AE33</f>
        <v>592</v>
      </c>
      <c r="AO33" s="66">
        <v>255.5</v>
      </c>
      <c r="AP33" s="66" t="s">
        <v>104</v>
      </c>
      <c r="AQ33" s="66" t="s">
        <v>83</v>
      </c>
      <c r="AR33" s="66" t="s">
        <v>173</v>
      </c>
      <c r="AS33" s="66" t="s">
        <v>71</v>
      </c>
      <c r="AT33" s="66" t="s">
        <v>72</v>
      </c>
      <c r="AU33" s="66" t="s">
        <v>52</v>
      </c>
      <c r="AV33" s="66">
        <v>26</v>
      </c>
      <c r="AW33" s="66">
        <v>50</v>
      </c>
      <c r="AX33" s="66">
        <v>60</v>
      </c>
      <c r="AY33" s="66">
        <v>25</v>
      </c>
      <c r="AZ33" s="66">
        <v>19334</v>
      </c>
      <c r="BA33" s="66">
        <f>SUM(AV33:AY33)</f>
        <v>161</v>
      </c>
      <c r="BB33" s="66">
        <v>35998</v>
      </c>
      <c r="BC33" s="66">
        <f>AW33/AM33</f>
        <v>8.4459459459459457E-2</v>
      </c>
      <c r="BD33" s="66">
        <f>AW33/AO33</f>
        <v>0.19569471624266144</v>
      </c>
    </row>
    <row r="34" spans="1:56" s="66" customFormat="1" ht="26.25" customHeight="1" x14ac:dyDescent="0.55000000000000004">
      <c r="A34" s="66">
        <v>37</v>
      </c>
      <c r="B34" s="66" t="s">
        <v>191</v>
      </c>
      <c r="C34" s="66" t="s">
        <v>23</v>
      </c>
      <c r="D34" s="68">
        <v>45211</v>
      </c>
      <c r="E34" s="66" t="s">
        <v>105</v>
      </c>
      <c r="F34" s="66" t="s">
        <v>242</v>
      </c>
      <c r="G34" s="66">
        <v>28</v>
      </c>
      <c r="H34" s="66">
        <v>34</v>
      </c>
      <c r="I34" s="66">
        <v>40</v>
      </c>
      <c r="J34" s="66">
        <v>10</v>
      </c>
      <c r="K34" s="66">
        <v>15696</v>
      </c>
      <c r="L34" s="66">
        <f>G34+H34+I34+J34</f>
        <v>112</v>
      </c>
      <c r="M34" s="66">
        <f>H34+I34+J34</f>
        <v>84</v>
      </c>
      <c r="N34" s="66">
        <v>776</v>
      </c>
      <c r="O34" s="66">
        <v>2723</v>
      </c>
      <c r="P34" s="66">
        <v>3139</v>
      </c>
      <c r="Q34" s="66">
        <v>416</v>
      </c>
      <c r="R34" s="66">
        <v>99</v>
      </c>
      <c r="S34" s="66">
        <v>106</v>
      </c>
      <c r="T34" s="66">
        <f t="shared" si="3"/>
        <v>7</v>
      </c>
      <c r="U34" s="66">
        <v>389</v>
      </c>
      <c r="V34" s="66">
        <v>392</v>
      </c>
      <c r="W34" s="66" t="s">
        <v>250</v>
      </c>
      <c r="X34" s="66">
        <f t="shared" si="4"/>
        <v>3</v>
      </c>
      <c r="AB34" s="66" t="s">
        <v>132</v>
      </c>
      <c r="AC34" s="66" t="s">
        <v>130</v>
      </c>
    </row>
    <row r="35" spans="1:56" s="66" customFormat="1" ht="26.25" customHeight="1" x14ac:dyDescent="0.55000000000000004">
      <c r="A35" s="66">
        <v>38</v>
      </c>
      <c r="B35" s="66" t="s">
        <v>198</v>
      </c>
      <c r="C35" s="66" t="s">
        <v>161</v>
      </c>
      <c r="D35" s="68">
        <v>45223</v>
      </c>
      <c r="E35" s="66" t="s">
        <v>105</v>
      </c>
      <c r="F35" s="66" t="s">
        <v>242</v>
      </c>
      <c r="G35" s="66">
        <v>57</v>
      </c>
      <c r="H35" s="66">
        <v>57</v>
      </c>
      <c r="I35" s="66">
        <v>29</v>
      </c>
      <c r="J35" s="66">
        <v>24</v>
      </c>
      <c r="K35" s="66">
        <v>20608</v>
      </c>
      <c r="L35" s="66">
        <f>G35+H35+I35+J35</f>
        <v>167</v>
      </c>
      <c r="M35" s="66">
        <v>110</v>
      </c>
      <c r="N35" s="66">
        <v>221</v>
      </c>
      <c r="O35" s="66">
        <v>7189</v>
      </c>
      <c r="P35" s="66">
        <v>8919</v>
      </c>
      <c r="Q35" s="66">
        <v>1730</v>
      </c>
      <c r="R35" s="66">
        <v>115</v>
      </c>
      <c r="S35" s="66">
        <v>119.5</v>
      </c>
      <c r="T35" s="66">
        <f t="shared" si="3"/>
        <v>4.5</v>
      </c>
      <c r="U35" s="66">
        <v>388</v>
      </c>
      <c r="V35" s="66">
        <v>398</v>
      </c>
      <c r="W35" s="66" t="s">
        <v>250</v>
      </c>
      <c r="X35" s="66">
        <f t="shared" si="4"/>
        <v>10</v>
      </c>
      <c r="AB35" s="66" t="s">
        <v>60</v>
      </c>
      <c r="AC35" s="66" t="s">
        <v>56</v>
      </c>
    </row>
    <row r="36" spans="1:56" s="66" customFormat="1" ht="26.25" customHeight="1" x14ac:dyDescent="0.55000000000000004">
      <c r="A36" s="66">
        <v>39</v>
      </c>
      <c r="B36" s="66" t="s">
        <v>203</v>
      </c>
      <c r="C36" s="66" t="s">
        <v>29</v>
      </c>
      <c r="D36" s="68">
        <v>45227</v>
      </c>
      <c r="E36" s="66" t="s">
        <v>105</v>
      </c>
      <c r="F36" s="66" t="s">
        <v>39</v>
      </c>
      <c r="G36" s="66">
        <v>17</v>
      </c>
      <c r="H36" s="66">
        <v>38</v>
      </c>
      <c r="I36" s="66">
        <v>44</v>
      </c>
      <c r="J36" s="66">
        <v>20</v>
      </c>
      <c r="K36" s="66">
        <v>16592</v>
      </c>
      <c r="L36" s="66">
        <f>G36+H36+I36+J36</f>
        <v>119</v>
      </c>
      <c r="M36" s="66">
        <v>102</v>
      </c>
      <c r="N36" s="66">
        <v>372</v>
      </c>
      <c r="O36" s="66">
        <v>3900</v>
      </c>
      <c r="P36" s="66">
        <v>4353</v>
      </c>
      <c r="Q36" s="66">
        <v>453</v>
      </c>
      <c r="R36" s="66">
        <v>114</v>
      </c>
      <c r="S36" s="66">
        <v>125.5</v>
      </c>
      <c r="T36" s="66">
        <f t="shared" si="3"/>
        <v>11.5</v>
      </c>
      <c r="U36" s="66">
        <v>336</v>
      </c>
      <c r="V36" s="66">
        <v>357</v>
      </c>
      <c r="W36" s="66" t="s">
        <v>250</v>
      </c>
      <c r="X36" s="66">
        <f t="shared" si="4"/>
        <v>21</v>
      </c>
      <c r="AB36" s="66" t="s">
        <v>60</v>
      </c>
      <c r="AC36" s="66" t="s">
        <v>56</v>
      </c>
    </row>
    <row r="37" spans="1:56" s="66" customFormat="1" ht="26.25" customHeight="1" x14ac:dyDescent="0.55000000000000004">
      <c r="A37" s="66">
        <v>40</v>
      </c>
      <c r="B37" s="66" t="s">
        <v>236</v>
      </c>
      <c r="C37" s="66" t="s">
        <v>234</v>
      </c>
      <c r="D37" s="68">
        <v>45235</v>
      </c>
      <c r="E37" s="66" t="s">
        <v>105</v>
      </c>
      <c r="F37" s="66" t="s">
        <v>39</v>
      </c>
      <c r="G37" s="66">
        <v>16</v>
      </c>
      <c r="H37" s="66">
        <v>54</v>
      </c>
      <c r="I37" s="66">
        <v>60</v>
      </c>
      <c r="J37" s="66">
        <v>28</v>
      </c>
      <c r="K37" s="66">
        <v>15855</v>
      </c>
      <c r="L37" s="66">
        <f>G37+H37+I37+J37</f>
        <v>158</v>
      </c>
      <c r="M37" s="66">
        <v>142</v>
      </c>
      <c r="N37" s="66">
        <v>258</v>
      </c>
      <c r="O37" s="66">
        <v>5655</v>
      </c>
      <c r="P37" s="66">
        <v>6460</v>
      </c>
      <c r="Q37" s="66">
        <f>P37-O37</f>
        <v>805</v>
      </c>
      <c r="R37" s="66">
        <v>108</v>
      </c>
      <c r="S37" s="66">
        <v>112</v>
      </c>
      <c r="T37" s="66">
        <f t="shared" si="3"/>
        <v>4</v>
      </c>
      <c r="U37" s="66">
        <v>422</v>
      </c>
      <c r="V37" s="66">
        <v>446</v>
      </c>
      <c r="W37" s="66" t="s">
        <v>250</v>
      </c>
      <c r="X37" s="66">
        <f t="shared" si="4"/>
        <v>24</v>
      </c>
      <c r="AB37" s="66" t="s">
        <v>251</v>
      </c>
      <c r="AC37" s="66" t="s">
        <v>56</v>
      </c>
    </row>
    <row r="38" spans="1:56" s="66" customFormat="1" ht="26.25" customHeight="1" x14ac:dyDescent="0.55000000000000004">
      <c r="A38" s="66">
        <v>41</v>
      </c>
      <c r="B38" s="66" t="s">
        <v>194</v>
      </c>
      <c r="C38" s="66" t="s">
        <v>25</v>
      </c>
      <c r="D38" s="68">
        <v>45241</v>
      </c>
      <c r="E38" s="66" t="s">
        <v>105</v>
      </c>
      <c r="F38" s="66" t="s">
        <v>39</v>
      </c>
      <c r="G38" s="66">
        <v>32</v>
      </c>
      <c r="H38" s="66">
        <v>49</v>
      </c>
      <c r="I38" s="66">
        <v>51</v>
      </c>
      <c r="J38" s="66">
        <v>25</v>
      </c>
      <c r="K38" s="66">
        <v>18593</v>
      </c>
      <c r="L38" s="66">
        <f>G38+H38+I38+J38</f>
        <v>157</v>
      </c>
      <c r="M38" s="66">
        <v>125</v>
      </c>
      <c r="N38" s="66">
        <v>177</v>
      </c>
      <c r="O38" s="66">
        <v>4138</v>
      </c>
      <c r="P38" s="66">
        <v>4598</v>
      </c>
      <c r="Q38" s="66">
        <f>P38-O38</f>
        <v>460</v>
      </c>
      <c r="R38" s="66">
        <v>106</v>
      </c>
      <c r="S38" s="66">
        <v>107</v>
      </c>
      <c r="T38" s="66">
        <f t="shared" si="3"/>
        <v>1</v>
      </c>
      <c r="U38" s="66">
        <v>347</v>
      </c>
      <c r="V38" s="66">
        <v>374</v>
      </c>
      <c r="W38" s="66" t="s">
        <v>250</v>
      </c>
      <c r="X38" s="66">
        <f t="shared" si="4"/>
        <v>27</v>
      </c>
      <c r="AB38" s="66" t="s">
        <v>60</v>
      </c>
      <c r="AC38" s="66" t="s">
        <v>65</v>
      </c>
    </row>
    <row r="39" spans="1:56" s="66" customFormat="1" ht="26.25" customHeight="1" x14ac:dyDescent="0.55000000000000004">
      <c r="B39" s="66" t="s">
        <v>246</v>
      </c>
      <c r="C39" s="66" t="s">
        <v>247</v>
      </c>
      <c r="D39" s="68">
        <v>45244</v>
      </c>
      <c r="E39" s="66" t="s">
        <v>105</v>
      </c>
      <c r="F39" s="66" t="s">
        <v>39</v>
      </c>
      <c r="G39" s="66">
        <v>14</v>
      </c>
      <c r="H39" s="66">
        <v>37</v>
      </c>
      <c r="I39" s="66">
        <v>50</v>
      </c>
      <c r="J39" s="66">
        <v>16</v>
      </c>
      <c r="K39" s="66">
        <v>17074</v>
      </c>
      <c r="L39" s="66">
        <f>SUM(G39:K39)</f>
        <v>17191</v>
      </c>
      <c r="M39" s="66">
        <f>H39+I39</f>
        <v>87</v>
      </c>
      <c r="N39" s="66">
        <v>193</v>
      </c>
      <c r="O39" s="66">
        <v>300</v>
      </c>
      <c r="P39" s="66">
        <v>4100</v>
      </c>
      <c r="Q39" s="66">
        <f>P39-O39</f>
        <v>3800</v>
      </c>
      <c r="R39" s="66">
        <v>121</v>
      </c>
      <c r="S39" s="66">
        <v>149</v>
      </c>
      <c r="T39" s="66">
        <f t="shared" si="3"/>
        <v>28</v>
      </c>
      <c r="U39" s="66">
        <v>260</v>
      </c>
      <c r="V39" s="66">
        <v>297</v>
      </c>
      <c r="W39" s="66" t="s">
        <v>249</v>
      </c>
      <c r="X39" s="66">
        <f t="shared" si="4"/>
        <v>37</v>
      </c>
      <c r="AB39" s="66" t="s">
        <v>60</v>
      </c>
      <c r="AC39" s="66" t="s">
        <v>61</v>
      </c>
    </row>
    <row r="40" spans="1:56" s="66" customFormat="1" ht="26.25" customHeight="1" x14ac:dyDescent="0.55000000000000004">
      <c r="A40" s="66">
        <v>43</v>
      </c>
      <c r="B40" s="66" t="s">
        <v>237</v>
      </c>
      <c r="C40" s="66" t="s">
        <v>235</v>
      </c>
      <c r="D40" s="68">
        <v>45254</v>
      </c>
      <c r="E40" s="66" t="s">
        <v>105</v>
      </c>
      <c r="F40" s="66" t="s">
        <v>38</v>
      </c>
      <c r="G40" s="66">
        <v>24</v>
      </c>
      <c r="H40" s="66">
        <v>43</v>
      </c>
      <c r="I40" s="66">
        <v>68</v>
      </c>
      <c r="J40" s="66">
        <v>26</v>
      </c>
      <c r="K40" s="66">
        <v>15518</v>
      </c>
      <c r="L40" s="66">
        <f>G40+H40+I40+J40</f>
        <v>161</v>
      </c>
      <c r="M40" s="66">
        <v>137</v>
      </c>
      <c r="N40" s="66">
        <v>173</v>
      </c>
      <c r="O40" s="66">
        <v>5214</v>
      </c>
      <c r="P40" s="66">
        <v>5384</v>
      </c>
      <c r="Q40" s="66">
        <f>P40-O40</f>
        <v>170</v>
      </c>
      <c r="R40" s="66">
        <v>120</v>
      </c>
      <c r="S40" s="66">
        <v>150</v>
      </c>
      <c r="T40" s="66">
        <f t="shared" si="3"/>
        <v>30</v>
      </c>
      <c r="U40" s="66">
        <v>438</v>
      </c>
      <c r="V40" s="66">
        <v>440</v>
      </c>
      <c r="W40" s="66" t="s">
        <v>250</v>
      </c>
      <c r="X40" s="66">
        <f t="shared" si="4"/>
        <v>2</v>
      </c>
      <c r="AB40" s="66" t="s">
        <v>81</v>
      </c>
      <c r="AC40" s="66" t="s">
        <v>82</v>
      </c>
    </row>
    <row r="41" spans="1:56" s="66" customFormat="1" ht="26.25" customHeight="1" x14ac:dyDescent="0.55000000000000004">
      <c r="A41" s="66">
        <v>42</v>
      </c>
      <c r="B41" s="66" t="s">
        <v>199</v>
      </c>
      <c r="C41" s="66" t="s">
        <v>59</v>
      </c>
      <c r="D41" s="68">
        <v>45259</v>
      </c>
      <c r="E41" s="66" t="s">
        <v>105</v>
      </c>
      <c r="F41" s="66" t="s">
        <v>242</v>
      </c>
      <c r="G41" s="66">
        <v>28</v>
      </c>
      <c r="H41" s="66">
        <v>46</v>
      </c>
      <c r="I41" s="66">
        <v>58</v>
      </c>
      <c r="J41" s="66">
        <v>25</v>
      </c>
      <c r="K41" s="66">
        <v>18617</v>
      </c>
      <c r="L41" s="66">
        <f>G41+H41+I41+J41</f>
        <v>157</v>
      </c>
      <c r="M41" s="66">
        <v>129</v>
      </c>
      <c r="N41" s="66">
        <v>406</v>
      </c>
      <c r="O41" s="66">
        <v>6453</v>
      </c>
      <c r="P41" s="66">
        <v>7242</v>
      </c>
      <c r="Q41" s="66">
        <f>P41-O41</f>
        <v>789</v>
      </c>
      <c r="R41" s="66">
        <v>123</v>
      </c>
      <c r="S41" s="66">
        <v>148</v>
      </c>
      <c r="T41" s="66">
        <f t="shared" si="3"/>
        <v>25</v>
      </c>
      <c r="U41" s="66">
        <v>415</v>
      </c>
      <c r="V41" s="66">
        <v>441</v>
      </c>
      <c r="W41" s="66" t="s">
        <v>250</v>
      </c>
      <c r="X41" s="66">
        <f t="shared" si="4"/>
        <v>26</v>
      </c>
      <c r="AB41" s="66" t="s">
        <v>60</v>
      </c>
      <c r="AC41" s="66" t="s">
        <v>56</v>
      </c>
      <c r="AD41" s="66">
        <v>1064.2</v>
      </c>
    </row>
  </sheetData>
  <autoFilter ref="A3:BM41" xr:uid="{00000000-0009-0000-0000-000001000000}">
    <sortState xmlns:xlrd2="http://schemas.microsoft.com/office/spreadsheetml/2017/richdata2" ref="A6:BM41">
      <sortCondition ref="D3:D41"/>
    </sortState>
  </autoFilter>
  <mergeCells count="36">
    <mergeCell ref="BH1:BM1"/>
    <mergeCell ref="BC2:BC3"/>
    <mergeCell ref="BH2:BI2"/>
    <mergeCell ref="BM2:BM3"/>
    <mergeCell ref="BL2:BL3"/>
    <mergeCell ref="BK2:BK3"/>
    <mergeCell ref="BJ2:BJ3"/>
    <mergeCell ref="BG2:BG3"/>
    <mergeCell ref="BD2:BD3"/>
    <mergeCell ref="BF2:BF3"/>
    <mergeCell ref="BE2:BE3"/>
    <mergeCell ref="AP1:BG1"/>
    <mergeCell ref="AP2:BB2"/>
    <mergeCell ref="E1:E3"/>
    <mergeCell ref="A1:A3"/>
    <mergeCell ref="C1:C3"/>
    <mergeCell ref="D1:D3"/>
    <mergeCell ref="F1:F3"/>
    <mergeCell ref="B1:B3"/>
    <mergeCell ref="O2:P2"/>
    <mergeCell ref="R2:T2"/>
    <mergeCell ref="U2:X2"/>
    <mergeCell ref="AH1:AH3"/>
    <mergeCell ref="AM2:AM3"/>
    <mergeCell ref="AG1:AG3"/>
    <mergeCell ref="AE1:AF2"/>
    <mergeCell ref="AD1:AD3"/>
    <mergeCell ref="AB1:AB3"/>
    <mergeCell ref="AC1:AC3"/>
    <mergeCell ref="AN2:AN3"/>
    <mergeCell ref="AO2:AO3"/>
    <mergeCell ref="AI1:AI3"/>
    <mergeCell ref="AJ1:AJ3"/>
    <mergeCell ref="AL2:AL3"/>
    <mergeCell ref="AK2:AK3"/>
    <mergeCell ref="AK1:AO1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83"/>
  <sheetViews>
    <sheetView zoomScaleNormal="100"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baseColWidth="10" defaultColWidth="11.41796875" defaultRowHeight="13.8" x14ac:dyDescent="0.55000000000000004"/>
  <cols>
    <col min="1" max="1" width="3.20703125" style="2" bestFit="1" customWidth="1"/>
    <col min="2" max="4" width="13.20703125" style="2" customWidth="1"/>
    <col min="5" max="5" width="20.20703125" style="2" bestFit="1" customWidth="1"/>
    <col min="6" max="7" width="13.20703125" style="2" customWidth="1"/>
    <col min="8" max="8" width="6.41796875" style="2" bestFit="1" customWidth="1"/>
    <col min="9" max="9" width="5.68359375" style="2" bestFit="1" customWidth="1"/>
    <col min="10" max="10" width="6.20703125" style="2" bestFit="1" customWidth="1"/>
    <col min="11" max="12" width="8.89453125" style="2" bestFit="1" customWidth="1"/>
    <col min="13" max="14" width="8.89453125" style="2" customWidth="1"/>
    <col min="15" max="16" width="11.41796875" style="2"/>
    <col min="17" max="17" width="13.20703125" style="2" customWidth="1"/>
    <col min="18" max="19" width="12" style="2" customWidth="1"/>
    <col min="20" max="23" width="13.20703125" style="2" customWidth="1"/>
    <col min="24" max="24" width="13.68359375" style="2" bestFit="1" customWidth="1"/>
    <col min="25" max="25" width="25.20703125" style="2" customWidth="1"/>
    <col min="26" max="26" width="17.68359375" style="6" bestFit="1" customWidth="1"/>
    <col min="27" max="28" width="7.89453125" style="5" bestFit="1" customWidth="1"/>
    <col min="29" max="29" width="9.1015625" style="6" bestFit="1" customWidth="1"/>
    <col min="30" max="30" width="9.1015625" style="2" bestFit="1" customWidth="1"/>
    <col min="31" max="31" width="16.20703125" style="2" bestFit="1" customWidth="1"/>
    <col min="32" max="32" width="9.5234375" style="2" bestFit="1" customWidth="1"/>
    <col min="33" max="33" width="12.20703125" style="2" bestFit="1" customWidth="1"/>
    <col min="34" max="34" width="11.68359375" style="2" bestFit="1" customWidth="1"/>
    <col min="35" max="37" width="6.41796875" style="2" bestFit="1" customWidth="1"/>
    <col min="38" max="38" width="16.68359375" style="2" bestFit="1" customWidth="1"/>
    <col min="39" max="39" width="10.5234375" style="2" bestFit="1" customWidth="1"/>
    <col min="40" max="40" width="16.5234375" style="2" bestFit="1" customWidth="1"/>
    <col min="41" max="41" width="9.5234375" style="2" bestFit="1" customWidth="1"/>
    <col min="42" max="42" width="11.1015625" style="2" bestFit="1" customWidth="1"/>
    <col min="43" max="43" width="14.41796875" style="2" bestFit="1" customWidth="1"/>
    <col min="44" max="44" width="5.89453125" style="2" bestFit="1" customWidth="1"/>
    <col min="45" max="45" width="6.41796875" style="2" bestFit="1" customWidth="1"/>
    <col min="46" max="46" width="5.68359375" style="2" bestFit="1" customWidth="1"/>
    <col min="47" max="47" width="6.20703125" style="2" bestFit="1" customWidth="1"/>
    <col min="48" max="50" width="8.89453125" style="2" bestFit="1" customWidth="1"/>
    <col min="51" max="52" width="7.68359375" style="2" bestFit="1" customWidth="1"/>
    <col min="53" max="53" width="5.41796875" style="6" bestFit="1" customWidth="1"/>
    <col min="54" max="54" width="8.1015625" style="2" bestFit="1" customWidth="1"/>
    <col min="55" max="55" width="10.5234375" style="2" bestFit="1" customWidth="1"/>
    <col min="56" max="16384" width="11.41796875" style="2"/>
  </cols>
  <sheetData>
    <row r="1" spans="1:61" ht="14.25" customHeight="1" x14ac:dyDescent="0.55000000000000004">
      <c r="A1" s="122" t="s">
        <v>0</v>
      </c>
      <c r="B1" s="38" t="s">
        <v>1</v>
      </c>
      <c r="C1" s="122" t="s">
        <v>1</v>
      </c>
      <c r="D1" s="122" t="s">
        <v>2</v>
      </c>
      <c r="E1" s="122" t="s">
        <v>107</v>
      </c>
      <c r="F1" s="122" t="s">
        <v>63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22" t="s">
        <v>57</v>
      </c>
      <c r="Y1" s="122" t="s">
        <v>55</v>
      </c>
      <c r="Z1" s="133" t="s">
        <v>75</v>
      </c>
      <c r="AA1" s="129" t="s">
        <v>6</v>
      </c>
      <c r="AB1" s="130"/>
      <c r="AC1" s="133" t="s">
        <v>80</v>
      </c>
      <c r="AD1" s="122" t="s">
        <v>79</v>
      </c>
      <c r="AE1" s="122" t="s">
        <v>101</v>
      </c>
      <c r="AF1" s="122" t="s">
        <v>129</v>
      </c>
      <c r="AG1" s="119" t="s">
        <v>174</v>
      </c>
      <c r="AH1" s="120"/>
      <c r="AI1" s="120"/>
      <c r="AJ1" s="120"/>
      <c r="AK1" s="121"/>
      <c r="AL1" s="119" t="s">
        <v>3</v>
      </c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1"/>
      <c r="BD1" s="119" t="s">
        <v>16</v>
      </c>
      <c r="BE1" s="120"/>
      <c r="BF1" s="120"/>
      <c r="BG1" s="120"/>
      <c r="BH1" s="120"/>
      <c r="BI1" s="121"/>
    </row>
    <row r="2" spans="1:61" ht="14.25" customHeight="1" x14ac:dyDescent="0.55000000000000004">
      <c r="A2" s="122"/>
      <c r="B2" s="38"/>
      <c r="C2" s="122"/>
      <c r="D2" s="122"/>
      <c r="E2" s="122"/>
      <c r="F2" s="122"/>
      <c r="G2" s="1"/>
      <c r="H2" s="1"/>
      <c r="I2" s="1"/>
      <c r="J2" s="1"/>
      <c r="K2" s="1"/>
      <c r="L2" s="1"/>
      <c r="M2" s="1"/>
      <c r="N2" s="1"/>
      <c r="O2" s="122" t="s">
        <v>8</v>
      </c>
      <c r="P2" s="122"/>
      <c r="Q2" s="1"/>
      <c r="R2" s="119" t="s">
        <v>213</v>
      </c>
      <c r="S2" s="120"/>
      <c r="T2" s="121"/>
      <c r="U2" s="119" t="s">
        <v>214</v>
      </c>
      <c r="V2" s="120"/>
      <c r="W2" s="121"/>
      <c r="X2" s="122"/>
      <c r="Y2" s="122"/>
      <c r="Z2" s="133"/>
      <c r="AA2" s="131"/>
      <c r="AB2" s="132"/>
      <c r="AC2" s="133"/>
      <c r="AD2" s="122"/>
      <c r="AE2" s="122"/>
      <c r="AF2" s="122"/>
      <c r="AG2" s="116" t="s">
        <v>126</v>
      </c>
      <c r="AH2" s="116" t="s">
        <v>122</v>
      </c>
      <c r="AI2" s="116" t="s">
        <v>98</v>
      </c>
      <c r="AJ2" s="116" t="s">
        <v>99</v>
      </c>
      <c r="AK2" s="116" t="s">
        <v>100</v>
      </c>
      <c r="AL2" s="119" t="s">
        <v>4</v>
      </c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1"/>
      <c r="AY2" s="122" t="s">
        <v>15</v>
      </c>
      <c r="AZ2" s="122" t="s">
        <v>135</v>
      </c>
      <c r="BA2" s="133" t="s">
        <v>156</v>
      </c>
      <c r="BB2" s="122" t="s">
        <v>7</v>
      </c>
      <c r="BC2" s="122" t="s">
        <v>74</v>
      </c>
      <c r="BD2" s="122" t="s">
        <v>8</v>
      </c>
      <c r="BE2" s="122"/>
      <c r="BF2" s="122" t="s">
        <v>11</v>
      </c>
      <c r="BG2" s="122" t="s">
        <v>13</v>
      </c>
      <c r="BH2" s="122" t="s">
        <v>12</v>
      </c>
      <c r="BI2" s="122" t="s">
        <v>14</v>
      </c>
    </row>
    <row r="3" spans="1:61" ht="42.75" customHeight="1" x14ac:dyDescent="0.55000000000000004">
      <c r="A3" s="122"/>
      <c r="B3" s="38" t="s">
        <v>1</v>
      </c>
      <c r="C3" s="122"/>
      <c r="D3" s="122"/>
      <c r="E3" s="122"/>
      <c r="F3" s="122"/>
      <c r="G3" s="1" t="s">
        <v>41</v>
      </c>
      <c r="H3" s="1" t="s">
        <v>54</v>
      </c>
      <c r="I3" s="1" t="s">
        <v>42</v>
      </c>
      <c r="J3" s="1" t="s">
        <v>43</v>
      </c>
      <c r="K3" s="1" t="s">
        <v>53</v>
      </c>
      <c r="L3" s="1" t="s">
        <v>5</v>
      </c>
      <c r="M3" s="1" t="s">
        <v>208</v>
      </c>
      <c r="N3" s="1" t="s">
        <v>224</v>
      </c>
      <c r="O3" s="1" t="s">
        <v>210</v>
      </c>
      <c r="P3" s="1" t="s">
        <v>215</v>
      </c>
      <c r="Q3" s="1" t="s">
        <v>9</v>
      </c>
      <c r="R3" s="1" t="s">
        <v>211</v>
      </c>
      <c r="S3" s="1" t="s">
        <v>212</v>
      </c>
      <c r="T3" s="1" t="s">
        <v>209</v>
      </c>
      <c r="U3" s="1" t="s">
        <v>211</v>
      </c>
      <c r="V3" s="1" t="s">
        <v>212</v>
      </c>
      <c r="W3" s="1" t="s">
        <v>209</v>
      </c>
      <c r="X3" s="122"/>
      <c r="Y3" s="122"/>
      <c r="Z3" s="133"/>
      <c r="AA3" s="8" t="s">
        <v>97</v>
      </c>
      <c r="AB3" s="8" t="s">
        <v>96</v>
      </c>
      <c r="AC3" s="133"/>
      <c r="AD3" s="122"/>
      <c r="AE3" s="122"/>
      <c r="AF3" s="122"/>
      <c r="AG3" s="117"/>
      <c r="AH3" s="117"/>
      <c r="AI3" s="117"/>
      <c r="AJ3" s="117"/>
      <c r="AK3" s="117"/>
      <c r="AL3" s="1" t="s">
        <v>36</v>
      </c>
      <c r="AM3" s="1" t="s">
        <v>44</v>
      </c>
      <c r="AN3" s="1" t="s">
        <v>45</v>
      </c>
      <c r="AO3" s="1" t="s">
        <v>46</v>
      </c>
      <c r="AP3" s="1" t="s">
        <v>47</v>
      </c>
      <c r="AQ3" s="1" t="s">
        <v>51</v>
      </c>
      <c r="AR3" s="1" t="s">
        <v>41</v>
      </c>
      <c r="AS3" s="1" t="s">
        <v>54</v>
      </c>
      <c r="AT3" s="1" t="s">
        <v>42</v>
      </c>
      <c r="AU3" s="1" t="s">
        <v>43</v>
      </c>
      <c r="AV3" s="1" t="s">
        <v>53</v>
      </c>
      <c r="AW3" s="1" t="s">
        <v>5</v>
      </c>
      <c r="AX3" s="1" t="s">
        <v>64</v>
      </c>
      <c r="AY3" s="122"/>
      <c r="AZ3" s="122"/>
      <c r="BA3" s="133"/>
      <c r="BB3" s="122"/>
      <c r="BC3" s="122"/>
      <c r="BD3" s="1" t="s">
        <v>9</v>
      </c>
      <c r="BE3" s="1" t="s">
        <v>10</v>
      </c>
      <c r="BF3" s="122"/>
      <c r="BG3" s="122"/>
      <c r="BH3" s="122"/>
      <c r="BI3" s="122"/>
    </row>
    <row r="4" spans="1:61" ht="22.8" x14ac:dyDescent="0.55000000000000004">
      <c r="A4" s="2">
        <v>1</v>
      </c>
      <c r="B4" s="2" t="s">
        <v>184</v>
      </c>
      <c r="C4" s="2" t="s">
        <v>17</v>
      </c>
      <c r="D4" s="36">
        <v>43983</v>
      </c>
      <c r="E4" s="4" t="s">
        <v>105</v>
      </c>
      <c r="F4" s="27" t="s">
        <v>38</v>
      </c>
      <c r="G4" s="21">
        <v>27</v>
      </c>
      <c r="H4" s="21">
        <v>110</v>
      </c>
      <c r="I4" s="21">
        <v>0</v>
      </c>
      <c r="J4" s="21">
        <v>30</v>
      </c>
      <c r="K4" s="21">
        <f>27+30</f>
        <v>57</v>
      </c>
      <c r="L4" s="18">
        <f t="shared" ref="L4" si="0">SUM(G4:J4)</f>
        <v>167</v>
      </c>
      <c r="M4" s="18">
        <f>H4+I4</f>
        <v>110</v>
      </c>
      <c r="N4" s="18">
        <f>AB4-AA4</f>
        <v>791</v>
      </c>
      <c r="Q4" s="22">
        <f>P4-O4</f>
        <v>0</v>
      </c>
      <c r="R4" s="18"/>
      <c r="S4" s="18"/>
      <c r="T4" s="5">
        <f>S4-R4</f>
        <v>0</v>
      </c>
      <c r="U4" s="27"/>
      <c r="V4" s="27"/>
      <c r="W4" s="27"/>
      <c r="X4" s="2" t="s">
        <v>60</v>
      </c>
      <c r="Y4" s="2" t="s">
        <v>85</v>
      </c>
      <c r="Z4" s="6">
        <v>139.6</v>
      </c>
      <c r="AA4" s="6">
        <v>6256</v>
      </c>
      <c r="AB4" s="6">
        <v>7047</v>
      </c>
      <c r="AC4" s="9"/>
      <c r="AD4" s="15"/>
      <c r="AE4" s="6" t="s">
        <v>102</v>
      </c>
      <c r="AF4" s="9"/>
      <c r="AG4" s="13">
        <v>2.9</v>
      </c>
      <c r="AH4" s="15"/>
      <c r="AI4" s="5">
        <f>AB4-AA4</f>
        <v>791</v>
      </c>
      <c r="AJ4" s="5">
        <v>256</v>
      </c>
      <c r="AK4" s="7"/>
      <c r="AL4" s="2" t="s">
        <v>37</v>
      </c>
      <c r="AM4" s="26" t="s">
        <v>83</v>
      </c>
      <c r="AN4" s="26" t="s">
        <v>71</v>
      </c>
      <c r="AO4" s="26" t="s">
        <v>176</v>
      </c>
      <c r="AP4" s="26" t="s">
        <v>72</v>
      </c>
      <c r="AQ4" s="26" t="s">
        <v>163</v>
      </c>
      <c r="AR4" s="21">
        <v>27</v>
      </c>
      <c r="AS4" s="21">
        <v>110</v>
      </c>
      <c r="AT4" s="21">
        <v>0</v>
      </c>
      <c r="AU4" s="21">
        <v>30</v>
      </c>
      <c r="AV4" s="21">
        <f>27+30</f>
        <v>57</v>
      </c>
      <c r="AW4" s="18">
        <f t="shared" ref="AW4:AW13" si="1">SUM(AR4:AU4)</f>
        <v>167</v>
      </c>
      <c r="AX4" s="5">
        <v>0</v>
      </c>
      <c r="AY4" s="11">
        <f t="shared" ref="AY4:AY6" si="2">AS4/AI4</f>
        <v>0.1390644753476612</v>
      </c>
      <c r="AZ4" s="11">
        <f>AS4/AJ4</f>
        <v>0.4296875</v>
      </c>
    </row>
    <row r="5" spans="1:61" ht="22.8" x14ac:dyDescent="0.55000000000000004">
      <c r="A5" s="2">
        <v>2</v>
      </c>
      <c r="B5" s="2" t="s">
        <v>185</v>
      </c>
      <c r="C5" s="2" t="s">
        <v>69</v>
      </c>
      <c r="D5" s="4">
        <v>43997</v>
      </c>
      <c r="E5" s="4" t="s">
        <v>105</v>
      </c>
      <c r="F5" s="2" t="s">
        <v>38</v>
      </c>
      <c r="G5" s="6">
        <f>10+7+7+7+9</f>
        <v>40</v>
      </c>
      <c r="H5" s="6">
        <f>10+20+40+40</f>
        <v>110</v>
      </c>
      <c r="I5" s="6">
        <f>20</f>
        <v>20</v>
      </c>
      <c r="J5" s="6">
        <f>10+8+12</f>
        <v>30</v>
      </c>
      <c r="K5" s="6">
        <f>27+20+10</f>
        <v>57</v>
      </c>
      <c r="L5" s="5">
        <f>SUM(G5:J5)</f>
        <v>200</v>
      </c>
      <c r="M5" s="18">
        <f t="shared" ref="M5:M59" si="3">H5+I5</f>
        <v>130</v>
      </c>
      <c r="N5" s="18">
        <f t="shared" ref="N5:N59" si="4">AB5-AA5</f>
        <v>1140</v>
      </c>
      <c r="Q5" s="22">
        <f t="shared" ref="Q5:Q59" si="5">P5-O5</f>
        <v>0</v>
      </c>
      <c r="R5" s="5"/>
      <c r="S5" s="5"/>
      <c r="T5" s="5">
        <f t="shared" ref="T5:T59" si="6">S5-R5</f>
        <v>0</v>
      </c>
      <c r="X5" s="2" t="s">
        <v>60</v>
      </c>
      <c r="Y5" s="15"/>
      <c r="Z5" s="6">
        <v>198.7</v>
      </c>
      <c r="AA5" s="6">
        <v>6490</v>
      </c>
      <c r="AB5" s="6">
        <v>7630</v>
      </c>
      <c r="AC5" s="6">
        <v>11897</v>
      </c>
      <c r="AD5" s="15"/>
      <c r="AE5" s="6" t="s">
        <v>102</v>
      </c>
      <c r="AF5" s="9"/>
      <c r="AG5" s="9"/>
      <c r="AH5" s="2">
        <v>13.09</v>
      </c>
      <c r="AI5" s="6">
        <v>335</v>
      </c>
      <c r="AJ5" s="6">
        <v>152</v>
      </c>
      <c r="AK5" s="7"/>
      <c r="AL5" s="2" t="s">
        <v>37</v>
      </c>
      <c r="AM5" s="3" t="s">
        <v>83</v>
      </c>
      <c r="AN5" s="3" t="s">
        <v>71</v>
      </c>
      <c r="AO5" s="3" t="s">
        <v>70</v>
      </c>
      <c r="AP5" s="3" t="s">
        <v>72</v>
      </c>
      <c r="AQ5" s="3" t="s">
        <v>73</v>
      </c>
      <c r="AR5" s="6">
        <f>10+7+7+7+9</f>
        <v>40</v>
      </c>
      <c r="AS5" s="6">
        <f>10+20+40+40</f>
        <v>110</v>
      </c>
      <c r="AT5" s="6">
        <f>20</f>
        <v>20</v>
      </c>
      <c r="AU5" s="6">
        <f>10+8+12</f>
        <v>30</v>
      </c>
      <c r="AV5" s="6">
        <f>27+20+10</f>
        <v>57</v>
      </c>
      <c r="AW5" s="5">
        <f>SUM(AR5:AU5)</f>
        <v>200</v>
      </c>
      <c r="AX5" s="5">
        <v>0</v>
      </c>
      <c r="AY5" s="11">
        <f t="shared" si="2"/>
        <v>0.32835820895522388</v>
      </c>
      <c r="AZ5" s="11">
        <f t="shared" ref="AZ5:AZ38" si="7">AS5/AJ5</f>
        <v>0.72368421052631582</v>
      </c>
      <c r="BA5" s="6">
        <v>7797</v>
      </c>
      <c r="BB5" s="2">
        <v>12</v>
      </c>
      <c r="BC5" s="2">
        <v>2494</v>
      </c>
    </row>
    <row r="6" spans="1:61" ht="22.8" x14ac:dyDescent="0.55000000000000004">
      <c r="A6" s="2">
        <v>3</v>
      </c>
      <c r="B6" s="2" t="s">
        <v>186</v>
      </c>
      <c r="C6" s="2" t="s">
        <v>18</v>
      </c>
      <c r="D6" s="4">
        <v>44343</v>
      </c>
      <c r="E6" s="4" t="s">
        <v>105</v>
      </c>
      <c r="F6" s="2" t="s">
        <v>38</v>
      </c>
      <c r="G6" s="6">
        <f>15+5+5+5+15</f>
        <v>45</v>
      </c>
      <c r="H6" s="6">
        <f>14+6+15+15+30+20+30+15</f>
        <v>145</v>
      </c>
      <c r="I6" s="6">
        <f>10+5+5+10+20</f>
        <v>50</v>
      </c>
      <c r="J6" s="6">
        <f>15+12+10</f>
        <v>37</v>
      </c>
      <c r="K6" s="6">
        <f>58</f>
        <v>58</v>
      </c>
      <c r="L6" s="5">
        <f>SUM(G6:K6)</f>
        <v>335</v>
      </c>
      <c r="M6" s="18">
        <f t="shared" si="3"/>
        <v>195</v>
      </c>
      <c r="N6" s="18">
        <f t="shared" si="4"/>
        <v>880</v>
      </c>
      <c r="O6" s="39">
        <v>4600</v>
      </c>
      <c r="P6" s="39">
        <v>6412</v>
      </c>
      <c r="Q6" s="22">
        <f t="shared" si="5"/>
        <v>1812</v>
      </c>
      <c r="R6" s="40">
        <v>430</v>
      </c>
      <c r="S6" s="40">
        <v>456</v>
      </c>
      <c r="T6" s="5">
        <f t="shared" si="6"/>
        <v>26</v>
      </c>
      <c r="X6" s="2" t="s">
        <v>81</v>
      </c>
      <c r="Y6" s="2" t="s">
        <v>82</v>
      </c>
      <c r="Z6" s="6">
        <v>342.83</v>
      </c>
      <c r="AA6" s="6">
        <v>7040</v>
      </c>
      <c r="AB6" s="6">
        <v>7920</v>
      </c>
      <c r="AC6" s="6">
        <f>874*14.22</f>
        <v>12428.28</v>
      </c>
      <c r="AD6" s="2">
        <v>171.54</v>
      </c>
      <c r="AE6" s="6" t="s">
        <v>102</v>
      </c>
      <c r="AF6" s="9"/>
      <c r="AG6" s="9"/>
      <c r="AH6" s="9"/>
      <c r="AI6" s="6">
        <f>109+234+405</f>
        <v>748</v>
      </c>
      <c r="AJ6" s="6">
        <f>62+180+351</f>
        <v>593</v>
      </c>
      <c r="AK6" s="7"/>
      <c r="AL6" s="2" t="s">
        <v>37</v>
      </c>
      <c r="AM6" s="3" t="s">
        <v>83</v>
      </c>
      <c r="AN6" s="3" t="s">
        <v>109</v>
      </c>
      <c r="AO6" s="3" t="s">
        <v>70</v>
      </c>
      <c r="AP6" s="3" t="s">
        <v>72</v>
      </c>
      <c r="AQ6" s="3" t="s">
        <v>121</v>
      </c>
      <c r="AR6" s="6">
        <f>15+5+5+5+15</f>
        <v>45</v>
      </c>
      <c r="AS6" s="6">
        <f>14+6+15+15+30+20+30+15</f>
        <v>145</v>
      </c>
      <c r="AT6" s="6">
        <f>10+5+5+10+20</f>
        <v>50</v>
      </c>
      <c r="AU6" s="6">
        <f>15+12+10</f>
        <v>37</v>
      </c>
      <c r="AV6" s="6">
        <f>58</f>
        <v>58</v>
      </c>
      <c r="AW6" s="5">
        <f>SUM(AR6:AV6)</f>
        <v>335</v>
      </c>
      <c r="AX6" s="5">
        <v>0</v>
      </c>
      <c r="AY6" s="11">
        <f t="shared" si="2"/>
        <v>0.19385026737967914</v>
      </c>
      <c r="AZ6" s="11">
        <f t="shared" si="7"/>
        <v>0.24451939291736932</v>
      </c>
      <c r="BA6" s="6">
        <v>7471</v>
      </c>
      <c r="BB6" s="2">
        <v>20</v>
      </c>
      <c r="BC6" s="2">
        <v>2647</v>
      </c>
    </row>
    <row r="7" spans="1:61" ht="22.8" x14ac:dyDescent="0.55000000000000004">
      <c r="A7" s="2">
        <v>4</v>
      </c>
      <c r="B7" s="2" t="s">
        <v>225</v>
      </c>
      <c r="C7" s="2" t="s">
        <v>19</v>
      </c>
      <c r="D7" s="4">
        <v>44409</v>
      </c>
      <c r="E7" s="4" t="s">
        <v>105</v>
      </c>
      <c r="F7" s="2" t="s">
        <v>38</v>
      </c>
      <c r="G7" s="6">
        <v>35</v>
      </c>
      <c r="H7" s="6">
        <v>180</v>
      </c>
      <c r="I7" s="6">
        <v>20</v>
      </c>
      <c r="J7" s="6">
        <v>42</v>
      </c>
      <c r="K7" s="6">
        <v>80</v>
      </c>
      <c r="L7" s="5">
        <f t="shared" ref="L7:L12" si="8">SUM(G7:K7)</f>
        <v>357</v>
      </c>
      <c r="M7" s="18">
        <f t="shared" si="3"/>
        <v>200</v>
      </c>
      <c r="N7" s="18">
        <f t="shared" si="4"/>
        <v>765</v>
      </c>
      <c r="O7" s="39">
        <v>4430</v>
      </c>
      <c r="P7" s="39">
        <v>4720</v>
      </c>
      <c r="Q7" s="22">
        <f t="shared" si="5"/>
        <v>290</v>
      </c>
      <c r="R7" s="40">
        <v>342</v>
      </c>
      <c r="S7" s="40">
        <v>270</v>
      </c>
      <c r="T7" s="5">
        <f t="shared" si="6"/>
        <v>-72</v>
      </c>
      <c r="X7" s="2" t="s">
        <v>93</v>
      </c>
      <c r="Y7" s="2" t="s">
        <v>94</v>
      </c>
      <c r="Z7" s="6">
        <v>175</v>
      </c>
      <c r="AA7" s="6">
        <v>6550</v>
      </c>
      <c r="AB7" s="6">
        <v>7315</v>
      </c>
      <c r="AC7" s="6">
        <v>12305.85793</v>
      </c>
      <c r="AD7" s="2">
        <v>175.5</v>
      </c>
      <c r="AE7" s="6" t="s">
        <v>102</v>
      </c>
      <c r="AF7" s="6">
        <v>43</v>
      </c>
      <c r="AG7" s="9"/>
      <c r="AH7" s="5">
        <v>13.09</v>
      </c>
      <c r="AI7" s="6">
        <v>765</v>
      </c>
      <c r="AJ7" s="6">
        <v>184</v>
      </c>
      <c r="AK7" s="7"/>
      <c r="AL7" s="2" t="s">
        <v>103</v>
      </c>
      <c r="AM7" s="3" t="s">
        <v>83</v>
      </c>
      <c r="AN7" s="3" t="s">
        <v>109</v>
      </c>
      <c r="AO7" s="3" t="s">
        <v>70</v>
      </c>
      <c r="AP7" s="3" t="s">
        <v>72</v>
      </c>
      <c r="AQ7" s="3" t="s">
        <v>114</v>
      </c>
      <c r="AR7" s="6">
        <v>35</v>
      </c>
      <c r="AS7" s="6">
        <v>180</v>
      </c>
      <c r="AT7" s="6">
        <v>20</v>
      </c>
      <c r="AU7" s="6">
        <v>42</v>
      </c>
      <c r="AV7" s="6">
        <v>80</v>
      </c>
      <c r="AW7" s="5">
        <f t="shared" ref="AW7:AW12" si="9">SUM(AR7:AV7)</f>
        <v>357</v>
      </c>
      <c r="AX7" s="5">
        <v>0</v>
      </c>
      <c r="AY7" s="11">
        <f>AS7/AI7</f>
        <v>0.23529411764705882</v>
      </c>
      <c r="AZ7" s="11">
        <f t="shared" si="7"/>
        <v>0.97826086956521741</v>
      </c>
      <c r="BA7" s="6">
        <v>8119</v>
      </c>
      <c r="BB7" s="2">
        <v>20</v>
      </c>
      <c r="BC7" s="6">
        <v>2028</v>
      </c>
    </row>
    <row r="8" spans="1:61" ht="27.6" x14ac:dyDescent="0.55000000000000004">
      <c r="A8" s="2">
        <v>5</v>
      </c>
      <c r="B8" s="2" t="s">
        <v>188</v>
      </c>
      <c r="C8" s="2" t="s">
        <v>20</v>
      </c>
      <c r="D8" s="4">
        <v>44416</v>
      </c>
      <c r="E8" s="4" t="s">
        <v>105</v>
      </c>
      <c r="F8" s="2" t="s">
        <v>39</v>
      </c>
      <c r="G8" s="6">
        <v>60</v>
      </c>
      <c r="H8" s="6">
        <v>140</v>
      </c>
      <c r="I8" s="6">
        <v>120</v>
      </c>
      <c r="J8" s="6">
        <v>43</v>
      </c>
      <c r="K8" s="6">
        <v>74</v>
      </c>
      <c r="L8" s="6">
        <v>363</v>
      </c>
      <c r="M8" s="18">
        <f t="shared" si="3"/>
        <v>260</v>
      </c>
      <c r="N8" s="18">
        <f t="shared" si="4"/>
        <v>906</v>
      </c>
      <c r="Q8" s="22">
        <f t="shared" si="5"/>
        <v>0</v>
      </c>
      <c r="R8" s="6"/>
      <c r="T8" s="5">
        <f t="shared" si="6"/>
        <v>0</v>
      </c>
      <c r="X8" s="2" t="s">
        <v>81</v>
      </c>
      <c r="Y8" s="2" t="s">
        <v>131</v>
      </c>
      <c r="Z8" s="9"/>
      <c r="AA8" s="6">
        <v>6285</v>
      </c>
      <c r="AB8" s="6">
        <v>7191</v>
      </c>
      <c r="AC8" s="6">
        <v>12511.6</v>
      </c>
      <c r="AD8" s="2">
        <v>171</v>
      </c>
      <c r="AE8" s="6" t="s">
        <v>102</v>
      </c>
      <c r="AF8" s="6">
        <v>41.78</v>
      </c>
      <c r="AG8" s="13">
        <v>3.2</v>
      </c>
      <c r="AH8" s="14" t="s">
        <v>123</v>
      </c>
      <c r="AI8" s="6">
        <v>906</v>
      </c>
      <c r="AJ8" s="6">
        <v>254</v>
      </c>
      <c r="AK8" s="7"/>
      <c r="AL8" s="2" t="s">
        <v>103</v>
      </c>
      <c r="AM8" s="3" t="s">
        <v>48</v>
      </c>
      <c r="AN8" s="3" t="s">
        <v>115</v>
      </c>
      <c r="AO8" s="3" t="s">
        <v>116</v>
      </c>
      <c r="AP8" s="3" t="s">
        <v>77</v>
      </c>
      <c r="AQ8" s="3" t="s">
        <v>106</v>
      </c>
      <c r="AR8" s="6">
        <v>60</v>
      </c>
      <c r="AS8" s="6">
        <v>140</v>
      </c>
      <c r="AT8" s="6">
        <v>120</v>
      </c>
      <c r="AU8" s="6">
        <v>43</v>
      </c>
      <c r="AV8" s="6">
        <v>74</v>
      </c>
      <c r="AW8" s="6">
        <f t="shared" si="9"/>
        <v>437</v>
      </c>
      <c r="AX8" s="5">
        <v>0</v>
      </c>
      <c r="AY8" s="11">
        <f>AS8/AI8</f>
        <v>0.1545253863134658</v>
      </c>
      <c r="AZ8" s="11">
        <f t="shared" si="7"/>
        <v>0.55118110236220474</v>
      </c>
    </row>
    <row r="9" spans="1:61" ht="22.8" x14ac:dyDescent="0.55000000000000004">
      <c r="A9" s="2">
        <v>6</v>
      </c>
      <c r="B9" s="2" t="s">
        <v>217</v>
      </c>
      <c r="C9" s="2" t="s">
        <v>21</v>
      </c>
      <c r="D9" s="4">
        <v>44524</v>
      </c>
      <c r="E9" s="4" t="s">
        <v>105</v>
      </c>
      <c r="F9" s="2" t="s">
        <v>38</v>
      </c>
      <c r="G9" s="6">
        <v>28</v>
      </c>
      <c r="H9" s="6">
        <v>77</v>
      </c>
      <c r="I9" s="6">
        <v>35</v>
      </c>
      <c r="J9" s="6">
        <v>21</v>
      </c>
      <c r="K9" s="6">
        <v>68</v>
      </c>
      <c r="L9" s="6">
        <f t="shared" si="8"/>
        <v>229</v>
      </c>
      <c r="M9" s="18">
        <f t="shared" si="3"/>
        <v>112</v>
      </c>
      <c r="N9" s="18">
        <f t="shared" si="4"/>
        <v>1005</v>
      </c>
      <c r="Q9" s="22">
        <f t="shared" si="5"/>
        <v>0</v>
      </c>
      <c r="R9" s="6"/>
      <c r="T9" s="5">
        <f t="shared" si="6"/>
        <v>0</v>
      </c>
      <c r="X9" s="2" t="s">
        <v>93</v>
      </c>
      <c r="Y9" s="2" t="s">
        <v>95</v>
      </c>
      <c r="Z9" s="9"/>
      <c r="AA9" s="6">
        <v>6400</v>
      </c>
      <c r="AB9" s="6">
        <v>7405</v>
      </c>
      <c r="AC9" s="6">
        <v>12617.724459999999</v>
      </c>
      <c r="AD9" s="2">
        <v>178.4</v>
      </c>
      <c r="AE9" s="6" t="s">
        <v>102</v>
      </c>
      <c r="AF9" s="6">
        <v>43</v>
      </c>
      <c r="AG9" s="9"/>
      <c r="AH9" s="6">
        <v>13.09</v>
      </c>
      <c r="AI9" s="6">
        <v>1005</v>
      </c>
      <c r="AJ9" s="6">
        <v>153</v>
      </c>
      <c r="AK9" s="7"/>
      <c r="AL9" s="2" t="s">
        <v>103</v>
      </c>
      <c r="AM9" s="3" t="s">
        <v>83</v>
      </c>
      <c r="AN9" s="3" t="s">
        <v>109</v>
      </c>
      <c r="AO9" s="3" t="s">
        <v>70</v>
      </c>
      <c r="AP9" s="3" t="s">
        <v>72</v>
      </c>
      <c r="AQ9" s="3" t="s">
        <v>87</v>
      </c>
      <c r="AR9" s="6">
        <v>28</v>
      </c>
      <c r="AS9" s="6">
        <v>77</v>
      </c>
      <c r="AT9" s="6">
        <v>35</v>
      </c>
      <c r="AU9" s="6">
        <v>21</v>
      </c>
      <c r="AV9" s="6">
        <v>68</v>
      </c>
      <c r="AW9" s="6">
        <f t="shared" si="9"/>
        <v>229</v>
      </c>
      <c r="AX9" s="5">
        <v>0</v>
      </c>
      <c r="AY9" s="11">
        <f>AS9/AI9</f>
        <v>7.6616915422885568E-2</v>
      </c>
      <c r="AZ9" s="11">
        <f t="shared" si="7"/>
        <v>0.50326797385620914</v>
      </c>
    </row>
    <row r="10" spans="1:61" ht="22.8" x14ac:dyDescent="0.55000000000000004">
      <c r="A10" s="2">
        <v>7</v>
      </c>
      <c r="B10" s="2" t="s">
        <v>200</v>
      </c>
      <c r="C10" s="2" t="s">
        <v>22</v>
      </c>
      <c r="D10" s="4">
        <v>44560</v>
      </c>
      <c r="E10" s="4" t="s">
        <v>105</v>
      </c>
      <c r="F10" s="2" t="s">
        <v>38</v>
      </c>
      <c r="G10" s="6">
        <v>36</v>
      </c>
      <c r="H10" s="6">
        <v>27</v>
      </c>
      <c r="I10" s="6">
        <v>50</v>
      </c>
      <c r="J10" s="6">
        <v>28</v>
      </c>
      <c r="K10" s="6">
        <v>75</v>
      </c>
      <c r="L10" s="6">
        <f t="shared" si="8"/>
        <v>216</v>
      </c>
      <c r="M10" s="18">
        <f t="shared" si="3"/>
        <v>77</v>
      </c>
      <c r="N10" s="18">
        <f t="shared" si="4"/>
        <v>1200</v>
      </c>
      <c r="O10" s="39">
        <v>5300</v>
      </c>
      <c r="P10" s="39">
        <v>5400</v>
      </c>
      <c r="Q10" s="22">
        <f t="shared" si="5"/>
        <v>100</v>
      </c>
      <c r="R10" s="40">
        <v>250</v>
      </c>
      <c r="S10" s="40">
        <v>280</v>
      </c>
      <c r="T10" s="5">
        <f t="shared" si="6"/>
        <v>30</v>
      </c>
      <c r="X10" s="2" t="s">
        <v>60</v>
      </c>
      <c r="Y10" s="2" t="s">
        <v>95</v>
      </c>
      <c r="Z10" s="9"/>
      <c r="AA10" s="6">
        <v>6235</v>
      </c>
      <c r="AB10" s="6">
        <v>7435</v>
      </c>
      <c r="AC10" s="6">
        <v>11444.491959999999</v>
      </c>
      <c r="AD10" s="2">
        <v>172.9</v>
      </c>
      <c r="AE10" s="6" t="s">
        <v>102</v>
      </c>
      <c r="AF10" s="6">
        <v>41</v>
      </c>
      <c r="AG10" s="9"/>
      <c r="AH10" s="6">
        <v>13.09</v>
      </c>
      <c r="AI10" s="6">
        <v>1200</v>
      </c>
      <c r="AJ10" s="6">
        <v>300</v>
      </c>
      <c r="AK10" s="7"/>
      <c r="AL10" s="2" t="s">
        <v>103</v>
      </c>
      <c r="AM10" s="3" t="s">
        <v>83</v>
      </c>
      <c r="AN10" s="3" t="s">
        <v>71</v>
      </c>
      <c r="AO10" s="3" t="s">
        <v>117</v>
      </c>
      <c r="AP10" s="3" t="s">
        <v>72</v>
      </c>
      <c r="AQ10" s="3" t="s">
        <v>114</v>
      </c>
      <c r="AR10" s="6">
        <v>36</v>
      </c>
      <c r="AS10" s="6">
        <v>27</v>
      </c>
      <c r="AT10" s="6">
        <v>50</v>
      </c>
      <c r="AU10" s="6">
        <v>28</v>
      </c>
      <c r="AV10" s="6">
        <v>75</v>
      </c>
      <c r="AW10" s="6">
        <f t="shared" si="9"/>
        <v>216</v>
      </c>
      <c r="AX10" s="5">
        <v>0</v>
      </c>
      <c r="AY10" s="11">
        <f>AS10/AI10</f>
        <v>2.2499999999999999E-2</v>
      </c>
      <c r="AZ10" s="11">
        <f t="shared" si="7"/>
        <v>0.09</v>
      </c>
    </row>
    <row r="11" spans="1:61" s="44" customFormat="1" x14ac:dyDescent="0.55000000000000004">
      <c r="A11" s="44">
        <v>8</v>
      </c>
      <c r="B11" s="44" t="s">
        <v>191</v>
      </c>
      <c r="C11" s="44" t="s">
        <v>23</v>
      </c>
      <c r="D11" s="45">
        <v>44561</v>
      </c>
      <c r="E11" s="45" t="s">
        <v>86</v>
      </c>
      <c r="F11" s="44" t="s">
        <v>38</v>
      </c>
      <c r="G11" s="47">
        <f>10+5+24+11</f>
        <v>50</v>
      </c>
      <c r="H11" s="47">
        <v>5</v>
      </c>
      <c r="I11" s="47">
        <v>0</v>
      </c>
      <c r="J11" s="47">
        <v>0</v>
      </c>
      <c r="K11" s="47">
        <f>77.5+96+116.5</f>
        <v>290</v>
      </c>
      <c r="L11" s="47">
        <f t="shared" si="8"/>
        <v>345</v>
      </c>
      <c r="M11" s="48">
        <f t="shared" si="3"/>
        <v>5</v>
      </c>
      <c r="N11" s="48">
        <f t="shared" si="4"/>
        <v>1257</v>
      </c>
      <c r="Q11" s="49">
        <f t="shared" si="5"/>
        <v>0</v>
      </c>
      <c r="R11" s="47"/>
      <c r="T11" s="50">
        <f t="shared" si="6"/>
        <v>0</v>
      </c>
      <c r="X11" s="44" t="s">
        <v>60</v>
      </c>
      <c r="Y11" s="44" t="s">
        <v>95</v>
      </c>
      <c r="Z11" s="47"/>
      <c r="AA11" s="47">
        <v>6103</v>
      </c>
      <c r="AB11" s="47">
        <v>7360</v>
      </c>
      <c r="AC11" s="47">
        <v>11444.491959999999</v>
      </c>
      <c r="AD11" s="44">
        <v>170</v>
      </c>
      <c r="AE11" s="47" t="s">
        <v>102</v>
      </c>
      <c r="AF11" s="47">
        <v>41</v>
      </c>
      <c r="AG11" s="47"/>
      <c r="AH11" s="47">
        <v>5</v>
      </c>
      <c r="AI11" s="47">
        <v>1257</v>
      </c>
      <c r="AJ11" s="47">
        <v>190</v>
      </c>
      <c r="AK11" s="50"/>
      <c r="AL11" s="44" t="s">
        <v>103</v>
      </c>
      <c r="AM11" s="52" t="s">
        <v>83</v>
      </c>
      <c r="AN11" s="52" t="s">
        <v>71</v>
      </c>
      <c r="AO11" s="52" t="s">
        <v>176</v>
      </c>
      <c r="AP11" s="52" t="s">
        <v>176</v>
      </c>
      <c r="AQ11" s="52" t="s">
        <v>87</v>
      </c>
      <c r="AR11" s="47">
        <f>10+5+24+11</f>
        <v>50</v>
      </c>
      <c r="AS11" s="47">
        <v>5</v>
      </c>
      <c r="AT11" s="47">
        <v>0</v>
      </c>
      <c r="AU11" s="47">
        <v>0</v>
      </c>
      <c r="AV11" s="47">
        <f>77.5+96+116.5</f>
        <v>290</v>
      </c>
      <c r="AW11" s="47">
        <f t="shared" si="9"/>
        <v>345</v>
      </c>
      <c r="AX11" s="50">
        <v>0</v>
      </c>
      <c r="AY11" s="53">
        <f t="shared" ref="AY11:AY48" si="10">AS11/AI11</f>
        <v>3.977724741447892E-3</v>
      </c>
      <c r="AZ11" s="53">
        <f t="shared" si="7"/>
        <v>2.6315789473684209E-2</v>
      </c>
      <c r="BA11" s="47"/>
      <c r="BB11" s="44">
        <v>6</v>
      </c>
      <c r="BC11" s="47">
        <v>7662</v>
      </c>
    </row>
    <row r="12" spans="1:61" ht="27.6" x14ac:dyDescent="0.55000000000000004">
      <c r="A12" s="2">
        <v>9</v>
      </c>
      <c r="B12" s="2" t="s">
        <v>191</v>
      </c>
      <c r="C12" s="2" t="s">
        <v>23</v>
      </c>
      <c r="D12" s="4">
        <v>44566</v>
      </c>
      <c r="E12" s="4" t="s">
        <v>105</v>
      </c>
      <c r="F12" s="2" t="s">
        <v>38</v>
      </c>
      <c r="G12" s="6">
        <v>30</v>
      </c>
      <c r="H12" s="6">
        <v>30</v>
      </c>
      <c r="I12" s="6">
        <v>60</v>
      </c>
      <c r="J12" s="6">
        <v>30</v>
      </c>
      <c r="K12" s="6">
        <v>65</v>
      </c>
      <c r="L12" s="6">
        <f t="shared" si="8"/>
        <v>215</v>
      </c>
      <c r="M12" s="18">
        <f t="shared" si="3"/>
        <v>90</v>
      </c>
      <c r="N12" s="18">
        <f t="shared" si="4"/>
        <v>1257</v>
      </c>
      <c r="O12" s="41">
        <v>4400</v>
      </c>
      <c r="P12" s="41">
        <v>4800</v>
      </c>
      <c r="Q12" s="22">
        <f t="shared" si="5"/>
        <v>400</v>
      </c>
      <c r="R12" s="42">
        <v>300</v>
      </c>
      <c r="S12" s="42">
        <v>307</v>
      </c>
      <c r="T12" s="5">
        <f t="shared" si="6"/>
        <v>7</v>
      </c>
      <c r="X12" s="2" t="s">
        <v>132</v>
      </c>
      <c r="Y12" s="2" t="s">
        <v>130</v>
      </c>
      <c r="Z12" s="9"/>
      <c r="AA12" s="6">
        <v>6103</v>
      </c>
      <c r="AB12" s="6">
        <v>7360</v>
      </c>
      <c r="AC12" s="6">
        <v>11444.491959999999</v>
      </c>
      <c r="AD12" s="2">
        <v>170</v>
      </c>
      <c r="AE12" s="6" t="s">
        <v>102</v>
      </c>
      <c r="AF12" s="6">
        <v>41</v>
      </c>
      <c r="AG12" s="9"/>
      <c r="AH12" s="9"/>
      <c r="AI12" s="6">
        <v>1257</v>
      </c>
      <c r="AJ12" s="6">
        <v>190</v>
      </c>
      <c r="AK12" s="7"/>
      <c r="AL12" s="2" t="s">
        <v>103</v>
      </c>
      <c r="AM12" s="3" t="s">
        <v>83</v>
      </c>
      <c r="AN12" s="3" t="s">
        <v>71</v>
      </c>
      <c r="AO12" s="3" t="s">
        <v>117</v>
      </c>
      <c r="AP12" s="3" t="s">
        <v>72</v>
      </c>
      <c r="AQ12" s="3" t="s">
        <v>87</v>
      </c>
      <c r="AR12" s="6">
        <v>30</v>
      </c>
      <c r="AS12" s="6">
        <v>30</v>
      </c>
      <c r="AT12" s="6">
        <v>60</v>
      </c>
      <c r="AU12" s="6">
        <v>30</v>
      </c>
      <c r="AV12" s="6">
        <v>65</v>
      </c>
      <c r="AW12" s="6">
        <f t="shared" si="9"/>
        <v>215</v>
      </c>
      <c r="AX12" s="5">
        <v>0</v>
      </c>
      <c r="AY12" s="11">
        <f t="shared" si="10"/>
        <v>2.386634844868735E-2</v>
      </c>
      <c r="AZ12" s="11">
        <f t="shared" si="7"/>
        <v>0.15789473684210525</v>
      </c>
      <c r="BB12" s="2">
        <v>12</v>
      </c>
      <c r="BC12" s="2">
        <v>6945</v>
      </c>
    </row>
    <row r="13" spans="1:61" ht="22.8" x14ac:dyDescent="0.55000000000000004">
      <c r="A13" s="63">
        <v>10</v>
      </c>
      <c r="B13" s="63" t="s">
        <v>218</v>
      </c>
      <c r="C13" s="2" t="s">
        <v>88</v>
      </c>
      <c r="D13" s="4">
        <v>44619</v>
      </c>
      <c r="E13" s="4" t="s">
        <v>105</v>
      </c>
      <c r="F13" s="2" t="s">
        <v>38</v>
      </c>
      <c r="G13" s="6">
        <v>50</v>
      </c>
      <c r="H13" s="6">
        <v>85</v>
      </c>
      <c r="I13" s="6">
        <v>25</v>
      </c>
      <c r="J13" s="6">
        <v>30</v>
      </c>
      <c r="K13" s="6">
        <v>21750</v>
      </c>
      <c r="L13" s="6">
        <f t="shared" ref="L13" si="11">SUM(G13:J13)</f>
        <v>190</v>
      </c>
      <c r="M13" s="18">
        <f t="shared" si="3"/>
        <v>110</v>
      </c>
      <c r="N13" s="18">
        <f t="shared" si="4"/>
        <v>791</v>
      </c>
      <c r="Q13" s="22">
        <f t="shared" si="5"/>
        <v>0</v>
      </c>
      <c r="R13" s="6"/>
      <c r="T13" s="5">
        <f t="shared" si="6"/>
        <v>0</v>
      </c>
      <c r="X13" s="2" t="s">
        <v>93</v>
      </c>
      <c r="Y13" s="2" t="s">
        <v>108</v>
      </c>
      <c r="Z13" s="9"/>
      <c r="AA13" s="6">
        <v>6256</v>
      </c>
      <c r="AB13" s="6">
        <v>7047</v>
      </c>
      <c r="AC13" s="6">
        <v>12372.27</v>
      </c>
      <c r="AD13" s="2">
        <v>170.602</v>
      </c>
      <c r="AE13" s="6" t="s">
        <v>102</v>
      </c>
      <c r="AF13" s="6">
        <v>43</v>
      </c>
      <c r="AG13" s="5">
        <v>5.15</v>
      </c>
      <c r="AH13" s="5">
        <v>11.9</v>
      </c>
      <c r="AI13" s="6">
        <v>791</v>
      </c>
      <c r="AJ13" s="6">
        <v>395</v>
      </c>
      <c r="AK13" s="7"/>
      <c r="AL13" s="2" t="s">
        <v>103</v>
      </c>
      <c r="AM13" s="3" t="s">
        <v>83</v>
      </c>
      <c r="AN13" s="3" t="s">
        <v>109</v>
      </c>
      <c r="AO13" s="3" t="s">
        <v>70</v>
      </c>
      <c r="AP13" s="3" t="s">
        <v>72</v>
      </c>
      <c r="AQ13" s="3" t="s">
        <v>52</v>
      </c>
      <c r="AR13" s="6">
        <v>50</v>
      </c>
      <c r="AS13" s="6">
        <v>85</v>
      </c>
      <c r="AT13" s="6">
        <v>25</v>
      </c>
      <c r="AU13" s="6">
        <v>30</v>
      </c>
      <c r="AV13" s="6">
        <v>21750</v>
      </c>
      <c r="AW13" s="6">
        <f t="shared" si="1"/>
        <v>190</v>
      </c>
      <c r="AX13" s="6">
        <v>21750</v>
      </c>
      <c r="AY13" s="11">
        <f t="shared" si="10"/>
        <v>0.10745891276864729</v>
      </c>
      <c r="AZ13" s="11">
        <f t="shared" si="7"/>
        <v>0.21518987341772153</v>
      </c>
    </row>
    <row r="14" spans="1:61" ht="22.8" x14ac:dyDescent="0.55000000000000004">
      <c r="A14" s="2">
        <v>11</v>
      </c>
      <c r="B14" s="2" t="s">
        <v>219</v>
      </c>
      <c r="C14" s="2" t="s">
        <v>89</v>
      </c>
      <c r="D14" s="4">
        <v>44622</v>
      </c>
      <c r="E14" s="4" t="s">
        <v>105</v>
      </c>
      <c r="F14" s="2" t="s">
        <v>38</v>
      </c>
      <c r="G14" s="6">
        <f>15+5+5+25</f>
        <v>50</v>
      </c>
      <c r="H14" s="6">
        <f>20+15</f>
        <v>35</v>
      </c>
      <c r="I14" s="6">
        <v>46</v>
      </c>
      <c r="J14" s="6">
        <f>6+9+9</f>
        <v>24</v>
      </c>
      <c r="K14" s="6">
        <v>70</v>
      </c>
      <c r="L14" s="6">
        <f>SUM(G14:K14)</f>
        <v>225</v>
      </c>
      <c r="M14" s="18">
        <f t="shared" si="3"/>
        <v>81</v>
      </c>
      <c r="N14" s="18">
        <f t="shared" si="4"/>
        <v>1029</v>
      </c>
      <c r="O14" s="39">
        <v>3742</v>
      </c>
      <c r="P14" s="39">
        <v>4127</v>
      </c>
      <c r="Q14" s="22">
        <f t="shared" si="5"/>
        <v>385</v>
      </c>
      <c r="R14" s="40">
        <v>313</v>
      </c>
      <c r="S14" s="40">
        <v>315</v>
      </c>
      <c r="T14" s="5">
        <f t="shared" si="6"/>
        <v>2</v>
      </c>
      <c r="X14" s="2" t="s">
        <v>60</v>
      </c>
      <c r="Y14" s="2" t="s">
        <v>125</v>
      </c>
      <c r="Z14" s="9"/>
      <c r="AA14" s="6">
        <v>6118</v>
      </c>
      <c r="AB14" s="6">
        <v>7147</v>
      </c>
      <c r="AC14" s="6">
        <v>11492</v>
      </c>
      <c r="AD14" s="2">
        <v>173.84</v>
      </c>
      <c r="AE14" s="6" t="s">
        <v>102</v>
      </c>
      <c r="AF14" s="6">
        <v>39.39</v>
      </c>
      <c r="AG14" s="13">
        <v>3.2</v>
      </c>
      <c r="AH14" s="5">
        <v>13.09</v>
      </c>
      <c r="AI14" s="6">
        <v>1029</v>
      </c>
      <c r="AJ14" s="5">
        <v>88.5</v>
      </c>
      <c r="AK14" s="7"/>
      <c r="AL14" s="2" t="s">
        <v>103</v>
      </c>
      <c r="AM14" s="3" t="s">
        <v>83</v>
      </c>
      <c r="AN14" s="3" t="s">
        <v>71</v>
      </c>
      <c r="AO14" s="3" t="s">
        <v>113</v>
      </c>
      <c r="AP14" s="3" t="s">
        <v>72</v>
      </c>
      <c r="AQ14" s="3" t="s">
        <v>114</v>
      </c>
      <c r="AR14" s="6">
        <f>15+5+5+25</f>
        <v>50</v>
      </c>
      <c r="AS14" s="6">
        <f>20+15</f>
        <v>35</v>
      </c>
      <c r="AT14" s="6">
        <v>46</v>
      </c>
      <c r="AU14" s="6">
        <f>6+9+9</f>
        <v>24</v>
      </c>
      <c r="AV14" s="6">
        <v>70</v>
      </c>
      <c r="AW14" s="6">
        <f>SUM(AR14:AV14)</f>
        <v>225</v>
      </c>
      <c r="AX14" s="5">
        <v>0</v>
      </c>
      <c r="AY14" s="11">
        <f t="shared" si="10"/>
        <v>3.4013605442176874E-2</v>
      </c>
      <c r="AZ14" s="11">
        <f t="shared" si="7"/>
        <v>0.39548022598870058</v>
      </c>
    </row>
    <row r="15" spans="1:61" x14ac:dyDescent="0.55000000000000004">
      <c r="A15" s="2">
        <v>12</v>
      </c>
      <c r="B15" s="2" t="s">
        <v>194</v>
      </c>
      <c r="C15" s="2" t="s">
        <v>25</v>
      </c>
      <c r="D15" s="4">
        <v>44630</v>
      </c>
      <c r="E15" s="4" t="s">
        <v>105</v>
      </c>
      <c r="F15" s="2" t="s">
        <v>40</v>
      </c>
      <c r="G15" s="6">
        <v>48</v>
      </c>
      <c r="H15" s="6">
        <v>63</v>
      </c>
      <c r="I15" s="6">
        <v>95.9</v>
      </c>
      <c r="J15" s="6">
        <v>29</v>
      </c>
      <c r="K15" s="6">
        <v>27022</v>
      </c>
      <c r="L15" s="6">
        <f>SUM(G15:J15)</f>
        <v>235.9</v>
      </c>
      <c r="M15" s="18">
        <f t="shared" si="3"/>
        <v>158.9</v>
      </c>
      <c r="N15" s="18">
        <f t="shared" si="4"/>
        <v>475</v>
      </c>
      <c r="Q15" s="22">
        <f t="shared" si="5"/>
        <v>0</v>
      </c>
      <c r="R15" s="6"/>
      <c r="T15" s="5">
        <f t="shared" si="6"/>
        <v>0</v>
      </c>
      <c r="X15" s="2" t="s">
        <v>60</v>
      </c>
      <c r="Y15" s="2" t="s">
        <v>65</v>
      </c>
      <c r="Z15" s="9"/>
      <c r="AA15" s="6">
        <v>6900</v>
      </c>
      <c r="AB15" s="6">
        <v>7375</v>
      </c>
      <c r="AC15" s="6">
        <v>11691.51073</v>
      </c>
      <c r="AD15" s="2">
        <v>191</v>
      </c>
      <c r="AE15" s="6" t="s">
        <v>102</v>
      </c>
      <c r="AF15" s="6">
        <v>43</v>
      </c>
      <c r="AG15" s="9"/>
      <c r="AH15" s="5">
        <v>13.09</v>
      </c>
      <c r="AI15" s="6">
        <v>475</v>
      </c>
      <c r="AJ15" s="5">
        <v>127.5</v>
      </c>
      <c r="AK15" s="7"/>
      <c r="AL15" s="2" t="s">
        <v>103</v>
      </c>
      <c r="AM15" s="3" t="s">
        <v>118</v>
      </c>
      <c r="AN15" s="3" t="s">
        <v>110</v>
      </c>
      <c r="AO15" s="12" t="s">
        <v>111</v>
      </c>
      <c r="AP15" s="3" t="s">
        <v>67</v>
      </c>
      <c r="AQ15" s="3" t="s">
        <v>52</v>
      </c>
      <c r="AR15" s="6">
        <v>48</v>
      </c>
      <c r="AS15" s="6">
        <v>63</v>
      </c>
      <c r="AT15" s="6">
        <v>95.9</v>
      </c>
      <c r="AU15" s="6">
        <v>29</v>
      </c>
      <c r="AV15" s="6">
        <v>27022</v>
      </c>
      <c r="AW15" s="6">
        <f>SUM(AR15:AU15)</f>
        <v>235.9</v>
      </c>
      <c r="AX15" s="6">
        <v>27022</v>
      </c>
      <c r="AY15" s="11">
        <f t="shared" si="10"/>
        <v>0.13263157894736843</v>
      </c>
      <c r="AZ15" s="11">
        <f t="shared" si="7"/>
        <v>0.49411764705882355</v>
      </c>
    </row>
    <row r="16" spans="1:61" s="44" customFormat="1" ht="15" x14ac:dyDescent="0.55000000000000004">
      <c r="A16" s="44">
        <v>13</v>
      </c>
      <c r="B16" s="44" t="s">
        <v>226</v>
      </c>
      <c r="C16" s="44" t="s">
        <v>24</v>
      </c>
      <c r="D16" s="45">
        <v>44630</v>
      </c>
      <c r="E16" s="45" t="s">
        <v>86</v>
      </c>
      <c r="F16" s="44" t="s">
        <v>39</v>
      </c>
      <c r="G16" s="50">
        <v>23</v>
      </c>
      <c r="H16" s="50">
        <v>0</v>
      </c>
      <c r="I16" s="50">
        <v>0</v>
      </c>
      <c r="J16" s="50">
        <v>0</v>
      </c>
      <c r="K16" s="50">
        <v>0</v>
      </c>
      <c r="L16" s="50">
        <f>SUM(G16:K16)</f>
        <v>23</v>
      </c>
      <c r="M16" s="48">
        <f t="shared" si="3"/>
        <v>0</v>
      </c>
      <c r="N16" s="48">
        <f t="shared" si="4"/>
        <v>1264</v>
      </c>
      <c r="O16" s="59">
        <v>2607</v>
      </c>
      <c r="P16" s="59">
        <v>4357</v>
      </c>
      <c r="Q16" s="49">
        <f t="shared" si="5"/>
        <v>1750</v>
      </c>
      <c r="R16" s="60">
        <v>206</v>
      </c>
      <c r="S16" s="60">
        <v>208</v>
      </c>
      <c r="T16" s="50">
        <f t="shared" si="6"/>
        <v>2</v>
      </c>
      <c r="X16" s="44" t="s">
        <v>60</v>
      </c>
      <c r="Y16" s="44" t="s">
        <v>76</v>
      </c>
      <c r="Z16" s="47"/>
      <c r="AA16" s="47">
        <v>6300</v>
      </c>
      <c r="AB16" s="47">
        <v>7564</v>
      </c>
      <c r="AC16" s="47">
        <v>11006</v>
      </c>
      <c r="AD16" s="44">
        <v>173.47</v>
      </c>
      <c r="AE16" s="47" t="s">
        <v>102</v>
      </c>
      <c r="AF16" s="47"/>
      <c r="AG16" s="56">
        <v>3.2</v>
      </c>
      <c r="AH16" s="50">
        <v>13.09</v>
      </c>
      <c r="AI16" s="47">
        <v>314</v>
      </c>
      <c r="AJ16" s="47">
        <v>35</v>
      </c>
      <c r="AK16" s="50"/>
      <c r="AL16" s="44" t="s">
        <v>37</v>
      </c>
      <c r="AM16" s="52" t="s">
        <v>48</v>
      </c>
      <c r="AN16" s="52" t="s">
        <v>176</v>
      </c>
      <c r="AO16" s="52" t="s">
        <v>176</v>
      </c>
      <c r="AP16" s="52" t="s">
        <v>176</v>
      </c>
      <c r="AQ16" s="52" t="s">
        <v>176</v>
      </c>
      <c r="AR16" s="50">
        <v>23</v>
      </c>
      <c r="AS16" s="50">
        <v>0</v>
      </c>
      <c r="AT16" s="50">
        <v>0</v>
      </c>
      <c r="AU16" s="50">
        <v>0</v>
      </c>
      <c r="AV16" s="50">
        <v>0</v>
      </c>
      <c r="AW16" s="50">
        <f>SUM(AR16:AV16)</f>
        <v>23</v>
      </c>
      <c r="AX16" s="50">
        <v>0</v>
      </c>
      <c r="AY16" s="53">
        <f t="shared" si="10"/>
        <v>0</v>
      </c>
      <c r="AZ16" s="53">
        <f t="shared" si="7"/>
        <v>0</v>
      </c>
      <c r="BA16" s="47"/>
      <c r="BB16" s="44">
        <v>1.5</v>
      </c>
    </row>
    <row r="17" spans="1:55" s="27" customFormat="1" ht="34.200000000000003" x14ac:dyDescent="0.55000000000000004">
      <c r="A17" s="2">
        <v>14</v>
      </c>
      <c r="B17" s="27" t="s">
        <v>226</v>
      </c>
      <c r="C17" s="27" t="s">
        <v>24</v>
      </c>
      <c r="D17" s="23">
        <v>44631</v>
      </c>
      <c r="E17" s="23" t="s">
        <v>105</v>
      </c>
      <c r="F17" s="27" t="s">
        <v>39</v>
      </c>
      <c r="G17" s="21">
        <v>45</v>
      </c>
      <c r="H17" s="21">
        <f>20+45+20</f>
        <v>85</v>
      </c>
      <c r="I17" s="21">
        <v>0</v>
      </c>
      <c r="J17" s="21">
        <v>20</v>
      </c>
      <c r="K17" s="21">
        <v>76</v>
      </c>
      <c r="L17" s="21">
        <f>SUM(G17:K17)</f>
        <v>226</v>
      </c>
      <c r="M17" s="18">
        <f t="shared" si="3"/>
        <v>85</v>
      </c>
      <c r="N17" s="18">
        <f t="shared" si="4"/>
        <v>1264</v>
      </c>
      <c r="Q17" s="22">
        <f t="shared" si="5"/>
        <v>0</v>
      </c>
      <c r="R17" s="21"/>
      <c r="T17" s="5">
        <f t="shared" si="6"/>
        <v>0</v>
      </c>
      <c r="X17" s="27" t="s">
        <v>60</v>
      </c>
      <c r="Y17" s="27" t="s">
        <v>76</v>
      </c>
      <c r="Z17" s="31"/>
      <c r="AA17" s="20">
        <v>6300</v>
      </c>
      <c r="AB17" s="20">
        <v>7564</v>
      </c>
      <c r="AC17" s="20">
        <v>11006</v>
      </c>
      <c r="AD17" s="27">
        <v>173.47</v>
      </c>
      <c r="AE17" s="20" t="s">
        <v>102</v>
      </c>
      <c r="AF17" s="31"/>
      <c r="AG17" s="32">
        <v>3.2</v>
      </c>
      <c r="AH17" s="21">
        <v>13.09</v>
      </c>
      <c r="AI17" s="20">
        <v>314</v>
      </c>
      <c r="AJ17" s="20">
        <v>35</v>
      </c>
      <c r="AK17" s="33"/>
      <c r="AL17" s="27" t="s">
        <v>37</v>
      </c>
      <c r="AM17" s="26" t="s">
        <v>48</v>
      </c>
      <c r="AN17" s="26" t="s">
        <v>175</v>
      </c>
      <c r="AO17" s="26" t="s">
        <v>176</v>
      </c>
      <c r="AP17" s="26" t="s">
        <v>50</v>
      </c>
      <c r="AQ17" s="26" t="s">
        <v>106</v>
      </c>
      <c r="AR17" s="21">
        <v>45</v>
      </c>
      <c r="AS17" s="21">
        <f>20+45+20</f>
        <v>85</v>
      </c>
      <c r="AT17" s="21">
        <v>0</v>
      </c>
      <c r="AU17" s="21">
        <v>20</v>
      </c>
      <c r="AV17" s="21">
        <v>76</v>
      </c>
      <c r="AW17" s="21">
        <f>SUM(AR17:AV17)</f>
        <v>226</v>
      </c>
      <c r="AX17" s="21">
        <v>0</v>
      </c>
      <c r="AY17" s="34">
        <f t="shared" si="10"/>
        <v>0.27070063694267515</v>
      </c>
      <c r="AZ17" s="34">
        <f t="shared" si="7"/>
        <v>2.4285714285714284</v>
      </c>
      <c r="BA17" s="20"/>
      <c r="BB17" s="27">
        <v>1.5</v>
      </c>
    </row>
    <row r="18" spans="1:55" ht="22.8" x14ac:dyDescent="0.55000000000000004">
      <c r="A18" s="2">
        <v>15</v>
      </c>
      <c r="B18" s="2" t="s">
        <v>189</v>
      </c>
      <c r="C18" s="2" t="s">
        <v>26</v>
      </c>
      <c r="D18" s="4">
        <v>44674</v>
      </c>
      <c r="E18" s="4" t="s">
        <v>105</v>
      </c>
      <c r="F18" s="2" t="s">
        <v>39</v>
      </c>
      <c r="G18" s="6">
        <v>40</v>
      </c>
      <c r="H18" s="6">
        <f>60+20</f>
        <v>80</v>
      </c>
      <c r="I18" s="6">
        <v>65</v>
      </c>
      <c r="J18" s="6">
        <v>20</v>
      </c>
      <c r="K18" s="6">
        <v>25038</v>
      </c>
      <c r="L18" s="6">
        <f t="shared" ref="L18" si="12">SUM(G18:J18)</f>
        <v>205</v>
      </c>
      <c r="M18" s="18">
        <f t="shared" si="3"/>
        <v>145</v>
      </c>
      <c r="N18" s="18">
        <f t="shared" si="4"/>
        <v>935</v>
      </c>
      <c r="O18" s="41">
        <v>3900</v>
      </c>
      <c r="P18" s="41">
        <v>5400</v>
      </c>
      <c r="Q18" s="22">
        <f t="shared" si="5"/>
        <v>1500</v>
      </c>
      <c r="R18" s="42">
        <v>280</v>
      </c>
      <c r="S18" s="42">
        <v>340</v>
      </c>
      <c r="T18" s="5">
        <f t="shared" si="6"/>
        <v>60</v>
      </c>
      <c r="X18" s="2" t="s">
        <v>60</v>
      </c>
      <c r="Y18" s="2" t="s">
        <v>95</v>
      </c>
      <c r="Z18" s="9"/>
      <c r="AA18" s="6">
        <v>6490</v>
      </c>
      <c r="AB18" s="6">
        <v>7425</v>
      </c>
      <c r="AC18" s="6">
        <v>12406.4004</v>
      </c>
      <c r="AD18" s="2">
        <v>164.4</v>
      </c>
      <c r="AE18" s="6" t="s">
        <v>102</v>
      </c>
      <c r="AF18" s="6">
        <v>43</v>
      </c>
      <c r="AG18" s="9"/>
      <c r="AH18" s="5">
        <v>13.09</v>
      </c>
      <c r="AI18" s="6">
        <v>935</v>
      </c>
      <c r="AJ18" s="6">
        <v>302</v>
      </c>
      <c r="AK18" s="7"/>
      <c r="AL18" s="2" t="s">
        <v>103</v>
      </c>
      <c r="AM18" s="3" t="s">
        <v>48</v>
      </c>
      <c r="AN18" s="3" t="s">
        <v>120</v>
      </c>
      <c r="AO18" s="3" t="s">
        <v>119</v>
      </c>
      <c r="AP18" s="3" t="s">
        <v>77</v>
      </c>
      <c r="AQ18" s="3" t="s">
        <v>52</v>
      </c>
      <c r="AR18" s="6">
        <v>40</v>
      </c>
      <c r="AS18" s="6">
        <f>60+20</f>
        <v>80</v>
      </c>
      <c r="AT18" s="6">
        <v>65</v>
      </c>
      <c r="AU18" s="6">
        <v>20</v>
      </c>
      <c r="AV18" s="6">
        <v>25038</v>
      </c>
      <c r="AW18" s="6">
        <f t="shared" ref="AW18:AW34" si="13">SUM(AR18:AU18)</f>
        <v>205</v>
      </c>
      <c r="AX18" s="6">
        <v>25038</v>
      </c>
      <c r="AY18" s="11">
        <f t="shared" si="10"/>
        <v>8.5561497326203204E-2</v>
      </c>
      <c r="AZ18" s="11">
        <f t="shared" si="7"/>
        <v>0.26490066225165565</v>
      </c>
    </row>
    <row r="19" spans="1:55" x14ac:dyDescent="0.55000000000000004">
      <c r="A19" s="2">
        <v>16</v>
      </c>
      <c r="B19" s="2" t="s">
        <v>220</v>
      </c>
      <c r="C19" s="2" t="s">
        <v>90</v>
      </c>
      <c r="D19" s="4">
        <v>44717</v>
      </c>
      <c r="E19" s="4" t="s">
        <v>133</v>
      </c>
      <c r="F19" s="2" t="s">
        <v>40</v>
      </c>
      <c r="G19" s="6">
        <v>27</v>
      </c>
      <c r="H19" s="6">
        <v>62</v>
      </c>
      <c r="I19" s="6">
        <v>71</v>
      </c>
      <c r="J19" s="6">
        <v>29</v>
      </c>
      <c r="K19" s="6">
        <v>29440</v>
      </c>
      <c r="L19" s="6">
        <f>SUM(G19:J19)</f>
        <v>189</v>
      </c>
      <c r="M19" s="18">
        <f t="shared" si="3"/>
        <v>133</v>
      </c>
      <c r="N19" s="18">
        <f t="shared" si="4"/>
        <v>546</v>
      </c>
      <c r="Q19" s="22">
        <f t="shared" si="5"/>
        <v>0</v>
      </c>
      <c r="R19" s="6"/>
      <c r="T19" s="5">
        <f t="shared" si="6"/>
        <v>0</v>
      </c>
      <c r="X19" s="2" t="s">
        <v>93</v>
      </c>
      <c r="Y19" s="2" t="s">
        <v>95</v>
      </c>
      <c r="Z19" s="9"/>
      <c r="AA19" s="6">
        <v>7445</v>
      </c>
      <c r="AB19" s="6">
        <v>7991</v>
      </c>
      <c r="AC19" s="6">
        <v>11148</v>
      </c>
      <c r="AD19" s="2">
        <v>180.5</v>
      </c>
      <c r="AE19" s="6" t="s">
        <v>102</v>
      </c>
      <c r="AF19" s="6">
        <v>39.43</v>
      </c>
      <c r="AG19" s="14" t="s">
        <v>128</v>
      </c>
      <c r="AH19" s="14" t="s">
        <v>124</v>
      </c>
      <c r="AI19" s="6">
        <v>546</v>
      </c>
      <c r="AJ19" s="6">
        <v>96</v>
      </c>
      <c r="AK19" s="7"/>
      <c r="AL19" s="2" t="s">
        <v>103</v>
      </c>
      <c r="AM19" s="3" t="s">
        <v>118</v>
      </c>
      <c r="AN19" s="3" t="s">
        <v>110</v>
      </c>
      <c r="AO19" s="3" t="s">
        <v>111</v>
      </c>
      <c r="AP19" s="3" t="s">
        <v>67</v>
      </c>
      <c r="AQ19" s="3" t="s">
        <v>52</v>
      </c>
      <c r="AR19" s="6">
        <v>27</v>
      </c>
      <c r="AS19" s="6">
        <v>62</v>
      </c>
      <c r="AT19" s="6">
        <v>71</v>
      </c>
      <c r="AU19" s="6">
        <v>29</v>
      </c>
      <c r="AV19" s="6">
        <v>29440</v>
      </c>
      <c r="AW19" s="6">
        <f>SUM(AR19:AU19)</f>
        <v>189</v>
      </c>
      <c r="AX19" s="6">
        <v>29440</v>
      </c>
      <c r="AY19" s="11">
        <f t="shared" si="10"/>
        <v>0.11355311355311355</v>
      </c>
      <c r="AZ19" s="11">
        <f t="shared" si="7"/>
        <v>0.64583333333333337</v>
      </c>
    </row>
    <row r="20" spans="1:55" ht="22.8" x14ac:dyDescent="0.55000000000000004">
      <c r="A20" s="2">
        <v>17</v>
      </c>
      <c r="B20" s="2" t="s">
        <v>221</v>
      </c>
      <c r="C20" s="2" t="s">
        <v>91</v>
      </c>
      <c r="D20" s="4">
        <v>44721</v>
      </c>
      <c r="E20" s="4" t="s">
        <v>105</v>
      </c>
      <c r="F20" s="2" t="s">
        <v>40</v>
      </c>
      <c r="G20" s="6">
        <v>30</v>
      </c>
      <c r="H20" s="6">
        <v>95</v>
      </c>
      <c r="I20" s="6">
        <v>105</v>
      </c>
      <c r="J20" s="6">
        <v>37</v>
      </c>
      <c r="K20" s="6">
        <v>88</v>
      </c>
      <c r="L20" s="6">
        <f>SUM(G20:K20)</f>
        <v>355</v>
      </c>
      <c r="M20" s="18">
        <f t="shared" si="3"/>
        <v>200</v>
      </c>
      <c r="N20" s="18">
        <f t="shared" si="4"/>
        <v>546</v>
      </c>
      <c r="Q20" s="22">
        <f t="shared" si="5"/>
        <v>0</v>
      </c>
      <c r="R20" s="6"/>
      <c r="T20" s="5">
        <f t="shared" si="6"/>
        <v>0</v>
      </c>
      <c r="X20" s="2" t="s">
        <v>93</v>
      </c>
      <c r="Y20" s="2" t="s">
        <v>95</v>
      </c>
      <c r="Z20" s="9"/>
      <c r="AA20" s="6">
        <v>7445</v>
      </c>
      <c r="AB20" s="6">
        <v>7991</v>
      </c>
      <c r="AC20" s="6">
        <v>11148</v>
      </c>
      <c r="AD20" s="2">
        <v>180</v>
      </c>
      <c r="AE20" s="6" t="s">
        <v>102</v>
      </c>
      <c r="AF20" s="6">
        <v>41</v>
      </c>
      <c r="AG20" s="13">
        <v>5.15</v>
      </c>
      <c r="AH20" s="14" t="s">
        <v>124</v>
      </c>
      <c r="AI20" s="6">
        <v>546</v>
      </c>
      <c r="AJ20" s="6">
        <v>96</v>
      </c>
      <c r="AK20" s="7"/>
      <c r="AL20" s="2" t="s">
        <v>103</v>
      </c>
      <c r="AM20" s="3" t="s">
        <v>66</v>
      </c>
      <c r="AN20" s="3" t="s">
        <v>110</v>
      </c>
      <c r="AO20" s="3" t="s">
        <v>111</v>
      </c>
      <c r="AP20" s="3" t="s">
        <v>67</v>
      </c>
      <c r="AQ20" s="3" t="s">
        <v>112</v>
      </c>
      <c r="AR20" s="6">
        <v>30</v>
      </c>
      <c r="AS20" s="6">
        <v>95</v>
      </c>
      <c r="AT20" s="6">
        <v>105</v>
      </c>
      <c r="AU20" s="6">
        <v>37</v>
      </c>
      <c r="AV20" s="6">
        <v>88</v>
      </c>
      <c r="AW20" s="6">
        <f>SUM(AR20:AV20)</f>
        <v>355</v>
      </c>
      <c r="AX20" s="5">
        <v>0</v>
      </c>
      <c r="AY20" s="11">
        <f t="shared" si="10"/>
        <v>0.17399267399267399</v>
      </c>
      <c r="AZ20" s="11">
        <f t="shared" si="7"/>
        <v>0.98958333333333337</v>
      </c>
    </row>
    <row r="21" spans="1:55" ht="22.8" x14ac:dyDescent="0.55000000000000004">
      <c r="A21" s="2">
        <v>18</v>
      </c>
      <c r="B21" s="2" t="s">
        <v>187</v>
      </c>
      <c r="C21" s="2" t="s">
        <v>27</v>
      </c>
      <c r="D21" s="4">
        <v>44729</v>
      </c>
      <c r="E21" s="4" t="s">
        <v>105</v>
      </c>
      <c r="F21" s="2" t="s">
        <v>38</v>
      </c>
      <c r="G21" s="6">
        <v>50</v>
      </c>
      <c r="H21" s="6">
        <v>150</v>
      </c>
      <c r="I21" s="6">
        <v>30</v>
      </c>
      <c r="J21" s="6">
        <v>39</v>
      </c>
      <c r="K21" s="6">
        <v>27569</v>
      </c>
      <c r="L21" s="6">
        <f t="shared" ref="L21" si="14">SUM(G21:J21)</f>
        <v>269</v>
      </c>
      <c r="M21" s="18">
        <f t="shared" si="3"/>
        <v>180</v>
      </c>
      <c r="N21" s="18">
        <f t="shared" si="4"/>
        <v>866</v>
      </c>
      <c r="O21" s="41">
        <v>3300</v>
      </c>
      <c r="P21" s="41">
        <v>4300</v>
      </c>
      <c r="Q21" s="22">
        <f t="shared" si="5"/>
        <v>1000</v>
      </c>
      <c r="R21" s="42">
        <v>187</v>
      </c>
      <c r="S21" s="42">
        <v>290</v>
      </c>
      <c r="T21" s="5">
        <f t="shared" si="6"/>
        <v>103</v>
      </c>
      <c r="X21" s="2" t="s">
        <v>81</v>
      </c>
      <c r="Y21" s="2" t="s">
        <v>95</v>
      </c>
      <c r="Z21" s="9"/>
      <c r="AA21" s="6">
        <v>7114</v>
      </c>
      <c r="AB21" s="6">
        <v>7980</v>
      </c>
      <c r="AC21" s="6">
        <v>10864</v>
      </c>
      <c r="AD21" s="2">
        <v>175</v>
      </c>
      <c r="AE21" s="6" t="s">
        <v>102</v>
      </c>
      <c r="AF21" s="6">
        <v>38.68</v>
      </c>
      <c r="AG21" s="13">
        <v>4.2</v>
      </c>
      <c r="AH21" s="5">
        <v>12.5</v>
      </c>
      <c r="AI21" s="6">
        <v>866</v>
      </c>
      <c r="AJ21" s="6">
        <v>256</v>
      </c>
      <c r="AK21" s="7"/>
      <c r="AL21" s="2" t="s">
        <v>104</v>
      </c>
      <c r="AM21" s="3" t="s">
        <v>83</v>
      </c>
      <c r="AN21" s="3" t="s">
        <v>109</v>
      </c>
      <c r="AO21" s="3" t="s">
        <v>70</v>
      </c>
      <c r="AP21" s="3" t="s">
        <v>72</v>
      </c>
      <c r="AQ21" s="3" t="s">
        <v>52</v>
      </c>
      <c r="AR21" s="6">
        <v>50</v>
      </c>
      <c r="AS21" s="6">
        <v>150</v>
      </c>
      <c r="AT21" s="6">
        <v>30</v>
      </c>
      <c r="AU21" s="6">
        <v>39</v>
      </c>
      <c r="AV21" s="6">
        <v>27569</v>
      </c>
      <c r="AW21" s="6">
        <f t="shared" si="13"/>
        <v>269</v>
      </c>
      <c r="AX21" s="5">
        <v>43764</v>
      </c>
      <c r="AY21" s="11">
        <f t="shared" si="10"/>
        <v>0.17321016166281755</v>
      </c>
      <c r="AZ21" s="11">
        <f t="shared" si="7"/>
        <v>0.5859375</v>
      </c>
    </row>
    <row r="22" spans="1:55" x14ac:dyDescent="0.55000000000000004">
      <c r="A22" s="2">
        <v>19</v>
      </c>
      <c r="B22" s="2" t="s">
        <v>192</v>
      </c>
      <c r="C22" s="2" t="s">
        <v>68</v>
      </c>
      <c r="D22" s="23">
        <v>44312</v>
      </c>
      <c r="E22" s="4" t="s">
        <v>105</v>
      </c>
      <c r="F22" s="2" t="s">
        <v>38</v>
      </c>
      <c r="G22" s="20">
        <v>45</v>
      </c>
      <c r="H22" s="20">
        <v>135</v>
      </c>
      <c r="I22" s="20">
        <v>40</v>
      </c>
      <c r="J22" s="20">
        <v>40</v>
      </c>
      <c r="K22" s="20">
        <v>58</v>
      </c>
      <c r="L22" s="22">
        <f>SUM(G22:K22)</f>
        <v>318</v>
      </c>
      <c r="M22" s="18">
        <f t="shared" si="3"/>
        <v>175</v>
      </c>
      <c r="N22" s="18">
        <f t="shared" si="4"/>
        <v>82</v>
      </c>
      <c r="Q22" s="22">
        <f t="shared" si="5"/>
        <v>0</v>
      </c>
      <c r="R22" s="22"/>
      <c r="T22" s="5">
        <f t="shared" si="6"/>
        <v>0</v>
      </c>
      <c r="X22" s="2" t="s">
        <v>127</v>
      </c>
      <c r="Y22" s="2" t="s">
        <v>76</v>
      </c>
      <c r="Z22" s="6">
        <v>658.68</v>
      </c>
      <c r="AA22" s="6">
        <v>6729</v>
      </c>
      <c r="AB22" s="6">
        <v>6811</v>
      </c>
      <c r="AC22" s="6">
        <v>11974.082</v>
      </c>
      <c r="AD22" s="2">
        <v>166.4</v>
      </c>
      <c r="AE22" s="6" t="s">
        <v>102</v>
      </c>
      <c r="AF22" s="6">
        <v>43</v>
      </c>
      <c r="AG22" s="5">
        <v>5.15</v>
      </c>
      <c r="AH22" s="9"/>
      <c r="AI22" s="6">
        <v>82</v>
      </c>
      <c r="AJ22" s="13">
        <v>286.2</v>
      </c>
      <c r="AK22" s="7"/>
      <c r="AL22" s="27" t="s">
        <v>103</v>
      </c>
      <c r="AM22" s="26" t="s">
        <v>83</v>
      </c>
      <c r="AN22" s="26" t="s">
        <v>71</v>
      </c>
      <c r="AO22" s="26" t="s">
        <v>70</v>
      </c>
      <c r="AP22" s="26" t="s">
        <v>72</v>
      </c>
      <c r="AQ22" s="26" t="s">
        <v>164</v>
      </c>
      <c r="AR22" s="20">
        <v>45</v>
      </c>
      <c r="AS22" s="20">
        <v>135</v>
      </c>
      <c r="AT22" s="20">
        <v>40</v>
      </c>
      <c r="AU22" s="20">
        <v>40</v>
      </c>
      <c r="AV22" s="20">
        <v>58</v>
      </c>
      <c r="AW22" s="22">
        <f>SUM(AR22:AV22)</f>
        <v>318</v>
      </c>
      <c r="AX22" s="5">
        <v>0</v>
      </c>
      <c r="AY22" s="11">
        <f t="shared" si="10"/>
        <v>1.6463414634146341</v>
      </c>
      <c r="AZ22" s="11">
        <f t="shared" si="7"/>
        <v>0.47169811320754718</v>
      </c>
    </row>
    <row r="23" spans="1:55" ht="27.6" x14ac:dyDescent="0.55000000000000004">
      <c r="A23" s="2">
        <v>20</v>
      </c>
      <c r="B23" s="2" t="s">
        <v>221</v>
      </c>
      <c r="C23" s="2" t="s">
        <v>91</v>
      </c>
      <c r="D23" s="4">
        <v>44714</v>
      </c>
      <c r="E23" s="4" t="s">
        <v>143</v>
      </c>
      <c r="F23" s="2" t="s">
        <v>40</v>
      </c>
      <c r="G23" s="6">
        <v>62</v>
      </c>
      <c r="H23" s="6">
        <v>0</v>
      </c>
      <c r="I23" s="6">
        <v>0</v>
      </c>
      <c r="J23" s="6">
        <v>0</v>
      </c>
      <c r="K23" s="17">
        <v>88.1</v>
      </c>
      <c r="L23" s="6">
        <f>SUM(G23:K23)</f>
        <v>150.1</v>
      </c>
      <c r="M23" s="18">
        <f t="shared" si="3"/>
        <v>0</v>
      </c>
      <c r="N23" s="18">
        <f t="shared" si="4"/>
        <v>583</v>
      </c>
      <c r="Q23" s="22">
        <f t="shared" si="5"/>
        <v>0</v>
      </c>
      <c r="R23" s="6"/>
      <c r="T23" s="5">
        <f t="shared" si="6"/>
        <v>0</v>
      </c>
      <c r="X23" s="2" t="s">
        <v>93</v>
      </c>
      <c r="Y23" s="2" t="s">
        <v>95</v>
      </c>
      <c r="Z23" s="9"/>
      <c r="AA23" s="6">
        <v>7208</v>
      </c>
      <c r="AB23" s="6">
        <v>7791</v>
      </c>
      <c r="AC23" s="20">
        <v>11148</v>
      </c>
      <c r="AD23" s="27">
        <v>182.17</v>
      </c>
      <c r="AE23" s="6" t="s">
        <v>102</v>
      </c>
      <c r="AF23" s="9"/>
      <c r="AG23" s="5" t="s">
        <v>140</v>
      </c>
      <c r="AH23" s="9"/>
      <c r="AI23" s="6">
        <f>AB23-AA23</f>
        <v>583</v>
      </c>
      <c r="AJ23" s="6">
        <f>22+74</f>
        <v>96</v>
      </c>
      <c r="AK23" s="7"/>
      <c r="AL23" s="2" t="s">
        <v>103</v>
      </c>
      <c r="AM23" s="3" t="s">
        <v>66</v>
      </c>
      <c r="AN23" s="3" t="s">
        <v>176</v>
      </c>
      <c r="AO23" s="3" t="s">
        <v>176</v>
      </c>
      <c r="AP23" s="3" t="s">
        <v>176</v>
      </c>
      <c r="AQ23" s="3" t="s">
        <v>176</v>
      </c>
      <c r="AR23" s="6">
        <v>62</v>
      </c>
      <c r="AS23" s="6">
        <v>0</v>
      </c>
      <c r="AT23" s="6">
        <v>0</v>
      </c>
      <c r="AU23" s="6">
        <v>0</v>
      </c>
      <c r="AV23" s="17">
        <v>88.1</v>
      </c>
      <c r="AW23" s="6">
        <f>SUM(AR23:AV23)</f>
        <v>150.1</v>
      </c>
      <c r="AX23" s="5">
        <v>0</v>
      </c>
      <c r="AY23" s="11">
        <f t="shared" si="10"/>
        <v>0</v>
      </c>
      <c r="AZ23" s="11">
        <f t="shared" si="7"/>
        <v>0</v>
      </c>
    </row>
    <row r="24" spans="1:55" x14ac:dyDescent="0.55000000000000004">
      <c r="A24" s="2">
        <v>21</v>
      </c>
      <c r="B24" s="2" t="s">
        <v>221</v>
      </c>
      <c r="C24" s="2" t="s">
        <v>91</v>
      </c>
      <c r="D24" s="4">
        <v>44715</v>
      </c>
      <c r="E24" s="4" t="s">
        <v>136</v>
      </c>
      <c r="F24" s="2" t="s">
        <v>40</v>
      </c>
      <c r="G24" s="6">
        <v>47</v>
      </c>
      <c r="H24" s="6">
        <v>62</v>
      </c>
      <c r="I24" s="6">
        <v>71</v>
      </c>
      <c r="J24" s="6">
        <v>31</v>
      </c>
      <c r="K24" s="16" t="s">
        <v>139</v>
      </c>
      <c r="L24" s="6">
        <f>SUM(G24:K24)</f>
        <v>211</v>
      </c>
      <c r="M24" s="18">
        <f t="shared" si="3"/>
        <v>133</v>
      </c>
      <c r="N24" s="18">
        <f t="shared" si="4"/>
        <v>583</v>
      </c>
      <c r="Q24" s="22">
        <f t="shared" si="5"/>
        <v>0</v>
      </c>
      <c r="R24" s="6"/>
      <c r="T24" s="5">
        <f t="shared" si="6"/>
        <v>0</v>
      </c>
      <c r="X24" s="2" t="s">
        <v>93</v>
      </c>
      <c r="Y24" s="2" t="s">
        <v>95</v>
      </c>
      <c r="Z24" s="9"/>
      <c r="AA24" s="6">
        <v>7208</v>
      </c>
      <c r="AB24" s="6">
        <v>7791</v>
      </c>
      <c r="AC24" s="20">
        <v>11148</v>
      </c>
      <c r="AD24" s="27">
        <v>182.17</v>
      </c>
      <c r="AE24" s="6" t="s">
        <v>102</v>
      </c>
      <c r="AF24" s="9"/>
      <c r="AG24" s="5" t="s">
        <v>140</v>
      </c>
      <c r="AH24" s="9"/>
      <c r="AI24" s="6">
        <f>AB24-AA24</f>
        <v>583</v>
      </c>
      <c r="AJ24" s="6">
        <f>22+74</f>
        <v>96</v>
      </c>
      <c r="AK24" s="7"/>
      <c r="AL24" s="2" t="s">
        <v>103</v>
      </c>
      <c r="AM24" s="3" t="s">
        <v>145</v>
      </c>
      <c r="AN24" s="3" t="s">
        <v>110</v>
      </c>
      <c r="AO24" s="3" t="s">
        <v>111</v>
      </c>
      <c r="AP24" s="3" t="s">
        <v>67</v>
      </c>
      <c r="AQ24" s="3" t="s">
        <v>176</v>
      </c>
      <c r="AR24" s="6">
        <v>47</v>
      </c>
      <c r="AS24" s="6">
        <v>62</v>
      </c>
      <c r="AT24" s="6">
        <v>71</v>
      </c>
      <c r="AU24" s="6">
        <v>31</v>
      </c>
      <c r="AV24" s="16" t="s">
        <v>139</v>
      </c>
      <c r="AW24" s="6">
        <f>SUM(AR24:AV24)</f>
        <v>211</v>
      </c>
      <c r="AX24" s="5">
        <v>0</v>
      </c>
      <c r="AY24" s="11">
        <f t="shared" si="10"/>
        <v>0.10634648370497427</v>
      </c>
      <c r="AZ24" s="11">
        <f t="shared" si="7"/>
        <v>0.64583333333333337</v>
      </c>
      <c r="BA24" s="6">
        <v>9000</v>
      </c>
      <c r="BB24" s="2">
        <v>12</v>
      </c>
    </row>
    <row r="25" spans="1:55" ht="27.6" x14ac:dyDescent="0.55000000000000004">
      <c r="A25" s="2">
        <v>22</v>
      </c>
      <c r="B25" s="2" t="s">
        <v>221</v>
      </c>
      <c r="C25" s="2" t="s">
        <v>91</v>
      </c>
      <c r="D25" s="4">
        <v>44721</v>
      </c>
      <c r="E25" s="4" t="s">
        <v>142</v>
      </c>
      <c r="F25" s="2" t="s">
        <v>40</v>
      </c>
      <c r="G25" s="6">
        <f>5</f>
        <v>5</v>
      </c>
      <c r="H25" s="6">
        <f>28+2+10</f>
        <v>40</v>
      </c>
      <c r="I25" s="6">
        <f>30</f>
        <v>30</v>
      </c>
      <c r="J25" s="6">
        <f>15</f>
        <v>15</v>
      </c>
      <c r="K25" s="16" t="s">
        <v>139</v>
      </c>
      <c r="L25" s="6">
        <f>SUM(G25:J25)</f>
        <v>90</v>
      </c>
      <c r="M25" s="18">
        <f t="shared" si="3"/>
        <v>70</v>
      </c>
      <c r="N25" s="18">
        <f t="shared" si="4"/>
        <v>583</v>
      </c>
      <c r="Q25" s="22">
        <f t="shared" si="5"/>
        <v>0</v>
      </c>
      <c r="R25" s="6"/>
      <c r="T25" s="5">
        <f t="shared" si="6"/>
        <v>0</v>
      </c>
      <c r="X25" s="2" t="s">
        <v>93</v>
      </c>
      <c r="Y25" s="2" t="s">
        <v>95</v>
      </c>
      <c r="Z25" s="9"/>
      <c r="AA25" s="6">
        <v>7208</v>
      </c>
      <c r="AB25" s="6">
        <v>7791</v>
      </c>
      <c r="AC25" s="20">
        <v>11148</v>
      </c>
      <c r="AD25" s="27">
        <v>182.17</v>
      </c>
      <c r="AE25" s="6" t="s">
        <v>102</v>
      </c>
      <c r="AF25" s="9"/>
      <c r="AG25" s="5" t="s">
        <v>140</v>
      </c>
      <c r="AH25" s="9"/>
      <c r="AI25" s="6">
        <f>AB25-AA25</f>
        <v>583</v>
      </c>
      <c r="AJ25" s="6">
        <f>22+74</f>
        <v>96</v>
      </c>
      <c r="AK25" s="7"/>
      <c r="AL25" s="2" t="s">
        <v>103</v>
      </c>
      <c r="AM25" s="3" t="s">
        <v>118</v>
      </c>
      <c r="AN25" s="3" t="s">
        <v>137</v>
      </c>
      <c r="AO25" s="3" t="s">
        <v>111</v>
      </c>
      <c r="AP25" s="3" t="s">
        <v>67</v>
      </c>
      <c r="AQ25" s="3" t="s">
        <v>138</v>
      </c>
      <c r="AR25" s="6">
        <f>5</f>
        <v>5</v>
      </c>
      <c r="AS25" s="6">
        <f>28+2+10</f>
        <v>40</v>
      </c>
      <c r="AT25" s="6">
        <f>30</f>
        <v>30</v>
      </c>
      <c r="AU25" s="6">
        <f>15</f>
        <v>15</v>
      </c>
      <c r="AV25" s="16" t="s">
        <v>139</v>
      </c>
      <c r="AW25" s="6">
        <f>SUM(AR25:AU25)</f>
        <v>90</v>
      </c>
      <c r="AX25" s="5">
        <v>0</v>
      </c>
      <c r="AY25" s="11">
        <f t="shared" si="10"/>
        <v>6.86106346483705E-2</v>
      </c>
      <c r="AZ25" s="11">
        <f t="shared" si="7"/>
        <v>0.41666666666666669</v>
      </c>
    </row>
    <row r="26" spans="1:55" s="44" customFormat="1" ht="22.8" x14ac:dyDescent="0.55000000000000004">
      <c r="A26" s="44">
        <v>23</v>
      </c>
      <c r="B26" s="44" t="s">
        <v>221</v>
      </c>
      <c r="C26" s="44" t="s">
        <v>91</v>
      </c>
      <c r="D26" s="45">
        <v>44724</v>
      </c>
      <c r="E26" s="45" t="s">
        <v>141</v>
      </c>
      <c r="F26" s="46" t="s">
        <v>40</v>
      </c>
      <c r="G26" s="47">
        <v>0</v>
      </c>
      <c r="H26" s="47">
        <v>0</v>
      </c>
      <c r="I26" s="47">
        <v>0</v>
      </c>
      <c r="J26" s="47">
        <v>0</v>
      </c>
      <c r="K26" s="48">
        <v>32.5</v>
      </c>
      <c r="L26" s="47">
        <f>SUM(G26:K26)</f>
        <v>32.5</v>
      </c>
      <c r="M26" s="48">
        <f t="shared" si="3"/>
        <v>0</v>
      </c>
      <c r="N26" s="48">
        <f t="shared" si="4"/>
        <v>583</v>
      </c>
      <c r="Q26" s="49">
        <f t="shared" si="5"/>
        <v>0</v>
      </c>
      <c r="R26" s="47"/>
      <c r="S26" s="46"/>
      <c r="T26" s="50">
        <f t="shared" si="6"/>
        <v>0</v>
      </c>
      <c r="U26" s="46"/>
      <c r="V26" s="46"/>
      <c r="W26" s="46"/>
      <c r="X26" s="44" t="s">
        <v>93</v>
      </c>
      <c r="Y26" s="44" t="s">
        <v>95</v>
      </c>
      <c r="Z26" s="47"/>
      <c r="AA26" s="47">
        <v>7208</v>
      </c>
      <c r="AB26" s="47">
        <v>7791</v>
      </c>
      <c r="AC26" s="51">
        <v>11148</v>
      </c>
      <c r="AD26" s="46">
        <v>182.17</v>
      </c>
      <c r="AE26" s="47" t="s">
        <v>102</v>
      </c>
      <c r="AF26" s="47"/>
      <c r="AG26" s="50" t="s">
        <v>140</v>
      </c>
      <c r="AH26" s="47"/>
      <c r="AI26" s="47">
        <f>AB26-AA26</f>
        <v>583</v>
      </c>
      <c r="AJ26" s="47">
        <f>22+74</f>
        <v>96</v>
      </c>
      <c r="AK26" s="50"/>
      <c r="AL26" s="44" t="s">
        <v>103</v>
      </c>
      <c r="AM26" s="52" t="s">
        <v>176</v>
      </c>
      <c r="AN26" s="52" t="s">
        <v>176</v>
      </c>
      <c r="AO26" s="52" t="s">
        <v>176</v>
      </c>
      <c r="AP26" s="52" t="s">
        <v>176</v>
      </c>
      <c r="AQ26" s="52" t="s">
        <v>138</v>
      </c>
      <c r="AR26" s="47">
        <v>0</v>
      </c>
      <c r="AS26" s="47">
        <v>0</v>
      </c>
      <c r="AT26" s="47">
        <v>0</v>
      </c>
      <c r="AU26" s="47">
        <v>0</v>
      </c>
      <c r="AV26" s="48">
        <v>32.5</v>
      </c>
      <c r="AW26" s="47">
        <f>SUM(AR26:AV26)</f>
        <v>32.5</v>
      </c>
      <c r="AX26" s="50">
        <v>0</v>
      </c>
      <c r="AY26" s="53">
        <f t="shared" si="10"/>
        <v>0</v>
      </c>
      <c r="AZ26" s="53">
        <f t="shared" si="7"/>
        <v>0</v>
      </c>
      <c r="BA26" s="47"/>
    </row>
    <row r="27" spans="1:55" s="44" customFormat="1" x14ac:dyDescent="0.55000000000000004">
      <c r="A27" s="44">
        <v>24</v>
      </c>
      <c r="B27" s="44" t="s">
        <v>221</v>
      </c>
      <c r="C27" s="44" t="s">
        <v>91</v>
      </c>
      <c r="D27" s="45">
        <v>44770</v>
      </c>
      <c r="E27" s="45" t="s">
        <v>86</v>
      </c>
      <c r="F27" s="44" t="s">
        <v>39</v>
      </c>
      <c r="G27" s="47">
        <v>100</v>
      </c>
      <c r="H27" s="47">
        <v>0</v>
      </c>
      <c r="I27" s="47">
        <v>0</v>
      </c>
      <c r="J27" s="47">
        <v>0</v>
      </c>
      <c r="K27" s="48">
        <v>0</v>
      </c>
      <c r="L27" s="47">
        <f>SUM(G27:K27)</f>
        <v>100</v>
      </c>
      <c r="M27" s="48">
        <f t="shared" si="3"/>
        <v>0</v>
      </c>
      <c r="N27" s="48">
        <f t="shared" si="4"/>
        <v>583</v>
      </c>
      <c r="Q27" s="49">
        <f t="shared" si="5"/>
        <v>0</v>
      </c>
      <c r="R27" s="47"/>
      <c r="T27" s="50">
        <f t="shared" si="6"/>
        <v>0</v>
      </c>
      <c r="X27" s="44" t="s">
        <v>93</v>
      </c>
      <c r="Y27" s="44" t="s">
        <v>95</v>
      </c>
      <c r="Z27" s="47"/>
      <c r="AA27" s="47">
        <v>7208</v>
      </c>
      <c r="AB27" s="47">
        <v>7791</v>
      </c>
      <c r="AC27" s="51">
        <v>11148</v>
      </c>
      <c r="AD27" s="46">
        <v>182.17</v>
      </c>
      <c r="AE27" s="47" t="s">
        <v>102</v>
      </c>
      <c r="AF27" s="47"/>
      <c r="AG27" s="50" t="s">
        <v>140</v>
      </c>
      <c r="AH27" s="47"/>
      <c r="AI27" s="47">
        <f>AB27-AA27</f>
        <v>583</v>
      </c>
      <c r="AJ27" s="47">
        <f>22+74</f>
        <v>96</v>
      </c>
      <c r="AK27" s="50"/>
      <c r="AL27" s="44" t="s">
        <v>103</v>
      </c>
      <c r="AM27" s="52" t="s">
        <v>48</v>
      </c>
      <c r="AN27" s="52" t="s">
        <v>176</v>
      </c>
      <c r="AO27" s="52" t="s">
        <v>176</v>
      </c>
      <c r="AP27" s="52" t="s">
        <v>176</v>
      </c>
      <c r="AQ27" s="52" t="s">
        <v>176</v>
      </c>
      <c r="AR27" s="47">
        <v>100</v>
      </c>
      <c r="AS27" s="47">
        <v>0</v>
      </c>
      <c r="AT27" s="47">
        <v>0</v>
      </c>
      <c r="AU27" s="47">
        <v>0</v>
      </c>
      <c r="AV27" s="48">
        <v>0</v>
      </c>
      <c r="AW27" s="47">
        <f>SUM(AR27:AV27)</f>
        <v>100</v>
      </c>
      <c r="AX27" s="50">
        <v>0</v>
      </c>
      <c r="AY27" s="53">
        <f t="shared" si="10"/>
        <v>0</v>
      </c>
      <c r="AZ27" s="53">
        <f t="shared" si="7"/>
        <v>0</v>
      </c>
      <c r="BA27" s="47"/>
    </row>
    <row r="28" spans="1:55" s="44" customFormat="1" x14ac:dyDescent="0.55000000000000004">
      <c r="A28" s="44">
        <v>25</v>
      </c>
      <c r="B28" s="44" t="s">
        <v>197</v>
      </c>
      <c r="C28" s="44" t="s">
        <v>92</v>
      </c>
      <c r="D28" s="45">
        <v>44771</v>
      </c>
      <c r="E28" s="45" t="s">
        <v>86</v>
      </c>
      <c r="F28" s="44" t="s">
        <v>39</v>
      </c>
      <c r="G28" s="47">
        <v>60</v>
      </c>
      <c r="H28" s="47">
        <v>0</v>
      </c>
      <c r="I28" s="47">
        <v>0</v>
      </c>
      <c r="J28" s="47">
        <v>0</v>
      </c>
      <c r="K28" s="47">
        <v>79</v>
      </c>
      <c r="L28" s="47">
        <f t="shared" ref="L28:L34" si="15">SUM(G28:J28)</f>
        <v>60</v>
      </c>
      <c r="M28" s="48">
        <f t="shared" si="3"/>
        <v>0</v>
      </c>
      <c r="N28" s="48">
        <f t="shared" si="4"/>
        <v>380.41000000000076</v>
      </c>
      <c r="Q28" s="49">
        <f t="shared" si="5"/>
        <v>0</v>
      </c>
      <c r="R28" s="47"/>
      <c r="T28" s="50">
        <f t="shared" si="6"/>
        <v>0</v>
      </c>
      <c r="X28" s="44" t="s">
        <v>93</v>
      </c>
      <c r="Y28" s="44" t="s">
        <v>95</v>
      </c>
      <c r="Z28" s="47"/>
      <c r="AA28" s="50">
        <v>7387.19</v>
      </c>
      <c r="AB28" s="50">
        <v>7767.6</v>
      </c>
      <c r="AC28" s="51">
        <v>11148</v>
      </c>
      <c r="AD28" s="46">
        <v>182.17</v>
      </c>
      <c r="AE28" s="47" t="s">
        <v>102</v>
      </c>
      <c r="AF28" s="47"/>
      <c r="AG28" s="47"/>
      <c r="AH28" s="47"/>
      <c r="AI28" s="50">
        <v>380.41</v>
      </c>
      <c r="AJ28" s="47">
        <v>96</v>
      </c>
      <c r="AK28" s="50"/>
      <c r="AL28" s="44" t="s">
        <v>103</v>
      </c>
      <c r="AM28" s="52" t="s">
        <v>48</v>
      </c>
      <c r="AN28" s="52" t="s">
        <v>176</v>
      </c>
      <c r="AO28" s="52" t="s">
        <v>176</v>
      </c>
      <c r="AP28" s="52" t="s">
        <v>176</v>
      </c>
      <c r="AQ28" s="52" t="s">
        <v>106</v>
      </c>
      <c r="AR28" s="47">
        <v>60</v>
      </c>
      <c r="AS28" s="47">
        <v>0</v>
      </c>
      <c r="AT28" s="47">
        <v>0</v>
      </c>
      <c r="AU28" s="47">
        <v>0</v>
      </c>
      <c r="AV28" s="47">
        <v>79</v>
      </c>
      <c r="AW28" s="47">
        <f t="shared" si="13"/>
        <v>60</v>
      </c>
      <c r="AX28" s="50">
        <v>0</v>
      </c>
      <c r="AY28" s="53">
        <f t="shared" si="10"/>
        <v>0</v>
      </c>
      <c r="AZ28" s="53">
        <f t="shared" si="7"/>
        <v>0</v>
      </c>
      <c r="BA28" s="47"/>
    </row>
    <row r="29" spans="1:55" s="44" customFormat="1" ht="34.200000000000003" x14ac:dyDescent="0.55000000000000004">
      <c r="A29" s="44">
        <v>26</v>
      </c>
      <c r="B29" s="44" t="s">
        <v>197</v>
      </c>
      <c r="C29" s="44" t="s">
        <v>92</v>
      </c>
      <c r="D29" s="45">
        <v>44773</v>
      </c>
      <c r="E29" s="45" t="s">
        <v>105</v>
      </c>
      <c r="F29" s="44" t="s">
        <v>39</v>
      </c>
      <c r="G29" s="47">
        <v>3</v>
      </c>
      <c r="H29" s="47">
        <f>10+25+6</f>
        <v>41</v>
      </c>
      <c r="I29" s="47">
        <v>0</v>
      </c>
      <c r="J29" s="47">
        <v>0</v>
      </c>
      <c r="K29" s="47">
        <v>0</v>
      </c>
      <c r="L29" s="47">
        <f t="shared" si="15"/>
        <v>44</v>
      </c>
      <c r="M29" s="48">
        <f t="shared" si="3"/>
        <v>41</v>
      </c>
      <c r="N29" s="48">
        <f t="shared" si="4"/>
        <v>380.41000000000076</v>
      </c>
      <c r="Q29" s="49">
        <f t="shared" si="5"/>
        <v>0</v>
      </c>
      <c r="R29" s="47"/>
      <c r="T29" s="50">
        <f t="shared" si="6"/>
        <v>0</v>
      </c>
      <c r="X29" s="44" t="s">
        <v>93</v>
      </c>
      <c r="Y29" s="44" t="s">
        <v>95</v>
      </c>
      <c r="Z29" s="47"/>
      <c r="AA29" s="50">
        <v>7387.19</v>
      </c>
      <c r="AB29" s="50">
        <v>7767.6</v>
      </c>
      <c r="AC29" s="51">
        <v>11148</v>
      </c>
      <c r="AD29" s="46">
        <v>182.17</v>
      </c>
      <c r="AE29" s="47" t="s">
        <v>102</v>
      </c>
      <c r="AF29" s="47"/>
      <c r="AG29" s="47"/>
      <c r="AH29" s="47"/>
      <c r="AI29" s="50">
        <v>380.41</v>
      </c>
      <c r="AJ29" s="47">
        <v>96</v>
      </c>
      <c r="AK29" s="50"/>
      <c r="AL29" s="44" t="s">
        <v>103</v>
      </c>
      <c r="AM29" s="52" t="s">
        <v>48</v>
      </c>
      <c r="AN29" s="52" t="s">
        <v>144</v>
      </c>
      <c r="AO29" s="52" t="s">
        <v>176</v>
      </c>
      <c r="AP29" s="52" t="s">
        <v>176</v>
      </c>
      <c r="AQ29" s="52" t="s">
        <v>176</v>
      </c>
      <c r="AR29" s="47">
        <v>3</v>
      </c>
      <c r="AS29" s="47">
        <f>10+25+6</f>
        <v>41</v>
      </c>
      <c r="AT29" s="47">
        <v>0</v>
      </c>
      <c r="AU29" s="47">
        <v>0</v>
      </c>
      <c r="AV29" s="47">
        <v>0</v>
      </c>
      <c r="AW29" s="47">
        <f t="shared" si="13"/>
        <v>44</v>
      </c>
      <c r="AX29" s="50">
        <v>0</v>
      </c>
      <c r="AY29" s="53">
        <f t="shared" si="10"/>
        <v>0.10777844956757182</v>
      </c>
      <c r="AZ29" s="53">
        <f t="shared" si="7"/>
        <v>0.42708333333333331</v>
      </c>
      <c r="BA29" s="47">
        <v>9000</v>
      </c>
      <c r="BC29" s="47">
        <v>8250</v>
      </c>
    </row>
    <row r="30" spans="1:55" ht="22.8" x14ac:dyDescent="0.55000000000000004">
      <c r="A30" s="2">
        <v>27</v>
      </c>
      <c r="B30" s="2" t="s">
        <v>185</v>
      </c>
      <c r="C30" s="2" t="s">
        <v>69</v>
      </c>
      <c r="D30" s="4">
        <v>44804</v>
      </c>
      <c r="E30" s="4" t="s">
        <v>105</v>
      </c>
      <c r="F30" s="2" t="s">
        <v>39</v>
      </c>
      <c r="G30" s="5">
        <f>5+5+11+30</f>
        <v>51</v>
      </c>
      <c r="H30" s="5">
        <f>10+20+20+10+15+15</f>
        <v>90</v>
      </c>
      <c r="I30" s="5">
        <v>0</v>
      </c>
      <c r="J30" s="5">
        <f>10+8</f>
        <v>18</v>
      </c>
      <c r="K30" s="5">
        <v>23079.439999999999</v>
      </c>
      <c r="L30" s="5">
        <f t="shared" si="15"/>
        <v>159</v>
      </c>
      <c r="M30" s="18">
        <f t="shared" si="3"/>
        <v>90</v>
      </c>
      <c r="N30" s="18">
        <f t="shared" si="4"/>
        <v>377</v>
      </c>
      <c r="Q30" s="22">
        <f t="shared" si="5"/>
        <v>0</v>
      </c>
      <c r="R30" s="5"/>
      <c r="T30" s="5">
        <f t="shared" si="6"/>
        <v>0</v>
      </c>
      <c r="X30" s="2" t="s">
        <v>93</v>
      </c>
      <c r="Y30" s="2" t="s">
        <v>65</v>
      </c>
      <c r="Z30" s="6">
        <v>76</v>
      </c>
      <c r="AA30" s="6">
        <v>7523</v>
      </c>
      <c r="AB30" s="6">
        <v>7900</v>
      </c>
      <c r="AC30" s="6">
        <v>10211</v>
      </c>
      <c r="AD30" s="2">
        <v>155</v>
      </c>
      <c r="AE30" s="6" t="s">
        <v>102</v>
      </c>
      <c r="AF30" s="15"/>
      <c r="AG30" s="2">
        <v>3.3</v>
      </c>
      <c r="AH30" s="2">
        <v>4.8000000000000001E-2</v>
      </c>
      <c r="AI30" s="5">
        <f t="shared" ref="AI30:AI41" si="16">AB30-AA30</f>
        <v>377</v>
      </c>
      <c r="AJ30" s="5">
        <v>152</v>
      </c>
      <c r="AK30" s="7"/>
      <c r="AL30" s="2" t="s">
        <v>104</v>
      </c>
      <c r="AM30" s="3" t="s">
        <v>48</v>
      </c>
      <c r="AN30" s="3" t="s">
        <v>78</v>
      </c>
      <c r="AO30" s="3" t="s">
        <v>176</v>
      </c>
      <c r="AP30" s="3" t="s">
        <v>77</v>
      </c>
      <c r="AQ30" s="3" t="s">
        <v>52</v>
      </c>
      <c r="AR30" s="5">
        <f>5+5+11+30</f>
        <v>51</v>
      </c>
      <c r="AS30" s="5">
        <f>10+20+20+10+15+15</f>
        <v>90</v>
      </c>
      <c r="AT30" s="5">
        <v>0</v>
      </c>
      <c r="AU30" s="5">
        <f>10+8</f>
        <v>18</v>
      </c>
      <c r="AV30" s="5">
        <v>23079.439999999999</v>
      </c>
      <c r="AW30" s="5">
        <f t="shared" si="13"/>
        <v>159</v>
      </c>
      <c r="AX30" s="21">
        <v>36174</v>
      </c>
      <c r="AY30" s="11">
        <f t="shared" si="10"/>
        <v>0.23872679045092837</v>
      </c>
      <c r="AZ30" s="11">
        <f t="shared" si="7"/>
        <v>0.59210526315789469</v>
      </c>
      <c r="BA30" s="6">
        <v>5997</v>
      </c>
    </row>
    <row r="31" spans="1:55" ht="22.8" x14ac:dyDescent="0.55000000000000004">
      <c r="A31" s="2">
        <v>28</v>
      </c>
      <c r="B31" s="2" t="s">
        <v>198</v>
      </c>
      <c r="C31" s="2" t="s">
        <v>161</v>
      </c>
      <c r="D31" s="23">
        <v>44852</v>
      </c>
      <c r="E31" s="4" t="s">
        <v>105</v>
      </c>
      <c r="F31" s="4" t="s">
        <v>38</v>
      </c>
      <c r="G31" s="21">
        <v>9</v>
      </c>
      <c r="H31" s="21">
        <v>90</v>
      </c>
      <c r="I31" s="21">
        <v>0</v>
      </c>
      <c r="J31" s="21">
        <v>20</v>
      </c>
      <c r="K31" s="21">
        <v>25727</v>
      </c>
      <c r="L31" s="5">
        <f t="shared" si="15"/>
        <v>119</v>
      </c>
      <c r="M31" s="18">
        <f t="shared" si="3"/>
        <v>90</v>
      </c>
      <c r="N31" s="18">
        <f t="shared" si="4"/>
        <v>454</v>
      </c>
      <c r="Q31" s="22">
        <f t="shared" si="5"/>
        <v>0</v>
      </c>
      <c r="R31" s="5"/>
      <c r="S31" s="4"/>
      <c r="T31" s="5">
        <f t="shared" si="6"/>
        <v>0</v>
      </c>
      <c r="U31" s="4"/>
      <c r="V31" s="4"/>
      <c r="W31" s="4"/>
      <c r="X31" s="4" t="s">
        <v>60</v>
      </c>
      <c r="Y31" s="4" t="s">
        <v>56</v>
      </c>
      <c r="Z31" s="5">
        <v>645.29999999999995</v>
      </c>
      <c r="AA31" s="6">
        <v>6810</v>
      </c>
      <c r="AB31" s="6">
        <v>7264</v>
      </c>
      <c r="AC31" s="6">
        <v>8659</v>
      </c>
      <c r="AD31" s="2">
        <v>167</v>
      </c>
      <c r="AE31" s="6" t="s">
        <v>102</v>
      </c>
      <c r="AF31" s="15"/>
      <c r="AG31" s="13">
        <v>3.2</v>
      </c>
      <c r="AH31" s="6">
        <v>13</v>
      </c>
      <c r="AI31" s="6">
        <f t="shared" si="16"/>
        <v>454</v>
      </c>
      <c r="AJ31" s="6">
        <v>307</v>
      </c>
      <c r="AK31" s="5">
        <v>221</v>
      </c>
      <c r="AL31" s="2" t="s">
        <v>104</v>
      </c>
      <c r="AM31" s="26" t="s">
        <v>83</v>
      </c>
      <c r="AN31" s="26" t="s">
        <v>162</v>
      </c>
      <c r="AO31" s="26" t="s">
        <v>176</v>
      </c>
      <c r="AP31" s="26" t="s">
        <v>72</v>
      </c>
      <c r="AQ31" s="26" t="s">
        <v>52</v>
      </c>
      <c r="AR31" s="21">
        <v>9</v>
      </c>
      <c r="AS31" s="21">
        <v>90</v>
      </c>
      <c r="AT31" s="21">
        <v>0</v>
      </c>
      <c r="AU31" s="21">
        <v>20</v>
      </c>
      <c r="AV31" s="21">
        <v>25727</v>
      </c>
      <c r="AW31" s="5">
        <f t="shared" si="13"/>
        <v>119</v>
      </c>
      <c r="AX31" s="21">
        <v>38352</v>
      </c>
      <c r="AY31" s="11">
        <f t="shared" si="10"/>
        <v>0.19823788546255505</v>
      </c>
      <c r="AZ31" s="11">
        <f t="shared" si="7"/>
        <v>0.29315960912052119</v>
      </c>
    </row>
    <row r="32" spans="1:55" ht="34.200000000000003" x14ac:dyDescent="0.55000000000000004">
      <c r="A32" s="2">
        <v>29</v>
      </c>
      <c r="B32" s="2" t="s">
        <v>190</v>
      </c>
      <c r="C32" s="2" t="s">
        <v>28</v>
      </c>
      <c r="D32" s="4">
        <v>44856</v>
      </c>
      <c r="E32" s="4" t="s">
        <v>105</v>
      </c>
      <c r="F32" s="4" t="s">
        <v>39</v>
      </c>
      <c r="G32" s="5">
        <v>32</v>
      </c>
      <c r="H32" s="5">
        <v>115</v>
      </c>
      <c r="I32" s="5">
        <v>0</v>
      </c>
      <c r="J32" s="5">
        <v>28</v>
      </c>
      <c r="K32" s="5">
        <v>19013</v>
      </c>
      <c r="L32" s="5">
        <f t="shared" si="15"/>
        <v>175</v>
      </c>
      <c r="M32" s="18">
        <f t="shared" si="3"/>
        <v>115</v>
      </c>
      <c r="N32" s="18">
        <f t="shared" si="4"/>
        <v>154</v>
      </c>
      <c r="Q32" s="22">
        <f t="shared" si="5"/>
        <v>0</v>
      </c>
      <c r="R32" s="5"/>
      <c r="S32" s="4"/>
      <c r="T32" s="5">
        <f t="shared" si="6"/>
        <v>0</v>
      </c>
      <c r="U32" s="4"/>
      <c r="V32" s="4"/>
      <c r="W32" s="4"/>
      <c r="X32" s="2" t="s">
        <v>81</v>
      </c>
      <c r="Y32" s="4" t="s">
        <v>56</v>
      </c>
      <c r="Z32" s="9"/>
      <c r="AA32" s="6">
        <v>6391</v>
      </c>
      <c r="AB32" s="6">
        <v>6545</v>
      </c>
      <c r="AC32" s="6">
        <v>9457</v>
      </c>
      <c r="AD32" s="2">
        <v>173</v>
      </c>
      <c r="AE32" s="6" t="s">
        <v>102</v>
      </c>
      <c r="AF32" s="2">
        <v>38.700000000000003</v>
      </c>
      <c r="AG32" s="13">
        <v>3.6</v>
      </c>
      <c r="AH32" s="6">
        <v>13</v>
      </c>
      <c r="AI32" s="6">
        <f t="shared" si="16"/>
        <v>154</v>
      </c>
      <c r="AJ32" s="6">
        <v>60.5</v>
      </c>
      <c r="AK32" s="7"/>
      <c r="AL32" s="2" t="s">
        <v>103</v>
      </c>
      <c r="AM32" s="3" t="s">
        <v>48</v>
      </c>
      <c r="AN32" s="3" t="s">
        <v>49</v>
      </c>
      <c r="AO32" s="3" t="s">
        <v>176</v>
      </c>
      <c r="AP32" s="3" t="s">
        <v>50</v>
      </c>
      <c r="AQ32" s="3" t="s">
        <v>52</v>
      </c>
      <c r="AR32" s="5">
        <v>32</v>
      </c>
      <c r="AS32" s="5">
        <v>115</v>
      </c>
      <c r="AT32" s="5">
        <v>0</v>
      </c>
      <c r="AU32" s="5">
        <v>28</v>
      </c>
      <c r="AV32" s="5">
        <v>19013</v>
      </c>
      <c r="AW32" s="5">
        <f t="shared" si="13"/>
        <v>175</v>
      </c>
      <c r="AX32" s="5">
        <v>19013</v>
      </c>
      <c r="AY32" s="11">
        <f t="shared" si="10"/>
        <v>0.74675324675324672</v>
      </c>
      <c r="AZ32" s="11">
        <f t="shared" si="7"/>
        <v>1.9008264462809918</v>
      </c>
      <c r="BB32" s="2">
        <v>14</v>
      </c>
    </row>
    <row r="33" spans="1:55" ht="15" x14ac:dyDescent="0.55000000000000004">
      <c r="A33" s="2">
        <v>30</v>
      </c>
      <c r="B33" s="2" t="s">
        <v>199</v>
      </c>
      <c r="C33" s="2" t="s">
        <v>59</v>
      </c>
      <c r="D33" s="4">
        <v>44872</v>
      </c>
      <c r="E33" s="4" t="s">
        <v>133</v>
      </c>
      <c r="F33" s="4" t="s">
        <v>39</v>
      </c>
      <c r="G33" s="5">
        <v>48</v>
      </c>
      <c r="H33" s="5">
        <v>0</v>
      </c>
      <c r="I33" s="5">
        <v>0</v>
      </c>
      <c r="J33" s="5">
        <v>0</v>
      </c>
      <c r="K33" s="6">
        <v>22000</v>
      </c>
      <c r="L33" s="5">
        <f t="shared" si="15"/>
        <v>48</v>
      </c>
      <c r="M33" s="18">
        <f t="shared" si="3"/>
        <v>0</v>
      </c>
      <c r="N33" s="18">
        <f t="shared" si="4"/>
        <v>406</v>
      </c>
      <c r="O33" s="39">
        <v>5353</v>
      </c>
      <c r="P33" s="39">
        <v>5800</v>
      </c>
      <c r="Q33" s="22">
        <f t="shared" si="5"/>
        <v>447</v>
      </c>
      <c r="R33" s="40">
        <v>376</v>
      </c>
      <c r="S33" s="40">
        <v>322</v>
      </c>
      <c r="T33" s="5">
        <f t="shared" si="6"/>
        <v>-54</v>
      </c>
      <c r="U33" s="4"/>
      <c r="V33" s="4"/>
      <c r="W33" s="4"/>
      <c r="X33" s="4" t="s">
        <v>60</v>
      </c>
      <c r="Y33" s="4" t="s">
        <v>56</v>
      </c>
      <c r="Z33" s="13">
        <v>1064.2</v>
      </c>
      <c r="AA33" s="6">
        <v>6839</v>
      </c>
      <c r="AB33" s="6">
        <v>7245</v>
      </c>
      <c r="AC33" s="6">
        <f>612*14.22</f>
        <v>8702.6400000000012</v>
      </c>
      <c r="AD33" s="2">
        <v>173</v>
      </c>
      <c r="AE33" s="6" t="s">
        <v>102</v>
      </c>
      <c r="AF33" s="10"/>
      <c r="AG33" s="24">
        <v>4</v>
      </c>
      <c r="AH33" s="24">
        <v>13</v>
      </c>
      <c r="AI33" s="6">
        <f t="shared" si="16"/>
        <v>406</v>
      </c>
      <c r="AJ33" s="6">
        <v>114</v>
      </c>
      <c r="AK33" s="5">
        <v>137</v>
      </c>
      <c r="AL33" s="2" t="s">
        <v>103</v>
      </c>
      <c r="AM33" s="3" t="s">
        <v>48</v>
      </c>
      <c r="AN33" s="3" t="s">
        <v>176</v>
      </c>
      <c r="AO33" s="3" t="s">
        <v>176</v>
      </c>
      <c r="AP33" s="3" t="s">
        <v>176</v>
      </c>
      <c r="AQ33" s="3" t="s">
        <v>52</v>
      </c>
      <c r="AR33" s="5">
        <v>48</v>
      </c>
      <c r="AS33" s="5">
        <v>0</v>
      </c>
      <c r="AT33" s="5">
        <v>0</v>
      </c>
      <c r="AU33" s="5">
        <v>0</v>
      </c>
      <c r="AV33" s="6">
        <v>22000</v>
      </c>
      <c r="AW33" s="5">
        <f t="shared" si="13"/>
        <v>48</v>
      </c>
      <c r="AX33" s="5">
        <v>22000</v>
      </c>
      <c r="AY33" s="11">
        <f t="shared" si="10"/>
        <v>0</v>
      </c>
      <c r="AZ33" s="11">
        <f t="shared" si="7"/>
        <v>0</v>
      </c>
      <c r="BA33" s="6">
        <v>5102</v>
      </c>
      <c r="BB33" s="2">
        <v>5</v>
      </c>
      <c r="BC33" s="6">
        <v>5102</v>
      </c>
    </row>
    <row r="34" spans="1:55" ht="34.200000000000003" x14ac:dyDescent="0.55000000000000004">
      <c r="A34" s="2">
        <v>31</v>
      </c>
      <c r="B34" s="2" t="s">
        <v>227</v>
      </c>
      <c r="C34" s="2" t="s">
        <v>84</v>
      </c>
      <c r="D34" s="36">
        <v>44866</v>
      </c>
      <c r="E34" s="4" t="s">
        <v>105</v>
      </c>
      <c r="F34" s="27" t="s">
        <v>39</v>
      </c>
      <c r="G34" s="21">
        <v>34</v>
      </c>
      <c r="H34" s="21">
        <v>115</v>
      </c>
      <c r="I34" s="21">
        <v>0</v>
      </c>
      <c r="J34" s="21">
        <v>28</v>
      </c>
      <c r="K34" s="21">
        <v>27000</v>
      </c>
      <c r="L34" s="5">
        <f t="shared" si="15"/>
        <v>177</v>
      </c>
      <c r="M34" s="18">
        <f t="shared" si="3"/>
        <v>115</v>
      </c>
      <c r="N34" s="18">
        <f t="shared" si="4"/>
        <v>616</v>
      </c>
      <c r="Q34" s="22">
        <f t="shared" si="5"/>
        <v>0</v>
      </c>
      <c r="R34" s="5"/>
      <c r="S34" s="27"/>
      <c r="T34" s="5">
        <f t="shared" si="6"/>
        <v>0</v>
      </c>
      <c r="U34" s="27"/>
      <c r="V34" s="27"/>
      <c r="W34" s="27"/>
      <c r="X34" s="2" t="s">
        <v>58</v>
      </c>
      <c r="Y34" s="2" t="s">
        <v>85</v>
      </c>
      <c r="Z34" s="6">
        <v>3451</v>
      </c>
      <c r="AA34" s="5">
        <v>7473</v>
      </c>
      <c r="AB34" s="5">
        <v>8089</v>
      </c>
      <c r="AC34" s="6">
        <v>9235</v>
      </c>
      <c r="AD34" s="2">
        <v>180</v>
      </c>
      <c r="AE34" s="6" t="s">
        <v>102</v>
      </c>
      <c r="AG34" s="2">
        <v>4.2</v>
      </c>
      <c r="AH34" s="2">
        <v>13</v>
      </c>
      <c r="AI34" s="5">
        <f t="shared" si="16"/>
        <v>616</v>
      </c>
      <c r="AJ34" s="5">
        <v>308</v>
      </c>
      <c r="AK34" s="9"/>
      <c r="AL34" s="2" t="s">
        <v>104</v>
      </c>
      <c r="AM34" s="26" t="s">
        <v>48</v>
      </c>
      <c r="AN34" s="26" t="s">
        <v>49</v>
      </c>
      <c r="AO34" s="26" t="s">
        <v>176</v>
      </c>
      <c r="AP34" s="26" t="s">
        <v>50</v>
      </c>
      <c r="AQ34" s="26" t="s">
        <v>52</v>
      </c>
      <c r="AR34" s="21">
        <v>34</v>
      </c>
      <c r="AS34" s="21">
        <v>115</v>
      </c>
      <c r="AT34" s="21">
        <v>0</v>
      </c>
      <c r="AU34" s="21">
        <v>28</v>
      </c>
      <c r="AV34" s="21">
        <v>27000</v>
      </c>
      <c r="AW34" s="5">
        <f t="shared" si="13"/>
        <v>177</v>
      </c>
      <c r="AX34" s="21">
        <v>41325</v>
      </c>
      <c r="AY34" s="11">
        <f t="shared" si="10"/>
        <v>0.18668831168831168</v>
      </c>
      <c r="AZ34" s="11">
        <f t="shared" si="7"/>
        <v>0.37337662337662336</v>
      </c>
      <c r="BB34" s="27">
        <v>12</v>
      </c>
    </row>
    <row r="35" spans="1:55" ht="34.200000000000003" x14ac:dyDescent="0.55000000000000004">
      <c r="A35" s="2">
        <v>32</v>
      </c>
      <c r="B35" s="19" t="s">
        <v>203</v>
      </c>
      <c r="C35" s="19" t="s">
        <v>29</v>
      </c>
      <c r="D35" s="36">
        <v>44896</v>
      </c>
      <c r="E35" s="4" t="s">
        <v>105</v>
      </c>
      <c r="F35" s="23" t="s">
        <v>39</v>
      </c>
      <c r="G35" s="21">
        <v>30</v>
      </c>
      <c r="H35" s="21">
        <f>24+35+47</f>
        <v>106</v>
      </c>
      <c r="I35" s="21">
        <v>0</v>
      </c>
      <c r="J35" s="21">
        <v>26</v>
      </c>
      <c r="K35" s="20">
        <v>21500</v>
      </c>
      <c r="L35" s="5">
        <v>40</v>
      </c>
      <c r="M35" s="18">
        <f t="shared" si="3"/>
        <v>106</v>
      </c>
      <c r="N35" s="18">
        <f t="shared" si="4"/>
        <v>360</v>
      </c>
      <c r="O35" s="39">
        <v>3430</v>
      </c>
      <c r="P35" s="39">
        <v>3874</v>
      </c>
      <c r="Q35" s="22">
        <f t="shared" si="5"/>
        <v>444</v>
      </c>
      <c r="R35" s="40">
        <v>120</v>
      </c>
      <c r="S35" s="40">
        <v>191</v>
      </c>
      <c r="T35" s="5">
        <f t="shared" si="6"/>
        <v>71</v>
      </c>
      <c r="U35" s="23"/>
      <c r="V35" s="23"/>
      <c r="W35" s="23"/>
      <c r="X35" s="2" t="s">
        <v>60</v>
      </c>
      <c r="Y35" s="4" t="s">
        <v>56</v>
      </c>
      <c r="Z35" s="6">
        <v>302</v>
      </c>
      <c r="AA35" s="6">
        <v>6640</v>
      </c>
      <c r="AB35" s="6">
        <v>7000</v>
      </c>
      <c r="AC35" s="6">
        <v>9286</v>
      </c>
      <c r="AD35" s="2">
        <v>173</v>
      </c>
      <c r="AE35" s="6" t="s">
        <v>102</v>
      </c>
      <c r="AF35" s="15"/>
      <c r="AG35" s="2">
        <v>3.6</v>
      </c>
      <c r="AH35" s="2">
        <v>13</v>
      </c>
      <c r="AI35" s="6">
        <f t="shared" si="16"/>
        <v>360</v>
      </c>
      <c r="AJ35" s="5">
        <v>67</v>
      </c>
      <c r="AK35" s="5">
        <v>127</v>
      </c>
      <c r="AL35" s="2" t="s">
        <v>104</v>
      </c>
      <c r="AM35" s="26" t="s">
        <v>48</v>
      </c>
      <c r="AN35" s="26" t="s">
        <v>62</v>
      </c>
      <c r="AO35" s="26" t="s">
        <v>176</v>
      </c>
      <c r="AP35" s="26" t="s">
        <v>50</v>
      </c>
      <c r="AQ35" s="26" t="s">
        <v>52</v>
      </c>
      <c r="AR35" s="21">
        <v>30</v>
      </c>
      <c r="AS35" s="21">
        <f>24+35+47</f>
        <v>106</v>
      </c>
      <c r="AT35" s="21">
        <v>0</v>
      </c>
      <c r="AU35" s="21">
        <v>26</v>
      </c>
      <c r="AV35" s="20">
        <v>21500</v>
      </c>
      <c r="AW35" s="5">
        <f>SUM(AR35:AV35)</f>
        <v>21662</v>
      </c>
      <c r="AX35" s="21">
        <v>36040</v>
      </c>
      <c r="AY35" s="11">
        <f t="shared" si="10"/>
        <v>0.29444444444444445</v>
      </c>
      <c r="AZ35" s="11">
        <f t="shared" si="7"/>
        <v>1.5820895522388059</v>
      </c>
      <c r="BB35" s="27">
        <v>12</v>
      </c>
    </row>
    <row r="36" spans="1:55" ht="34.200000000000003" x14ac:dyDescent="0.55000000000000004">
      <c r="A36" s="2">
        <v>33</v>
      </c>
      <c r="B36" s="2" t="s">
        <v>202</v>
      </c>
      <c r="C36" s="2" t="s">
        <v>30</v>
      </c>
      <c r="D36" s="4">
        <v>44920</v>
      </c>
      <c r="E36" s="4" t="s">
        <v>105</v>
      </c>
      <c r="F36" s="2" t="s">
        <v>39</v>
      </c>
      <c r="G36" s="5">
        <f>12+3+3+3+5</f>
        <v>26</v>
      </c>
      <c r="H36" s="5">
        <f>20+20+20+25+15+20+25+20</f>
        <v>165</v>
      </c>
      <c r="I36" s="5">
        <v>0</v>
      </c>
      <c r="J36" s="5">
        <f>10+12+12</f>
        <v>34</v>
      </c>
      <c r="K36" s="6">
        <v>22750</v>
      </c>
      <c r="L36" s="5">
        <f t="shared" ref="L36" si="17">SUM(G36:J36)</f>
        <v>225</v>
      </c>
      <c r="M36" s="18">
        <f t="shared" si="3"/>
        <v>165</v>
      </c>
      <c r="N36" s="18">
        <f t="shared" si="4"/>
        <v>542</v>
      </c>
      <c r="Q36" s="22">
        <f t="shared" si="5"/>
        <v>0</v>
      </c>
      <c r="R36" s="5"/>
      <c r="T36" s="5">
        <f t="shared" si="6"/>
        <v>0</v>
      </c>
      <c r="X36" s="2" t="s">
        <v>60</v>
      </c>
      <c r="Y36" s="2" t="s">
        <v>56</v>
      </c>
      <c r="Z36" s="6">
        <v>1947</v>
      </c>
      <c r="AA36" s="6">
        <v>7108</v>
      </c>
      <c r="AB36" s="6">
        <v>7650</v>
      </c>
      <c r="AC36" s="6">
        <v>8290</v>
      </c>
      <c r="AD36" s="2">
        <v>173</v>
      </c>
      <c r="AE36" s="6" t="s">
        <v>102</v>
      </c>
      <c r="AF36" s="2">
        <v>40.22</v>
      </c>
      <c r="AG36" s="2">
        <v>3.6</v>
      </c>
      <c r="AH36" s="2">
        <v>13</v>
      </c>
      <c r="AI36" s="5">
        <f t="shared" si="16"/>
        <v>542</v>
      </c>
      <c r="AJ36" s="5">
        <v>144</v>
      </c>
      <c r="AK36" s="5">
        <v>177</v>
      </c>
      <c r="AL36" s="2" t="s">
        <v>104</v>
      </c>
      <c r="AM36" s="3" t="s">
        <v>48</v>
      </c>
      <c r="AN36" s="3" t="s">
        <v>49</v>
      </c>
      <c r="AO36" s="3" t="s">
        <v>176</v>
      </c>
      <c r="AP36" s="3" t="s">
        <v>50</v>
      </c>
      <c r="AQ36" s="3" t="s">
        <v>52</v>
      </c>
      <c r="AR36" s="5">
        <f>12+3+3+3+5</f>
        <v>26</v>
      </c>
      <c r="AS36" s="5">
        <f>20+20+20+25+15+20+25+20</f>
        <v>165</v>
      </c>
      <c r="AT36" s="5">
        <v>0</v>
      </c>
      <c r="AU36" s="5">
        <f>10+12+12</f>
        <v>34</v>
      </c>
      <c r="AV36" s="6">
        <v>22750</v>
      </c>
      <c r="AW36" s="5">
        <f t="shared" ref="AW36:AW48" si="18">SUM(AR36:AU36)</f>
        <v>225</v>
      </c>
      <c r="AX36" s="18">
        <v>45156</v>
      </c>
      <c r="AY36" s="11">
        <f t="shared" si="10"/>
        <v>0.30442804428044279</v>
      </c>
      <c r="AZ36" s="11">
        <f t="shared" si="7"/>
        <v>1.1458333333333333</v>
      </c>
      <c r="BA36" s="20">
        <v>3950</v>
      </c>
      <c r="BB36" s="2">
        <v>13</v>
      </c>
      <c r="BC36" s="6">
        <v>5003</v>
      </c>
    </row>
    <row r="37" spans="1:55" ht="34.200000000000003" x14ac:dyDescent="0.55000000000000004">
      <c r="A37" s="2">
        <v>34</v>
      </c>
      <c r="B37" s="2" t="s">
        <v>196</v>
      </c>
      <c r="C37" s="2" t="s">
        <v>31</v>
      </c>
      <c r="D37" s="4">
        <v>44921</v>
      </c>
      <c r="E37" s="4" t="s">
        <v>105</v>
      </c>
      <c r="F37" s="2" t="s">
        <v>39</v>
      </c>
      <c r="G37" s="5">
        <v>29</v>
      </c>
      <c r="H37" s="5">
        <v>111</v>
      </c>
      <c r="I37" s="5">
        <v>0</v>
      </c>
      <c r="J37" s="5">
        <v>23</v>
      </c>
      <c r="K37" s="22">
        <v>22800</v>
      </c>
      <c r="L37" s="5">
        <f>SUM(G37:J37)</f>
        <v>163</v>
      </c>
      <c r="M37" s="18">
        <f t="shared" si="3"/>
        <v>111</v>
      </c>
      <c r="N37" s="18">
        <f t="shared" si="4"/>
        <v>874</v>
      </c>
      <c r="O37" s="41">
        <v>4000</v>
      </c>
      <c r="P37" s="41">
        <v>4200</v>
      </c>
      <c r="Q37" s="22">
        <f t="shared" si="5"/>
        <v>200</v>
      </c>
      <c r="R37" s="42">
        <v>210</v>
      </c>
      <c r="S37" s="42">
        <v>245</v>
      </c>
      <c r="T37" s="5">
        <f t="shared" si="6"/>
        <v>35</v>
      </c>
      <c r="X37" s="2" t="s">
        <v>58</v>
      </c>
      <c r="Y37" s="2" t="s">
        <v>61</v>
      </c>
      <c r="Z37" s="6">
        <v>183</v>
      </c>
      <c r="AA37" s="6">
        <v>6726</v>
      </c>
      <c r="AB37" s="6">
        <v>7600</v>
      </c>
      <c r="AC37" s="6">
        <v>8462</v>
      </c>
      <c r="AD37" s="2">
        <v>178</v>
      </c>
      <c r="AE37" s="6" t="s">
        <v>102</v>
      </c>
      <c r="AF37" s="15"/>
      <c r="AG37" s="2">
        <v>3.6</v>
      </c>
      <c r="AH37" s="2">
        <v>13.09</v>
      </c>
      <c r="AI37" s="6">
        <f t="shared" si="16"/>
        <v>874</v>
      </c>
      <c r="AJ37" s="6">
        <v>108</v>
      </c>
      <c r="AK37" s="7"/>
      <c r="AL37" s="2" t="s">
        <v>104</v>
      </c>
      <c r="AM37" s="3" t="s">
        <v>48</v>
      </c>
      <c r="AN37" s="3" t="s">
        <v>62</v>
      </c>
      <c r="AO37" s="3" t="s">
        <v>176</v>
      </c>
      <c r="AP37" s="3" t="s">
        <v>50</v>
      </c>
      <c r="AQ37" s="3" t="s">
        <v>52</v>
      </c>
      <c r="AR37" s="5">
        <v>29</v>
      </c>
      <c r="AS37" s="5">
        <v>111</v>
      </c>
      <c r="AT37" s="5">
        <v>0</v>
      </c>
      <c r="AU37" s="5">
        <v>23</v>
      </c>
      <c r="AV37" s="22">
        <v>22800</v>
      </c>
      <c r="AW37" s="5">
        <f>SUM(AR37:AU37)</f>
        <v>163</v>
      </c>
      <c r="AX37" s="18">
        <v>35975</v>
      </c>
      <c r="AY37" s="11">
        <f t="shared" si="10"/>
        <v>0.12700228832951946</v>
      </c>
      <c r="AZ37" s="11">
        <f t="shared" si="7"/>
        <v>1.0277777777777777</v>
      </c>
      <c r="BA37" s="6">
        <v>5484</v>
      </c>
      <c r="BB37" s="2">
        <v>12</v>
      </c>
      <c r="BC37" s="6">
        <v>4732</v>
      </c>
    </row>
    <row r="38" spans="1:55" ht="34.200000000000003" x14ac:dyDescent="0.55000000000000004">
      <c r="A38" s="2">
        <v>35</v>
      </c>
      <c r="B38" s="2" t="s">
        <v>205</v>
      </c>
      <c r="C38" s="2" t="s">
        <v>32</v>
      </c>
      <c r="D38" s="25">
        <v>44937</v>
      </c>
      <c r="E38" s="4" t="s">
        <v>105</v>
      </c>
      <c r="F38" s="2" t="s">
        <v>39</v>
      </c>
      <c r="G38" s="5">
        <v>25</v>
      </c>
      <c r="H38" s="5">
        <v>138</v>
      </c>
      <c r="I38" s="5">
        <v>0</v>
      </c>
      <c r="J38" s="5">
        <v>31</v>
      </c>
      <c r="K38" s="6">
        <v>16000</v>
      </c>
      <c r="L38" s="5">
        <f>SUM(G38:J38)</f>
        <v>194</v>
      </c>
      <c r="M38" s="18">
        <f t="shared" si="3"/>
        <v>138</v>
      </c>
      <c r="N38" s="18">
        <f t="shared" si="4"/>
        <v>295.78999999999996</v>
      </c>
      <c r="O38" s="39">
        <v>2500</v>
      </c>
      <c r="P38" s="39">
        <v>3550</v>
      </c>
      <c r="Q38" s="22">
        <f t="shared" si="5"/>
        <v>1050</v>
      </c>
      <c r="R38" s="40">
        <v>123</v>
      </c>
      <c r="S38" s="40">
        <v>155</v>
      </c>
      <c r="T38" s="5">
        <f t="shared" si="6"/>
        <v>32</v>
      </c>
      <c r="X38" s="2" t="s">
        <v>81</v>
      </c>
      <c r="Y38" s="4" t="s">
        <v>56</v>
      </c>
      <c r="Z38" s="6">
        <v>445</v>
      </c>
      <c r="AA38" s="5">
        <v>6489.75</v>
      </c>
      <c r="AB38" s="5">
        <v>6785.54</v>
      </c>
      <c r="AC38" s="6">
        <v>8207</v>
      </c>
      <c r="AD38" s="4">
        <v>173</v>
      </c>
      <c r="AE38" s="6" t="s">
        <v>102</v>
      </c>
      <c r="AF38" s="2">
        <v>40.22</v>
      </c>
      <c r="AG38" s="2">
        <v>3.7</v>
      </c>
      <c r="AH38" s="2">
        <v>13</v>
      </c>
      <c r="AI38" s="6">
        <f t="shared" si="16"/>
        <v>295.78999999999996</v>
      </c>
      <c r="AJ38" s="6">
        <v>196</v>
      </c>
      <c r="AK38" s="7"/>
      <c r="AL38" s="2" t="s">
        <v>104</v>
      </c>
      <c r="AM38" s="3" t="s">
        <v>48</v>
      </c>
      <c r="AN38" s="3" t="s">
        <v>62</v>
      </c>
      <c r="AO38" s="3" t="s">
        <v>176</v>
      </c>
      <c r="AP38" s="3" t="s">
        <v>50</v>
      </c>
      <c r="AQ38" s="3" t="s">
        <v>52</v>
      </c>
      <c r="AR38" s="5">
        <v>25</v>
      </c>
      <c r="AS38" s="5">
        <v>138</v>
      </c>
      <c r="AT38" s="5">
        <v>0</v>
      </c>
      <c r="AU38" s="5">
        <v>31</v>
      </c>
      <c r="AV38" s="6">
        <v>16000</v>
      </c>
      <c r="AW38" s="5">
        <f>SUM(AR38:AU38)</f>
        <v>194</v>
      </c>
      <c r="AX38" s="5">
        <v>58000</v>
      </c>
      <c r="AY38" s="11">
        <f t="shared" si="10"/>
        <v>0.46654721254944392</v>
      </c>
      <c r="AZ38" s="11">
        <f t="shared" si="7"/>
        <v>0.70408163265306123</v>
      </c>
    </row>
    <row r="39" spans="1:55" ht="22.8" x14ac:dyDescent="0.55000000000000004">
      <c r="A39" s="2">
        <v>36</v>
      </c>
      <c r="B39" s="2" t="s">
        <v>195</v>
      </c>
      <c r="C39" s="2" t="s">
        <v>159</v>
      </c>
      <c r="D39" s="36">
        <v>44927</v>
      </c>
      <c r="E39" s="4" t="s">
        <v>105</v>
      </c>
      <c r="F39" s="2" t="s">
        <v>38</v>
      </c>
      <c r="G39" s="21">
        <v>48</v>
      </c>
      <c r="H39" s="21">
        <v>117</v>
      </c>
      <c r="I39" s="21">
        <v>10</v>
      </c>
      <c r="J39" s="21">
        <v>27</v>
      </c>
      <c r="K39" s="21">
        <v>24413</v>
      </c>
      <c r="L39" s="5">
        <v>202</v>
      </c>
      <c r="M39" s="18">
        <f t="shared" si="3"/>
        <v>127</v>
      </c>
      <c r="N39" s="18">
        <f t="shared" si="4"/>
        <v>701</v>
      </c>
      <c r="Q39" s="22">
        <f t="shared" si="5"/>
        <v>0</v>
      </c>
      <c r="R39" s="5"/>
      <c r="T39" s="5">
        <f t="shared" si="6"/>
        <v>0</v>
      </c>
      <c r="X39" s="2" t="s">
        <v>81</v>
      </c>
      <c r="Y39" s="2" t="s">
        <v>61</v>
      </c>
      <c r="Z39" s="5">
        <v>625.72</v>
      </c>
      <c r="AA39" s="5">
        <v>7200</v>
      </c>
      <c r="AB39" s="5">
        <v>7901</v>
      </c>
      <c r="AC39" s="6">
        <v>8092</v>
      </c>
      <c r="AD39" s="2">
        <v>173</v>
      </c>
      <c r="AE39" s="6" t="s">
        <v>102</v>
      </c>
      <c r="AF39" s="2">
        <v>40.22</v>
      </c>
      <c r="AG39" s="2">
        <v>4.03</v>
      </c>
      <c r="AH39" s="2">
        <v>13.09</v>
      </c>
      <c r="AI39" s="5">
        <f t="shared" si="16"/>
        <v>701</v>
      </c>
      <c r="AJ39" s="5">
        <f>21+76+91</f>
        <v>188</v>
      </c>
      <c r="AK39" s="5">
        <v>186</v>
      </c>
      <c r="AL39" s="2" t="s">
        <v>104</v>
      </c>
      <c r="AM39" s="26" t="s">
        <v>83</v>
      </c>
      <c r="AN39" s="26" t="s">
        <v>109</v>
      </c>
      <c r="AO39" s="26" t="s">
        <v>70</v>
      </c>
      <c r="AP39" s="26" t="s">
        <v>72</v>
      </c>
      <c r="AQ39" s="26" t="s">
        <v>52</v>
      </c>
      <c r="AR39" s="21">
        <v>48</v>
      </c>
      <c r="AS39" s="21">
        <v>117</v>
      </c>
      <c r="AT39" s="21">
        <v>10</v>
      </c>
      <c r="AU39" s="21">
        <v>27</v>
      </c>
      <c r="AV39" s="21">
        <v>24413</v>
      </c>
      <c r="AW39" s="5">
        <f t="shared" ref="AW39" si="19">SUM(AR39:AV39)</f>
        <v>24615</v>
      </c>
      <c r="AX39" s="21">
        <v>41059</v>
      </c>
      <c r="AY39" s="11">
        <f t="shared" si="10"/>
        <v>0.16690442225392296</v>
      </c>
      <c r="AZ39" s="11">
        <f>AS39/AK39</f>
        <v>0.62903225806451613</v>
      </c>
      <c r="BB39" s="27">
        <v>12</v>
      </c>
    </row>
    <row r="40" spans="1:55" s="44" customFormat="1" x14ac:dyDescent="0.55000000000000004">
      <c r="A40" s="44">
        <v>37</v>
      </c>
      <c r="B40" s="44" t="s">
        <v>206</v>
      </c>
      <c r="C40" s="44" t="s">
        <v>166</v>
      </c>
      <c r="D40" s="54">
        <v>44961</v>
      </c>
      <c r="E40" s="45" t="s">
        <v>86</v>
      </c>
      <c r="F40" s="44" t="s">
        <v>39</v>
      </c>
      <c r="G40" s="44">
        <v>17</v>
      </c>
      <c r="H40" s="44">
        <v>0</v>
      </c>
      <c r="I40" s="44">
        <v>0</v>
      </c>
      <c r="J40" s="44">
        <v>0</v>
      </c>
      <c r="K40" s="44">
        <v>22.5</v>
      </c>
      <c r="L40" s="50">
        <f>SUM(G40:K40)</f>
        <v>39.5</v>
      </c>
      <c r="M40" s="48">
        <f t="shared" si="3"/>
        <v>0</v>
      </c>
      <c r="N40" s="48">
        <f t="shared" si="4"/>
        <v>418.43000000000029</v>
      </c>
      <c r="Q40" s="49">
        <f t="shared" si="5"/>
        <v>0</v>
      </c>
      <c r="R40" s="50"/>
      <c r="T40" s="50">
        <f t="shared" si="6"/>
        <v>0</v>
      </c>
      <c r="X40" s="44" t="s">
        <v>81</v>
      </c>
      <c r="Y40" s="44" t="s">
        <v>167</v>
      </c>
      <c r="Z40" s="50">
        <v>310.47000000000003</v>
      </c>
      <c r="AA40" s="50">
        <v>7325.57</v>
      </c>
      <c r="AB40" s="50">
        <v>7744</v>
      </c>
      <c r="AC40" s="47">
        <f>613*14.22</f>
        <v>8716.86</v>
      </c>
      <c r="AD40" s="44">
        <v>173.92</v>
      </c>
      <c r="AE40" s="47" t="s">
        <v>102</v>
      </c>
      <c r="AG40" s="44">
        <v>4</v>
      </c>
      <c r="AH40" s="44">
        <v>13</v>
      </c>
      <c r="AI40" s="44">
        <f t="shared" si="16"/>
        <v>418.43000000000029</v>
      </c>
      <c r="AJ40" s="44">
        <v>84</v>
      </c>
      <c r="AK40" s="44">
        <v>84</v>
      </c>
      <c r="AL40" s="44" t="s">
        <v>37</v>
      </c>
      <c r="AM40" s="55" t="s">
        <v>44</v>
      </c>
      <c r="AN40" s="52" t="s">
        <v>176</v>
      </c>
      <c r="AO40" s="52" t="s">
        <v>176</v>
      </c>
      <c r="AP40" s="52" t="s">
        <v>176</v>
      </c>
      <c r="AQ40" s="52" t="s">
        <v>87</v>
      </c>
      <c r="AR40" s="44">
        <v>17</v>
      </c>
      <c r="AS40" s="44">
        <v>0</v>
      </c>
      <c r="AT40" s="44">
        <v>0</v>
      </c>
      <c r="AU40" s="44">
        <v>0</v>
      </c>
      <c r="AV40" s="44">
        <v>22.5</v>
      </c>
      <c r="AW40" s="50">
        <f>SUM(AR40:AV40)</f>
        <v>39.5</v>
      </c>
      <c r="AX40" s="44">
        <v>0</v>
      </c>
      <c r="AY40" s="53">
        <f t="shared" si="10"/>
        <v>0</v>
      </c>
      <c r="AZ40" s="53">
        <f>AS40/AK40</f>
        <v>0</v>
      </c>
      <c r="BA40" s="51">
        <v>4000</v>
      </c>
      <c r="BB40" s="44">
        <v>1</v>
      </c>
    </row>
    <row r="41" spans="1:55" s="44" customFormat="1" x14ac:dyDescent="0.55000000000000004">
      <c r="A41" s="44">
        <v>38</v>
      </c>
      <c r="B41" s="44" t="s">
        <v>206</v>
      </c>
      <c r="C41" s="44" t="s">
        <v>166</v>
      </c>
      <c r="D41" s="54">
        <v>44962</v>
      </c>
      <c r="E41" s="45" t="s">
        <v>86</v>
      </c>
      <c r="F41" s="44" t="s">
        <v>39</v>
      </c>
      <c r="G41" s="44">
        <v>7</v>
      </c>
      <c r="H41" s="44">
        <v>10</v>
      </c>
      <c r="I41" s="44">
        <v>0</v>
      </c>
      <c r="J41" s="44">
        <v>0</v>
      </c>
      <c r="K41" s="44">
        <v>17</v>
      </c>
      <c r="L41" s="50">
        <f>SUM(G41:K41)</f>
        <v>34</v>
      </c>
      <c r="M41" s="48">
        <f t="shared" si="3"/>
        <v>10</v>
      </c>
      <c r="N41" s="48">
        <f t="shared" si="4"/>
        <v>418.43000000000029</v>
      </c>
      <c r="Q41" s="49">
        <f t="shared" si="5"/>
        <v>0</v>
      </c>
      <c r="R41" s="50"/>
      <c r="T41" s="50">
        <f t="shared" si="6"/>
        <v>0</v>
      </c>
      <c r="X41" s="44" t="s">
        <v>81</v>
      </c>
      <c r="Y41" s="44" t="s">
        <v>167</v>
      </c>
      <c r="Z41" s="50">
        <v>310.47000000000003</v>
      </c>
      <c r="AA41" s="50">
        <v>7325.57</v>
      </c>
      <c r="AB41" s="50">
        <v>7744</v>
      </c>
      <c r="AC41" s="47">
        <v>8717</v>
      </c>
      <c r="AD41" s="44">
        <v>173.92</v>
      </c>
      <c r="AE41" s="47" t="s">
        <v>102</v>
      </c>
      <c r="AG41" s="44">
        <v>4</v>
      </c>
      <c r="AH41" s="44">
        <v>13</v>
      </c>
      <c r="AI41" s="44">
        <f t="shared" si="16"/>
        <v>418.43000000000029</v>
      </c>
      <c r="AJ41" s="44">
        <v>84</v>
      </c>
      <c r="AK41" s="44">
        <v>84</v>
      </c>
      <c r="AL41" s="44" t="s">
        <v>37</v>
      </c>
      <c r="AM41" s="55" t="s">
        <v>44</v>
      </c>
      <c r="AN41" s="52" t="s">
        <v>165</v>
      </c>
      <c r="AO41" s="52" t="s">
        <v>176</v>
      </c>
      <c r="AP41" s="52" t="s">
        <v>176</v>
      </c>
      <c r="AQ41" s="52" t="s">
        <v>87</v>
      </c>
      <c r="AR41" s="44">
        <v>7</v>
      </c>
      <c r="AS41" s="44">
        <v>10</v>
      </c>
      <c r="AT41" s="44">
        <v>0</v>
      </c>
      <c r="AU41" s="44">
        <v>0</v>
      </c>
      <c r="AV41" s="44">
        <v>17</v>
      </c>
      <c r="AW41" s="50">
        <f>SUM(AR41:AV41)</f>
        <v>34</v>
      </c>
      <c r="AX41" s="44">
        <v>0</v>
      </c>
      <c r="AY41" s="53">
        <f t="shared" si="10"/>
        <v>2.3898860024376821E-2</v>
      </c>
      <c r="AZ41" s="53">
        <f t="shared" ref="AZ41" si="20">AS41/AK41</f>
        <v>0.11904761904761904</v>
      </c>
      <c r="BA41" s="47"/>
    </row>
    <row r="42" spans="1:55" ht="34.200000000000003" x14ac:dyDescent="0.55000000000000004">
      <c r="A42" s="2">
        <v>39</v>
      </c>
      <c r="B42" s="2" t="s">
        <v>193</v>
      </c>
      <c r="C42" s="2" t="s">
        <v>33</v>
      </c>
      <c r="D42" s="4">
        <v>44965</v>
      </c>
      <c r="E42" s="4" t="s">
        <v>105</v>
      </c>
      <c r="F42" s="2" t="s">
        <v>39</v>
      </c>
      <c r="G42" s="5">
        <v>26</v>
      </c>
      <c r="H42" s="5">
        <v>78</v>
      </c>
      <c r="I42" s="5">
        <v>0</v>
      </c>
      <c r="J42" s="5">
        <v>18</v>
      </c>
      <c r="K42" s="21">
        <v>22600</v>
      </c>
      <c r="L42" s="5">
        <f>SUM(G42:J42)</f>
        <v>122</v>
      </c>
      <c r="M42" s="18">
        <f t="shared" si="3"/>
        <v>78</v>
      </c>
      <c r="N42" s="18">
        <f t="shared" si="4"/>
        <v>593</v>
      </c>
      <c r="Q42" s="22">
        <f t="shared" si="5"/>
        <v>0</v>
      </c>
      <c r="R42" s="5"/>
      <c r="T42" s="5">
        <f t="shared" si="6"/>
        <v>0</v>
      </c>
      <c r="X42" s="2" t="s">
        <v>81</v>
      </c>
      <c r="Y42" s="2" t="s">
        <v>160</v>
      </c>
      <c r="Z42" s="5">
        <v>2121.1799999999998</v>
      </c>
      <c r="AA42" s="5">
        <v>7374</v>
      </c>
      <c r="AB42" s="5">
        <v>7967</v>
      </c>
      <c r="AC42" s="6">
        <v>8703</v>
      </c>
      <c r="AD42" s="2">
        <v>179</v>
      </c>
      <c r="AE42" s="6" t="s">
        <v>102</v>
      </c>
      <c r="AF42" s="2">
        <v>40.22</v>
      </c>
      <c r="AG42" s="2">
        <v>4.0999999999999996</v>
      </c>
      <c r="AH42" s="2">
        <v>13</v>
      </c>
      <c r="AI42" s="5">
        <f>473+120</f>
        <v>593</v>
      </c>
      <c r="AJ42" s="7"/>
      <c r="AK42" s="5">
        <v>132</v>
      </c>
      <c r="AL42" s="2" t="s">
        <v>104</v>
      </c>
      <c r="AM42" s="3" t="s">
        <v>48</v>
      </c>
      <c r="AN42" s="3" t="s">
        <v>62</v>
      </c>
      <c r="AO42" s="3" t="s">
        <v>176</v>
      </c>
      <c r="AP42" s="3" t="s">
        <v>50</v>
      </c>
      <c r="AQ42" s="3" t="s">
        <v>52</v>
      </c>
      <c r="AR42" s="5">
        <v>26</v>
      </c>
      <c r="AS42" s="5">
        <v>78</v>
      </c>
      <c r="AT42" s="5">
        <v>0</v>
      </c>
      <c r="AU42" s="5">
        <v>18</v>
      </c>
      <c r="AV42" s="21">
        <v>22600</v>
      </c>
      <c r="AW42" s="5">
        <f>SUM(AR42:AU42)</f>
        <v>122</v>
      </c>
      <c r="AX42" s="21">
        <v>23500</v>
      </c>
      <c r="AY42" s="11">
        <f t="shared" si="10"/>
        <v>0.13153456998313659</v>
      </c>
      <c r="AZ42" s="11">
        <f>AS42/AK42</f>
        <v>0.59090909090909094</v>
      </c>
      <c r="BA42" s="6">
        <v>3547</v>
      </c>
      <c r="BB42" s="2">
        <v>8</v>
      </c>
      <c r="BC42" s="6">
        <v>2846</v>
      </c>
    </row>
    <row r="43" spans="1:55" s="44" customFormat="1" x14ac:dyDescent="0.55000000000000004">
      <c r="A43" s="44">
        <v>40</v>
      </c>
      <c r="B43" s="44" t="s">
        <v>204</v>
      </c>
      <c r="C43" s="44" t="s">
        <v>147</v>
      </c>
      <c r="D43" s="54">
        <v>44970</v>
      </c>
      <c r="E43" s="45" t="s">
        <v>86</v>
      </c>
      <c r="F43" s="44" t="s">
        <v>38</v>
      </c>
      <c r="G43" s="56">
        <v>3</v>
      </c>
      <c r="H43" s="56">
        <v>10</v>
      </c>
      <c r="I43" s="50">
        <v>0</v>
      </c>
      <c r="J43" s="50">
        <v>0</v>
      </c>
      <c r="K43" s="50">
        <v>13</v>
      </c>
      <c r="L43" s="50">
        <f>SUM(G43:K43)</f>
        <v>26</v>
      </c>
      <c r="M43" s="48">
        <f t="shared" si="3"/>
        <v>10</v>
      </c>
      <c r="N43" s="48">
        <f t="shared" si="4"/>
        <v>672.23999999999978</v>
      </c>
      <c r="Q43" s="49">
        <f t="shared" si="5"/>
        <v>0</v>
      </c>
      <c r="R43" s="50"/>
      <c r="T43" s="50">
        <f t="shared" si="6"/>
        <v>0</v>
      </c>
      <c r="X43" s="44" t="s">
        <v>148</v>
      </c>
      <c r="Y43" s="45" t="s">
        <v>149</v>
      </c>
      <c r="Z43" s="47">
        <v>61.4</v>
      </c>
      <c r="AA43" s="50">
        <v>7517.76</v>
      </c>
      <c r="AB43" s="47">
        <v>8190</v>
      </c>
      <c r="AC43" s="47">
        <v>8646</v>
      </c>
      <c r="AD43" s="44">
        <v>181</v>
      </c>
      <c r="AE43" s="47" t="s">
        <v>102</v>
      </c>
      <c r="AG43" s="44" t="s">
        <v>153</v>
      </c>
      <c r="AH43" s="44">
        <v>13</v>
      </c>
      <c r="AI43" s="50">
        <f t="shared" ref="AI43:AI58" si="21">AB43-AA43</f>
        <v>672.23999999999978</v>
      </c>
      <c r="AJ43" s="50"/>
      <c r="AK43" s="47">
        <v>156</v>
      </c>
      <c r="AL43" s="44" t="s">
        <v>37</v>
      </c>
      <c r="AM43" s="52" t="s">
        <v>83</v>
      </c>
      <c r="AN43" s="52" t="s">
        <v>71</v>
      </c>
      <c r="AO43" s="52" t="s">
        <v>176</v>
      </c>
      <c r="AP43" s="52" t="s">
        <v>176</v>
      </c>
      <c r="AQ43" s="52" t="s">
        <v>152</v>
      </c>
      <c r="AR43" s="56">
        <v>3</v>
      </c>
      <c r="AS43" s="56">
        <v>10</v>
      </c>
      <c r="AT43" s="50">
        <v>0</v>
      </c>
      <c r="AU43" s="50">
        <v>0</v>
      </c>
      <c r="AV43" s="50">
        <v>13</v>
      </c>
      <c r="AW43" s="50">
        <f>SUM(AR43:AV43)</f>
        <v>26</v>
      </c>
      <c r="AX43" s="50">
        <v>0</v>
      </c>
      <c r="AY43" s="53">
        <f t="shared" si="10"/>
        <v>1.4875639652505063E-2</v>
      </c>
      <c r="AZ43" s="53">
        <f t="shared" ref="AZ43:AZ44" si="22">AS43/AK43</f>
        <v>6.4102564102564097E-2</v>
      </c>
      <c r="BA43" s="47"/>
    </row>
    <row r="44" spans="1:55" s="44" customFormat="1" ht="22.8" x14ac:dyDescent="0.55000000000000004">
      <c r="A44" s="44">
        <v>41</v>
      </c>
      <c r="B44" s="44" t="s">
        <v>204</v>
      </c>
      <c r="C44" s="44" t="s">
        <v>147</v>
      </c>
      <c r="D44" s="45">
        <v>44986</v>
      </c>
      <c r="E44" s="45" t="s">
        <v>86</v>
      </c>
      <c r="F44" s="44" t="s">
        <v>38</v>
      </c>
      <c r="G44" s="50">
        <v>0</v>
      </c>
      <c r="H44" s="50">
        <v>0</v>
      </c>
      <c r="I44" s="50">
        <v>0</v>
      </c>
      <c r="J44" s="50">
        <v>0</v>
      </c>
      <c r="K44" s="50">
        <v>9.5299999999999994</v>
      </c>
      <c r="L44" s="50">
        <f>SUM(G44:K44)</f>
        <v>9.5299999999999994</v>
      </c>
      <c r="M44" s="48">
        <f t="shared" si="3"/>
        <v>0</v>
      </c>
      <c r="N44" s="48">
        <f t="shared" si="4"/>
        <v>672.23999999999978</v>
      </c>
      <c r="Q44" s="49">
        <f t="shared" si="5"/>
        <v>0</v>
      </c>
      <c r="R44" s="50"/>
      <c r="T44" s="50">
        <f t="shared" si="6"/>
        <v>0</v>
      </c>
      <c r="X44" s="44" t="s">
        <v>148</v>
      </c>
      <c r="Y44" s="45" t="s">
        <v>149</v>
      </c>
      <c r="Z44" s="47">
        <v>61.4</v>
      </c>
      <c r="AA44" s="50">
        <v>7517.76</v>
      </c>
      <c r="AB44" s="47">
        <v>8190</v>
      </c>
      <c r="AC44" s="47">
        <v>8646</v>
      </c>
      <c r="AD44" s="44">
        <v>181</v>
      </c>
      <c r="AE44" s="47" t="s">
        <v>102</v>
      </c>
      <c r="AG44" s="44" t="s">
        <v>153</v>
      </c>
      <c r="AH44" s="44">
        <v>13</v>
      </c>
      <c r="AI44" s="50">
        <f t="shared" si="21"/>
        <v>672.23999999999978</v>
      </c>
      <c r="AJ44" s="50"/>
      <c r="AK44" s="47">
        <v>156</v>
      </c>
      <c r="AL44" s="44" t="s">
        <v>37</v>
      </c>
      <c r="AM44" s="52" t="s">
        <v>176</v>
      </c>
      <c r="AN44" s="52" t="s">
        <v>176</v>
      </c>
      <c r="AO44" s="52" t="s">
        <v>176</v>
      </c>
      <c r="AP44" s="52" t="s">
        <v>176</v>
      </c>
      <c r="AQ44" s="52" t="s">
        <v>150</v>
      </c>
      <c r="AR44" s="50">
        <v>0</v>
      </c>
      <c r="AS44" s="50">
        <v>0</v>
      </c>
      <c r="AT44" s="50">
        <v>0</v>
      </c>
      <c r="AU44" s="50">
        <v>0</v>
      </c>
      <c r="AV44" s="50">
        <v>9.5299999999999994</v>
      </c>
      <c r="AW44" s="50">
        <f>SUM(AR44:AV44)</f>
        <v>9.5299999999999994</v>
      </c>
      <c r="AX44" s="50">
        <v>0</v>
      </c>
      <c r="AY44" s="53">
        <f t="shared" si="10"/>
        <v>0</v>
      </c>
      <c r="AZ44" s="53">
        <f t="shared" si="22"/>
        <v>0</v>
      </c>
      <c r="BA44" s="47">
        <v>4760</v>
      </c>
      <c r="BB44" s="44">
        <v>1.5</v>
      </c>
      <c r="BC44" s="44" t="s">
        <v>151</v>
      </c>
    </row>
    <row r="45" spans="1:55" ht="22.8" x14ac:dyDescent="0.55000000000000004">
      <c r="A45" s="2">
        <v>42</v>
      </c>
      <c r="B45" s="2" t="s">
        <v>201</v>
      </c>
      <c r="C45" s="2" t="s">
        <v>157</v>
      </c>
      <c r="D45" s="23">
        <v>44994</v>
      </c>
      <c r="E45" s="4" t="s">
        <v>105</v>
      </c>
      <c r="F45" s="2" t="s">
        <v>38</v>
      </c>
      <c r="G45" s="21">
        <v>21</v>
      </c>
      <c r="H45" s="21">
        <v>87</v>
      </c>
      <c r="I45" s="21">
        <v>0</v>
      </c>
      <c r="J45" s="21">
        <v>20</v>
      </c>
      <c r="K45" s="21">
        <v>18512</v>
      </c>
      <c r="L45" s="5"/>
      <c r="M45" s="18">
        <f t="shared" si="3"/>
        <v>87</v>
      </c>
      <c r="N45" s="18">
        <f t="shared" si="4"/>
        <v>500</v>
      </c>
      <c r="Q45" s="22">
        <f t="shared" si="5"/>
        <v>0</v>
      </c>
      <c r="R45" s="5"/>
      <c r="T45" s="5">
        <f t="shared" si="6"/>
        <v>0</v>
      </c>
      <c r="X45" s="2" t="s">
        <v>81</v>
      </c>
      <c r="Y45" s="2" t="s">
        <v>61</v>
      </c>
      <c r="Z45" s="5">
        <v>942.29</v>
      </c>
      <c r="AA45" s="5">
        <v>6820</v>
      </c>
      <c r="AB45" s="5">
        <v>7320</v>
      </c>
      <c r="AC45" s="6">
        <v>7735</v>
      </c>
      <c r="AD45" s="2">
        <v>176</v>
      </c>
      <c r="AE45" s="6" t="s">
        <v>102</v>
      </c>
      <c r="AF45" s="2">
        <v>40.22</v>
      </c>
      <c r="AG45" s="2" t="s">
        <v>158</v>
      </c>
      <c r="AH45" s="2">
        <v>13</v>
      </c>
      <c r="AI45" s="5">
        <f t="shared" si="21"/>
        <v>500</v>
      </c>
      <c r="AJ45" s="7"/>
      <c r="AK45" s="5">
        <v>135</v>
      </c>
      <c r="AL45" s="2" t="s">
        <v>104</v>
      </c>
      <c r="AM45" s="26" t="s">
        <v>83</v>
      </c>
      <c r="AN45" s="26" t="s">
        <v>109</v>
      </c>
      <c r="AO45" s="26" t="s">
        <v>176</v>
      </c>
      <c r="AP45" s="26" t="s">
        <v>72</v>
      </c>
      <c r="AQ45" s="26" t="s">
        <v>52</v>
      </c>
      <c r="AR45" s="21">
        <v>21</v>
      </c>
      <c r="AS45" s="21">
        <v>87</v>
      </c>
      <c r="AT45" s="21">
        <v>0</v>
      </c>
      <c r="AU45" s="21">
        <v>20</v>
      </c>
      <c r="AV45" s="21">
        <v>18512</v>
      </c>
      <c r="AW45" s="5">
        <f t="shared" ref="AW45" si="23">SUM(AR45:AV45)</f>
        <v>18640</v>
      </c>
      <c r="AX45" s="21">
        <v>31967</v>
      </c>
      <c r="AY45" s="11">
        <f t="shared" si="10"/>
        <v>0.17399999999999999</v>
      </c>
      <c r="AZ45" s="11">
        <f>AS45/AK45</f>
        <v>0.64444444444444449</v>
      </c>
    </row>
    <row r="46" spans="1:55" ht="22.8" x14ac:dyDescent="0.55000000000000004">
      <c r="A46" s="2">
        <v>43</v>
      </c>
      <c r="B46" s="2" t="s">
        <v>228</v>
      </c>
      <c r="C46" s="2" t="s">
        <v>34</v>
      </c>
      <c r="D46" s="4">
        <v>45005</v>
      </c>
      <c r="E46" s="4" t="s">
        <v>105</v>
      </c>
      <c r="F46" s="2" t="s">
        <v>39</v>
      </c>
      <c r="G46" s="5">
        <v>30</v>
      </c>
      <c r="H46" s="5">
        <v>102</v>
      </c>
      <c r="I46" s="5">
        <v>0</v>
      </c>
      <c r="J46" s="5">
        <v>30</v>
      </c>
      <c r="K46" s="22">
        <v>22944.400000000001</v>
      </c>
      <c r="L46" s="5">
        <f>SUM(G46:J46)</f>
        <v>162</v>
      </c>
      <c r="M46" s="18">
        <f t="shared" si="3"/>
        <v>102</v>
      </c>
      <c r="N46" s="18">
        <f t="shared" si="4"/>
        <v>763</v>
      </c>
      <c r="Q46" s="22">
        <f t="shared" si="5"/>
        <v>0</v>
      </c>
      <c r="R46" s="5"/>
      <c r="T46" s="5">
        <f t="shared" si="6"/>
        <v>0</v>
      </c>
      <c r="X46" s="2" t="s">
        <v>148</v>
      </c>
      <c r="Y46" s="2" t="s">
        <v>85</v>
      </c>
      <c r="Z46" s="13">
        <v>221.4</v>
      </c>
      <c r="AA46" s="5">
        <v>7372</v>
      </c>
      <c r="AB46" s="5">
        <v>8135</v>
      </c>
      <c r="AC46" s="6">
        <v>8120</v>
      </c>
      <c r="AD46" s="2">
        <v>185</v>
      </c>
      <c r="AE46" s="6" t="s">
        <v>102</v>
      </c>
      <c r="AF46" s="15"/>
      <c r="AG46" s="2">
        <v>2.83</v>
      </c>
      <c r="AH46" s="2">
        <v>15</v>
      </c>
      <c r="AI46" s="5">
        <f t="shared" si="21"/>
        <v>763</v>
      </c>
      <c r="AJ46" s="5">
        <f>5.1+38+112</f>
        <v>155.1</v>
      </c>
      <c r="AK46" s="5">
        <v>181</v>
      </c>
      <c r="AL46" s="2" t="s">
        <v>104</v>
      </c>
      <c r="AM46" s="3" t="s">
        <v>48</v>
      </c>
      <c r="AN46" s="3" t="s">
        <v>155</v>
      </c>
      <c r="AO46" s="3" t="s">
        <v>176</v>
      </c>
      <c r="AP46" s="3" t="s">
        <v>50</v>
      </c>
      <c r="AQ46" s="3" t="s">
        <v>52</v>
      </c>
      <c r="AR46" s="5">
        <v>30</v>
      </c>
      <c r="AS46" s="5">
        <v>102</v>
      </c>
      <c r="AT46" s="5">
        <v>0</v>
      </c>
      <c r="AU46" s="5">
        <v>30</v>
      </c>
      <c r="AV46" s="22">
        <v>22944.400000000001</v>
      </c>
      <c r="AW46" s="5">
        <f>SUM(AR46:AU46)</f>
        <v>162</v>
      </c>
      <c r="AX46" s="22">
        <f>AV46+1460.85+2000+800+300+1000+1500</f>
        <v>30005.25</v>
      </c>
      <c r="AY46" s="11">
        <f t="shared" si="10"/>
        <v>0.13368283093053734</v>
      </c>
      <c r="AZ46" s="11">
        <f>AS46/AK46</f>
        <v>0.56353591160220995</v>
      </c>
      <c r="BA46" s="6">
        <v>3579</v>
      </c>
      <c r="BB46" s="2">
        <v>10</v>
      </c>
      <c r="BC46" s="6">
        <v>3579</v>
      </c>
    </row>
    <row r="47" spans="1:55" ht="22.8" x14ac:dyDescent="0.55000000000000004">
      <c r="A47" s="2">
        <v>44</v>
      </c>
      <c r="B47" s="2" t="s">
        <v>204</v>
      </c>
      <c r="C47" s="2" t="s">
        <v>147</v>
      </c>
      <c r="D47" s="4">
        <v>45019</v>
      </c>
      <c r="E47" s="4" t="s">
        <v>105</v>
      </c>
      <c r="F47" s="2" t="s">
        <v>38</v>
      </c>
      <c r="G47" s="13">
        <v>28</v>
      </c>
      <c r="H47" s="13">
        <v>80</v>
      </c>
      <c r="I47" s="5">
        <v>28</v>
      </c>
      <c r="J47" s="5">
        <v>22</v>
      </c>
      <c r="K47" s="20">
        <v>25515</v>
      </c>
      <c r="L47" s="5">
        <f>SUM(G47:J47)</f>
        <v>158</v>
      </c>
      <c r="M47" s="18">
        <f t="shared" si="3"/>
        <v>108</v>
      </c>
      <c r="N47" s="18">
        <f t="shared" si="4"/>
        <v>672.23999999999978</v>
      </c>
      <c r="O47" s="39">
        <v>4000</v>
      </c>
      <c r="P47" s="39">
        <v>4510</v>
      </c>
      <c r="Q47" s="22">
        <f t="shared" si="5"/>
        <v>510</v>
      </c>
      <c r="R47" s="40">
        <v>153</v>
      </c>
      <c r="S47" s="40">
        <v>164</v>
      </c>
      <c r="T47" s="5">
        <f t="shared" si="6"/>
        <v>11</v>
      </c>
      <c r="X47" s="2" t="s">
        <v>148</v>
      </c>
      <c r="Y47" s="4" t="s">
        <v>149</v>
      </c>
      <c r="Z47" s="6">
        <v>61.4</v>
      </c>
      <c r="AA47" s="5">
        <v>7517.76</v>
      </c>
      <c r="AB47" s="6">
        <v>8190</v>
      </c>
      <c r="AC47" s="6">
        <v>8646</v>
      </c>
      <c r="AD47" s="2">
        <v>181</v>
      </c>
      <c r="AE47" s="6" t="s">
        <v>102</v>
      </c>
      <c r="AF47" s="15"/>
      <c r="AG47" s="2" t="s">
        <v>153</v>
      </c>
      <c r="AH47" s="2">
        <v>13</v>
      </c>
      <c r="AI47" s="5">
        <f t="shared" si="21"/>
        <v>672.23999999999978</v>
      </c>
      <c r="AJ47" s="7"/>
      <c r="AK47" s="6">
        <v>156</v>
      </c>
      <c r="AL47" s="2" t="s">
        <v>104</v>
      </c>
      <c r="AM47" s="3" t="s">
        <v>83</v>
      </c>
      <c r="AN47" s="3" t="s">
        <v>154</v>
      </c>
      <c r="AO47" s="3" t="s">
        <v>70</v>
      </c>
      <c r="AP47" s="3" t="s">
        <v>72</v>
      </c>
      <c r="AQ47" s="3" t="s">
        <v>52</v>
      </c>
      <c r="AR47" s="13">
        <v>28</v>
      </c>
      <c r="AS47" s="13">
        <v>80</v>
      </c>
      <c r="AT47" s="5">
        <v>28</v>
      </c>
      <c r="AU47" s="5">
        <v>22</v>
      </c>
      <c r="AV47" s="20">
        <v>25515</v>
      </c>
      <c r="AW47" s="5">
        <f>SUM(AR47:AU47)</f>
        <v>158</v>
      </c>
      <c r="AX47" s="22">
        <v>42259</v>
      </c>
      <c r="AY47" s="11">
        <f t="shared" si="10"/>
        <v>0.11900511722004051</v>
      </c>
      <c r="AZ47" s="11">
        <f>AS47/AK47</f>
        <v>0.51282051282051277</v>
      </c>
      <c r="BA47" s="6">
        <v>4490</v>
      </c>
      <c r="BB47" s="2">
        <v>12</v>
      </c>
      <c r="BC47" s="6">
        <v>4595</v>
      </c>
    </row>
    <row r="48" spans="1:55" ht="22.8" x14ac:dyDescent="0.55000000000000004">
      <c r="A48" s="2">
        <v>45</v>
      </c>
      <c r="B48" s="2" t="s">
        <v>229</v>
      </c>
      <c r="C48" s="2" t="s">
        <v>35</v>
      </c>
      <c r="D48" s="4">
        <v>45032</v>
      </c>
      <c r="E48" s="4" t="s">
        <v>105</v>
      </c>
      <c r="F48" s="2" t="s">
        <v>39</v>
      </c>
      <c r="G48" s="5">
        <f>9+4+3+3+3</f>
        <v>22</v>
      </c>
      <c r="H48" s="5">
        <f>8+10+8+15+15+8+12+10</f>
        <v>86</v>
      </c>
      <c r="I48" s="5">
        <v>0</v>
      </c>
      <c r="J48" s="5">
        <f>4+4+4</f>
        <v>12</v>
      </c>
      <c r="K48" s="20">
        <v>24045</v>
      </c>
      <c r="L48" s="5">
        <f t="shared" ref="L48" si="24">SUM(G48:J48)</f>
        <v>120</v>
      </c>
      <c r="M48" s="18">
        <f t="shared" si="3"/>
        <v>86</v>
      </c>
      <c r="N48" s="18">
        <f t="shared" si="4"/>
        <v>506</v>
      </c>
      <c r="O48" s="41">
        <v>3200</v>
      </c>
      <c r="P48" s="41">
        <v>3400</v>
      </c>
      <c r="Q48" s="22">
        <f t="shared" si="5"/>
        <v>200</v>
      </c>
      <c r="R48" s="42">
        <v>252</v>
      </c>
      <c r="S48" s="42">
        <v>268</v>
      </c>
      <c r="T48" s="5">
        <f t="shared" si="6"/>
        <v>16</v>
      </c>
      <c r="X48" s="2" t="s">
        <v>81</v>
      </c>
      <c r="Y48" s="2" t="s">
        <v>85</v>
      </c>
      <c r="Z48" s="6">
        <v>1240</v>
      </c>
      <c r="AA48" s="6">
        <v>7374</v>
      </c>
      <c r="AB48" s="6">
        <v>7880</v>
      </c>
      <c r="AC48" s="6">
        <v>7992</v>
      </c>
      <c r="AD48" s="2">
        <v>173.9</v>
      </c>
      <c r="AE48" s="6" t="s">
        <v>102</v>
      </c>
      <c r="AF48" s="15"/>
      <c r="AG48" s="2">
        <v>3.8</v>
      </c>
      <c r="AH48" s="2" t="s">
        <v>146</v>
      </c>
      <c r="AI48" s="5">
        <f t="shared" si="21"/>
        <v>506</v>
      </c>
      <c r="AJ48" s="7"/>
      <c r="AK48" s="5">
        <v>146</v>
      </c>
      <c r="AL48" s="2" t="s">
        <v>104</v>
      </c>
      <c r="AM48" s="3" t="s">
        <v>48</v>
      </c>
      <c r="AN48" s="3" t="s">
        <v>78</v>
      </c>
      <c r="AO48" s="3" t="s">
        <v>176</v>
      </c>
      <c r="AP48" s="3" t="s">
        <v>77</v>
      </c>
      <c r="AQ48" s="3" t="s">
        <v>52</v>
      </c>
      <c r="AR48" s="5">
        <f>9+4+3+3+3</f>
        <v>22</v>
      </c>
      <c r="AS48" s="5">
        <f>8+10+8+15+15+8+12+10</f>
        <v>86</v>
      </c>
      <c r="AT48" s="5">
        <v>0</v>
      </c>
      <c r="AU48" s="5">
        <f>4+4+4</f>
        <v>12</v>
      </c>
      <c r="AV48" s="20">
        <v>24045</v>
      </c>
      <c r="AW48" s="5">
        <f t="shared" si="18"/>
        <v>120</v>
      </c>
      <c r="AX48" s="20">
        <v>40271</v>
      </c>
      <c r="AY48" s="11">
        <f t="shared" si="10"/>
        <v>0.16996047430830039</v>
      </c>
      <c r="AZ48" s="11">
        <f>AS48/AK48</f>
        <v>0.58904109589041098</v>
      </c>
    </row>
    <row r="49" spans="1:55" ht="22.8" x14ac:dyDescent="0.55000000000000004">
      <c r="A49" s="2">
        <v>46</v>
      </c>
      <c r="B49" s="2" t="s">
        <v>230</v>
      </c>
      <c r="C49" s="2" t="s">
        <v>134</v>
      </c>
      <c r="D49" s="4">
        <v>45089</v>
      </c>
      <c r="E49" s="4" t="s">
        <v>105</v>
      </c>
      <c r="F49" s="2" t="s">
        <v>39</v>
      </c>
      <c r="G49" s="2">
        <f>10+3+2+3+8+3</f>
        <v>29</v>
      </c>
      <c r="H49" s="2">
        <f>8+8+6+12+15+15+12+8</f>
        <v>84</v>
      </c>
      <c r="I49" s="11">
        <v>0</v>
      </c>
      <c r="J49" s="2">
        <f>5+4+4</f>
        <v>13</v>
      </c>
      <c r="K49" s="6">
        <v>14419</v>
      </c>
      <c r="L49" s="5">
        <f>SUM(G49:J49)</f>
        <v>126</v>
      </c>
      <c r="M49" s="18">
        <f t="shared" si="3"/>
        <v>84</v>
      </c>
      <c r="N49" s="18">
        <f t="shared" si="4"/>
        <v>484</v>
      </c>
      <c r="Q49" s="22">
        <f t="shared" si="5"/>
        <v>0</v>
      </c>
      <c r="R49" s="5"/>
      <c r="T49" s="5">
        <f t="shared" si="6"/>
        <v>0</v>
      </c>
      <c r="X49" s="2" t="s">
        <v>81</v>
      </c>
      <c r="Y49" s="2" t="s">
        <v>85</v>
      </c>
      <c r="Z49" s="6">
        <v>1105</v>
      </c>
      <c r="AA49" s="6">
        <v>6230</v>
      </c>
      <c r="AB49" s="6">
        <v>6714</v>
      </c>
      <c r="AC49" s="6">
        <v>6925</v>
      </c>
      <c r="AD49" s="2">
        <v>173</v>
      </c>
      <c r="AE49" s="6" t="s">
        <v>102</v>
      </c>
      <c r="AF49" s="2">
        <v>38.700000000000003</v>
      </c>
      <c r="AG49" s="2">
        <v>2.9</v>
      </c>
      <c r="AH49" s="2">
        <v>33</v>
      </c>
      <c r="AI49" s="6">
        <f t="shared" si="21"/>
        <v>484</v>
      </c>
      <c r="AJ49" s="15"/>
      <c r="AK49" s="2">
        <v>156</v>
      </c>
      <c r="AL49" s="2" t="s">
        <v>104</v>
      </c>
      <c r="AM49" s="3" t="s">
        <v>48</v>
      </c>
      <c r="AN49" s="3" t="s">
        <v>78</v>
      </c>
      <c r="AO49" s="3" t="s">
        <v>176</v>
      </c>
      <c r="AP49" s="3" t="s">
        <v>50</v>
      </c>
      <c r="AQ49" s="3" t="s">
        <v>52</v>
      </c>
      <c r="AR49" s="2">
        <f>10+3+2+3+8+3</f>
        <v>29</v>
      </c>
      <c r="AS49" s="2">
        <f>8+8+6+12+15+15+12+8</f>
        <v>84</v>
      </c>
      <c r="AT49" s="11">
        <v>0</v>
      </c>
      <c r="AU49" s="2">
        <f>5+4+4</f>
        <v>13</v>
      </c>
      <c r="AV49" s="6">
        <v>14419</v>
      </c>
      <c r="AW49" s="5">
        <f>SUM(AR49:AU49)</f>
        <v>126</v>
      </c>
      <c r="AX49" s="6">
        <f>27796+AV49</f>
        <v>42215</v>
      </c>
      <c r="AY49" s="11">
        <f>AS49/AI49</f>
        <v>0.17355371900826447</v>
      </c>
      <c r="AZ49" s="11">
        <f>AS49/AK49</f>
        <v>0.53846153846153844</v>
      </c>
    </row>
    <row r="50" spans="1:55" s="44" customFormat="1" ht="22.8" x14ac:dyDescent="0.55000000000000004">
      <c r="A50" s="44">
        <v>47</v>
      </c>
      <c r="B50" s="57" t="s">
        <v>231</v>
      </c>
      <c r="C50" s="57" t="s">
        <v>170</v>
      </c>
      <c r="D50" s="54">
        <v>45122</v>
      </c>
      <c r="E50" s="58" t="s">
        <v>86</v>
      </c>
      <c r="F50" s="57" t="s">
        <v>38</v>
      </c>
      <c r="G50" s="44">
        <v>11</v>
      </c>
      <c r="H50" s="44">
        <f>16.7+25</f>
        <v>41.7</v>
      </c>
      <c r="I50" s="44">
        <v>0</v>
      </c>
      <c r="J50" s="44">
        <v>6</v>
      </c>
      <c r="K50" s="44">
        <v>0</v>
      </c>
      <c r="L50" s="50">
        <f>SUM(G50:K50)</f>
        <v>58.7</v>
      </c>
      <c r="M50" s="48">
        <f t="shared" si="3"/>
        <v>41.7</v>
      </c>
      <c r="N50" s="48">
        <f t="shared" si="4"/>
        <v>617</v>
      </c>
      <c r="O50" s="59">
        <v>3800</v>
      </c>
      <c r="P50" s="59">
        <v>4300</v>
      </c>
      <c r="Q50" s="49">
        <f t="shared" si="5"/>
        <v>500</v>
      </c>
      <c r="R50" s="60">
        <v>163</v>
      </c>
      <c r="S50" s="60">
        <v>180</v>
      </c>
      <c r="T50" s="50">
        <f t="shared" si="6"/>
        <v>17</v>
      </c>
      <c r="U50" s="57"/>
      <c r="V50" s="57"/>
      <c r="W50" s="57"/>
      <c r="X50" s="57" t="s">
        <v>148</v>
      </c>
      <c r="Y50" s="57" t="s">
        <v>61</v>
      </c>
      <c r="Z50" s="48">
        <v>456.7</v>
      </c>
      <c r="AA50" s="48">
        <v>7310</v>
      </c>
      <c r="AB50" s="48">
        <v>7927</v>
      </c>
      <c r="AC50" s="49">
        <v>8717</v>
      </c>
      <c r="AD50" s="44">
        <v>173.92</v>
      </c>
      <c r="AE50" s="47" t="s">
        <v>102</v>
      </c>
      <c r="AG50" s="44">
        <v>3.58</v>
      </c>
      <c r="AH50" s="44">
        <v>13</v>
      </c>
      <c r="AI50" s="44">
        <f t="shared" si="21"/>
        <v>617</v>
      </c>
      <c r="AJ50" s="44">
        <f>21.14+120.69+112.48</f>
        <v>254.31</v>
      </c>
      <c r="AK50" s="44">
        <v>255.5</v>
      </c>
      <c r="AL50" s="44" t="s">
        <v>37</v>
      </c>
      <c r="AM50" s="52" t="s">
        <v>83</v>
      </c>
      <c r="AN50" s="52" t="s">
        <v>109</v>
      </c>
      <c r="AO50" s="52" t="s">
        <v>176</v>
      </c>
      <c r="AP50" s="52" t="s">
        <v>72</v>
      </c>
      <c r="AQ50" s="52" t="s">
        <v>176</v>
      </c>
      <c r="AR50" s="44">
        <v>11</v>
      </c>
      <c r="AS50" s="44">
        <f>16.7+25</f>
        <v>41.7</v>
      </c>
      <c r="AT50" s="44">
        <v>0</v>
      </c>
      <c r="AU50" s="44">
        <v>6</v>
      </c>
      <c r="AV50" s="44">
        <v>0</v>
      </c>
      <c r="AW50" s="50">
        <f>SUM(AR50:AV50)</f>
        <v>58.7</v>
      </c>
      <c r="AX50" s="44">
        <v>0</v>
      </c>
      <c r="AY50" s="53">
        <f t="shared" ref="AY50:AY58" si="25">AS50/AI50</f>
        <v>6.7585089141004862E-2</v>
      </c>
      <c r="AZ50" s="53">
        <f t="shared" ref="AZ50:AZ58" si="26">AS50/AK50</f>
        <v>0.16320939334637966</v>
      </c>
      <c r="BA50" s="51">
        <v>9600</v>
      </c>
      <c r="BB50" s="44">
        <v>8</v>
      </c>
    </row>
    <row r="51" spans="1:55" s="44" customFormat="1" x14ac:dyDescent="0.55000000000000004">
      <c r="A51" s="44">
        <v>48</v>
      </c>
      <c r="B51" s="57" t="s">
        <v>206</v>
      </c>
      <c r="C51" s="57" t="s">
        <v>166</v>
      </c>
      <c r="D51" s="58">
        <v>45129</v>
      </c>
      <c r="E51" s="45" t="s">
        <v>86</v>
      </c>
      <c r="F51" s="44" t="s">
        <v>38</v>
      </c>
      <c r="G51" s="44">
        <f>3+2</f>
        <v>5</v>
      </c>
      <c r="H51" s="44">
        <f>5+2</f>
        <v>7</v>
      </c>
      <c r="I51" s="44">
        <v>0</v>
      </c>
      <c r="J51" s="44">
        <v>0</v>
      </c>
      <c r="K51" s="44">
        <v>6</v>
      </c>
      <c r="L51" s="50">
        <f>SUM(G51:K51)</f>
        <v>18</v>
      </c>
      <c r="M51" s="48">
        <f t="shared" si="3"/>
        <v>7</v>
      </c>
      <c r="N51" s="48">
        <f t="shared" si="4"/>
        <v>617</v>
      </c>
      <c r="Q51" s="49">
        <f t="shared" si="5"/>
        <v>0</v>
      </c>
      <c r="R51" s="50"/>
      <c r="S51" s="50"/>
      <c r="T51" s="50">
        <f t="shared" si="6"/>
        <v>0</v>
      </c>
      <c r="X51" s="57" t="s">
        <v>148</v>
      </c>
      <c r="Y51" s="57" t="s">
        <v>61</v>
      </c>
      <c r="Z51" s="48">
        <v>456.7</v>
      </c>
      <c r="AA51" s="48">
        <v>7310</v>
      </c>
      <c r="AB51" s="48">
        <v>7927</v>
      </c>
      <c r="AC51" s="47">
        <v>8717</v>
      </c>
      <c r="AD51" s="44">
        <v>173.92</v>
      </c>
      <c r="AE51" s="47" t="s">
        <v>102</v>
      </c>
      <c r="AG51" s="44">
        <v>4</v>
      </c>
      <c r="AH51" s="44">
        <v>13</v>
      </c>
      <c r="AI51" s="50">
        <f>AB51-AA51</f>
        <v>617</v>
      </c>
      <c r="AJ51" s="44">
        <f>21.14+120.69+112.48</f>
        <v>254.31</v>
      </c>
      <c r="AK51" s="44">
        <v>255.5</v>
      </c>
      <c r="AL51" s="44" t="s">
        <v>37</v>
      </c>
      <c r="AM51" s="52" t="s">
        <v>83</v>
      </c>
      <c r="AN51" s="52" t="s">
        <v>71</v>
      </c>
      <c r="AO51" s="52" t="s">
        <v>176</v>
      </c>
      <c r="AP51" s="52" t="s">
        <v>176</v>
      </c>
      <c r="AQ51" s="52" t="s">
        <v>87</v>
      </c>
      <c r="AR51" s="44">
        <f>3+2</f>
        <v>5</v>
      </c>
      <c r="AS51" s="44">
        <f>5+2</f>
        <v>7</v>
      </c>
      <c r="AT51" s="44">
        <v>0</v>
      </c>
      <c r="AU51" s="44">
        <v>0</v>
      </c>
      <c r="AV51" s="44">
        <v>6</v>
      </c>
      <c r="AW51" s="50">
        <f>SUM(AR51:AV51)</f>
        <v>18</v>
      </c>
      <c r="AX51" s="44">
        <v>0</v>
      </c>
      <c r="AY51" s="53">
        <f t="shared" si="25"/>
        <v>1.1345218800648298E-2</v>
      </c>
      <c r="AZ51" s="53">
        <f t="shared" si="26"/>
        <v>2.7397260273972601E-2</v>
      </c>
      <c r="BA51" s="51">
        <v>9650</v>
      </c>
      <c r="BB51" s="44">
        <v>0.5</v>
      </c>
    </row>
    <row r="52" spans="1:55" ht="22.8" x14ac:dyDescent="0.55000000000000004">
      <c r="A52" s="2">
        <v>49</v>
      </c>
      <c r="B52" s="2" t="s">
        <v>231</v>
      </c>
      <c r="C52" s="2" t="s">
        <v>170</v>
      </c>
      <c r="D52" s="23">
        <v>45149</v>
      </c>
      <c r="E52" s="4" t="s">
        <v>105</v>
      </c>
      <c r="F52" s="2" t="s">
        <v>38</v>
      </c>
      <c r="G52" s="2">
        <f>26.5+20+10+3.5</f>
        <v>60</v>
      </c>
      <c r="H52" s="2">
        <v>0</v>
      </c>
      <c r="I52" s="2">
        <v>20</v>
      </c>
      <c r="J52" s="2">
        <v>0</v>
      </c>
      <c r="K52" s="2">
        <v>33</v>
      </c>
      <c r="L52" s="5">
        <f>SUM(G52:K52)</f>
        <v>113</v>
      </c>
      <c r="M52" s="18">
        <f t="shared" si="3"/>
        <v>20</v>
      </c>
      <c r="N52" s="18">
        <f t="shared" si="4"/>
        <v>617</v>
      </c>
      <c r="Q52" s="22">
        <f t="shared" si="5"/>
        <v>0</v>
      </c>
      <c r="R52" s="5"/>
      <c r="S52" s="5"/>
      <c r="T52" s="5">
        <f t="shared" si="6"/>
        <v>0</v>
      </c>
      <c r="X52" s="2" t="s">
        <v>148</v>
      </c>
      <c r="Y52" s="19" t="s">
        <v>61</v>
      </c>
      <c r="Z52" s="18">
        <v>456.7</v>
      </c>
      <c r="AA52" s="18">
        <v>7310</v>
      </c>
      <c r="AB52" s="18">
        <v>7927</v>
      </c>
      <c r="AC52" s="6">
        <v>8717</v>
      </c>
      <c r="AD52" s="2">
        <v>173.92</v>
      </c>
      <c r="AE52" s="6" t="s">
        <v>102</v>
      </c>
      <c r="AF52" s="15"/>
      <c r="AG52" s="2">
        <v>4</v>
      </c>
      <c r="AH52" s="2">
        <v>13</v>
      </c>
      <c r="AI52" s="2">
        <f t="shared" si="21"/>
        <v>617</v>
      </c>
      <c r="AJ52" s="2">
        <f>21.14+120.69+112.48</f>
        <v>254.31</v>
      </c>
      <c r="AK52" s="2">
        <v>255.5</v>
      </c>
      <c r="AL52" s="2" t="s">
        <v>37</v>
      </c>
      <c r="AM52" s="3" t="s">
        <v>168</v>
      </c>
      <c r="AN52" s="3" t="s">
        <v>176</v>
      </c>
      <c r="AO52" s="3" t="s">
        <v>70</v>
      </c>
      <c r="AP52" s="3" t="s">
        <v>176</v>
      </c>
      <c r="AQ52" s="3" t="s">
        <v>176</v>
      </c>
      <c r="AR52" s="2">
        <f>26.5+20+10+3.5</f>
        <v>60</v>
      </c>
      <c r="AS52" s="2">
        <v>0</v>
      </c>
      <c r="AT52" s="2">
        <v>20</v>
      </c>
      <c r="AU52" s="2">
        <v>0</v>
      </c>
      <c r="AV52" s="2">
        <v>33</v>
      </c>
      <c r="AW52" s="5">
        <f>SUM(AR52:AV52)</f>
        <v>113</v>
      </c>
      <c r="AX52" s="2">
        <v>0</v>
      </c>
      <c r="AY52" s="11">
        <f t="shared" si="25"/>
        <v>0</v>
      </c>
      <c r="AZ52" s="11">
        <f t="shared" si="26"/>
        <v>0</v>
      </c>
      <c r="BA52" s="20">
        <v>1853</v>
      </c>
      <c r="BB52" s="27">
        <v>2</v>
      </c>
    </row>
    <row r="53" spans="1:55" s="44" customFormat="1" ht="22.8" x14ac:dyDescent="0.55000000000000004">
      <c r="A53" s="44">
        <v>50</v>
      </c>
      <c r="B53" s="44" t="s">
        <v>231</v>
      </c>
      <c r="C53" s="44" t="s">
        <v>170</v>
      </c>
      <c r="D53" s="54">
        <v>45150</v>
      </c>
      <c r="E53" s="45" t="s">
        <v>86</v>
      </c>
      <c r="F53" s="44" t="s">
        <v>38</v>
      </c>
      <c r="G53" s="44">
        <v>13</v>
      </c>
      <c r="H53" s="44">
        <v>0</v>
      </c>
      <c r="I53" s="44">
        <v>0</v>
      </c>
      <c r="J53" s="44">
        <v>0</v>
      </c>
      <c r="K53" s="44">
        <v>33</v>
      </c>
      <c r="L53" s="50">
        <f>SUM(G53:K53)</f>
        <v>46</v>
      </c>
      <c r="M53" s="48">
        <f t="shared" si="3"/>
        <v>0</v>
      </c>
      <c r="N53" s="48">
        <f t="shared" si="4"/>
        <v>617</v>
      </c>
      <c r="Q53" s="49">
        <f t="shared" si="5"/>
        <v>0</v>
      </c>
      <c r="R53" s="50"/>
      <c r="S53" s="50"/>
      <c r="T53" s="50">
        <f t="shared" si="6"/>
        <v>0</v>
      </c>
      <c r="X53" s="44" t="s">
        <v>148</v>
      </c>
      <c r="Y53" s="57" t="s">
        <v>61</v>
      </c>
      <c r="Z53" s="48">
        <v>456.7</v>
      </c>
      <c r="AA53" s="48">
        <v>7310</v>
      </c>
      <c r="AB53" s="48">
        <v>7927</v>
      </c>
      <c r="AC53" s="47">
        <v>8717</v>
      </c>
      <c r="AD53" s="44">
        <v>173.92</v>
      </c>
      <c r="AE53" s="47" t="s">
        <v>102</v>
      </c>
      <c r="AG53" s="44">
        <v>4</v>
      </c>
      <c r="AH53" s="44">
        <v>13</v>
      </c>
      <c r="AI53" s="44">
        <f t="shared" si="21"/>
        <v>617</v>
      </c>
      <c r="AJ53" s="44">
        <f>21.14+120.69+112.48</f>
        <v>254.31</v>
      </c>
      <c r="AK53" s="44">
        <v>255.5</v>
      </c>
      <c r="AL53" s="44" t="s">
        <v>37</v>
      </c>
      <c r="AM53" s="52" t="s">
        <v>168</v>
      </c>
      <c r="AN53" s="52" t="s">
        <v>176</v>
      </c>
      <c r="AO53" s="52" t="s">
        <v>176</v>
      </c>
      <c r="AP53" s="52" t="s">
        <v>176</v>
      </c>
      <c r="AQ53" s="52" t="s">
        <v>169</v>
      </c>
      <c r="AR53" s="44">
        <v>13</v>
      </c>
      <c r="AS53" s="44">
        <v>0</v>
      </c>
      <c r="AT53" s="44">
        <v>0</v>
      </c>
      <c r="AU53" s="44">
        <v>0</v>
      </c>
      <c r="AV53" s="44">
        <v>33</v>
      </c>
      <c r="AW53" s="50">
        <f>SUM(AR53:AV53)</f>
        <v>46</v>
      </c>
      <c r="AX53" s="44">
        <v>0</v>
      </c>
      <c r="AY53" s="53">
        <f t="shared" si="25"/>
        <v>0</v>
      </c>
      <c r="AZ53" s="53">
        <f t="shared" si="26"/>
        <v>0</v>
      </c>
      <c r="BA53" s="51">
        <v>4765</v>
      </c>
      <c r="BB53" s="44">
        <v>6</v>
      </c>
    </row>
    <row r="54" spans="1:55" s="57" customFormat="1" x14ac:dyDescent="0.55000000000000004">
      <c r="A54" s="57">
        <v>51</v>
      </c>
      <c r="B54" s="57" t="s">
        <v>232</v>
      </c>
      <c r="C54" s="57" t="s">
        <v>171</v>
      </c>
      <c r="D54" s="58">
        <v>45163</v>
      </c>
      <c r="E54" s="58" t="s">
        <v>178</v>
      </c>
      <c r="F54" s="57" t="s">
        <v>38</v>
      </c>
      <c r="G54" s="57">
        <v>18</v>
      </c>
      <c r="H54" s="57">
        <v>0</v>
      </c>
      <c r="I54" s="57">
        <v>20</v>
      </c>
      <c r="J54" s="57">
        <v>0</v>
      </c>
      <c r="K54" s="49">
        <v>75</v>
      </c>
      <c r="L54" s="48">
        <f>SUM(G54:J54)</f>
        <v>38</v>
      </c>
      <c r="M54" s="48">
        <f t="shared" si="3"/>
        <v>20</v>
      </c>
      <c r="N54" s="48">
        <f t="shared" si="4"/>
        <v>571</v>
      </c>
      <c r="Q54" s="49">
        <f t="shared" si="5"/>
        <v>0</v>
      </c>
      <c r="R54" s="48"/>
      <c r="S54" s="48"/>
      <c r="T54" s="50">
        <f t="shared" si="6"/>
        <v>0</v>
      </c>
      <c r="X54" s="57" t="s">
        <v>81</v>
      </c>
      <c r="Y54" s="57" t="s">
        <v>172</v>
      </c>
      <c r="Z54" s="49">
        <v>1630</v>
      </c>
      <c r="AA54" s="48">
        <v>7662</v>
      </c>
      <c r="AB54" s="48">
        <v>8233</v>
      </c>
      <c r="AC54" s="49">
        <v>6655</v>
      </c>
      <c r="AD54" s="57">
        <v>179</v>
      </c>
      <c r="AE54" s="49" t="s">
        <v>102</v>
      </c>
      <c r="AF54" s="57">
        <v>44</v>
      </c>
      <c r="AG54" s="57">
        <v>3.4</v>
      </c>
      <c r="AH54" s="57">
        <v>13</v>
      </c>
      <c r="AI54" s="57">
        <f t="shared" si="21"/>
        <v>571</v>
      </c>
      <c r="AJ54" s="57">
        <v>483</v>
      </c>
      <c r="AK54" s="57">
        <v>225.6</v>
      </c>
      <c r="AL54" s="57" t="s">
        <v>103</v>
      </c>
      <c r="AM54" s="61" t="s">
        <v>83</v>
      </c>
      <c r="AN54" s="61" t="s">
        <v>176</v>
      </c>
      <c r="AO54" s="61" t="s">
        <v>71</v>
      </c>
      <c r="AP54" s="61" t="s">
        <v>176</v>
      </c>
      <c r="AQ54" s="61" t="s">
        <v>177</v>
      </c>
      <c r="AR54" s="57">
        <v>18</v>
      </c>
      <c r="AS54" s="57">
        <v>0</v>
      </c>
      <c r="AT54" s="57">
        <v>20</v>
      </c>
      <c r="AU54" s="57">
        <v>0</v>
      </c>
      <c r="AV54" s="49">
        <v>75</v>
      </c>
      <c r="AW54" s="48">
        <f>SUM(AR54:AU54)</f>
        <v>38</v>
      </c>
      <c r="AX54" s="49">
        <v>0</v>
      </c>
      <c r="AY54" s="62">
        <f t="shared" si="25"/>
        <v>0</v>
      </c>
      <c r="AZ54" s="62">
        <f t="shared" si="26"/>
        <v>0</v>
      </c>
      <c r="BA54" s="49"/>
    </row>
    <row r="55" spans="1:55" s="19" customFormat="1" x14ac:dyDescent="0.55000000000000004">
      <c r="A55" s="19">
        <v>52</v>
      </c>
      <c r="B55" s="19" t="s">
        <v>232</v>
      </c>
      <c r="C55" s="19" t="s">
        <v>171</v>
      </c>
      <c r="D55" s="25">
        <v>45164</v>
      </c>
      <c r="E55" s="25" t="s">
        <v>105</v>
      </c>
      <c r="F55" s="19" t="s">
        <v>38</v>
      </c>
      <c r="G55" s="19">
        <v>39</v>
      </c>
      <c r="H55" s="19">
        <v>50</v>
      </c>
      <c r="I55" s="19">
        <v>72</v>
      </c>
      <c r="J55" s="19">
        <v>27</v>
      </c>
      <c r="K55" s="22">
        <v>24654</v>
      </c>
      <c r="L55" s="18">
        <f>SUM(G55:J55)</f>
        <v>188</v>
      </c>
      <c r="M55" s="18">
        <f t="shared" si="3"/>
        <v>122</v>
      </c>
      <c r="N55" s="18">
        <f t="shared" si="4"/>
        <v>571</v>
      </c>
      <c r="Q55" s="22">
        <f t="shared" si="5"/>
        <v>0</v>
      </c>
      <c r="R55" s="18"/>
      <c r="S55" s="18"/>
      <c r="T55" s="5">
        <f t="shared" si="6"/>
        <v>0</v>
      </c>
      <c r="X55" s="19" t="s">
        <v>81</v>
      </c>
      <c r="Y55" s="19" t="s">
        <v>172</v>
      </c>
      <c r="Z55" s="22">
        <v>1630</v>
      </c>
      <c r="AA55" s="18">
        <v>7662</v>
      </c>
      <c r="AB55" s="18">
        <v>8233</v>
      </c>
      <c r="AC55" s="22">
        <v>6655</v>
      </c>
      <c r="AD55" s="19">
        <v>179</v>
      </c>
      <c r="AE55" s="22" t="s">
        <v>102</v>
      </c>
      <c r="AF55" s="19">
        <v>44</v>
      </c>
      <c r="AG55" s="19">
        <v>3.4</v>
      </c>
      <c r="AH55" s="19">
        <v>13</v>
      </c>
      <c r="AI55" s="19">
        <f t="shared" si="21"/>
        <v>571</v>
      </c>
      <c r="AJ55" s="19">
        <v>483</v>
      </c>
      <c r="AK55" s="19">
        <v>225.6</v>
      </c>
      <c r="AL55" s="19" t="s">
        <v>104</v>
      </c>
      <c r="AM55" s="35" t="s">
        <v>83</v>
      </c>
      <c r="AN55" s="35" t="s">
        <v>173</v>
      </c>
      <c r="AO55" s="35" t="s">
        <v>71</v>
      </c>
      <c r="AP55" s="35" t="s">
        <v>72</v>
      </c>
      <c r="AQ55" s="35" t="s">
        <v>52</v>
      </c>
      <c r="AR55" s="19">
        <v>39</v>
      </c>
      <c r="AS55" s="19">
        <v>50</v>
      </c>
      <c r="AT55" s="19">
        <v>72</v>
      </c>
      <c r="AU55" s="19">
        <v>27</v>
      </c>
      <c r="AV55" s="22">
        <v>24654</v>
      </c>
      <c r="AW55" s="18">
        <f>SUM(AR55:AU55)</f>
        <v>188</v>
      </c>
      <c r="AX55" s="22">
        <v>26512</v>
      </c>
      <c r="AY55" s="37">
        <f t="shared" si="25"/>
        <v>8.7565674255691769E-2</v>
      </c>
      <c r="AZ55" s="37">
        <f t="shared" si="26"/>
        <v>0.22163120567375888</v>
      </c>
      <c r="BA55" s="22">
        <v>5305</v>
      </c>
      <c r="BB55" s="19">
        <v>12</v>
      </c>
      <c r="BC55" s="20">
        <v>3350</v>
      </c>
    </row>
    <row r="56" spans="1:55" s="44" customFormat="1" x14ac:dyDescent="0.55000000000000004">
      <c r="A56" s="44">
        <v>54</v>
      </c>
      <c r="B56" s="44" t="s">
        <v>207</v>
      </c>
      <c r="C56" s="44" t="s">
        <v>180</v>
      </c>
      <c r="D56" s="58">
        <v>45195</v>
      </c>
      <c r="E56" s="45" t="s">
        <v>178</v>
      </c>
      <c r="F56" s="44" t="s">
        <v>38</v>
      </c>
      <c r="G56" s="46">
        <v>10</v>
      </c>
      <c r="H56" s="46">
        <v>0</v>
      </c>
      <c r="I56" s="46">
        <v>20</v>
      </c>
      <c r="J56" s="46">
        <v>0</v>
      </c>
      <c r="K56" s="46">
        <v>56</v>
      </c>
      <c r="L56" s="48">
        <f t="shared" ref="L56" si="27">SUM(G56:J56)</f>
        <v>30</v>
      </c>
      <c r="M56" s="48">
        <f t="shared" si="3"/>
        <v>20</v>
      </c>
      <c r="N56" s="48">
        <f t="shared" si="4"/>
        <v>592</v>
      </c>
      <c r="Q56" s="49">
        <f t="shared" si="5"/>
        <v>0</v>
      </c>
      <c r="R56" s="48"/>
      <c r="S56" s="48"/>
      <c r="T56" s="50">
        <f t="shared" si="6"/>
        <v>0</v>
      </c>
      <c r="X56" s="44" t="s">
        <v>148</v>
      </c>
      <c r="Y56" s="57" t="s">
        <v>61</v>
      </c>
      <c r="Z56" s="50">
        <v>798.12</v>
      </c>
      <c r="AA56" s="50">
        <v>7335</v>
      </c>
      <c r="AB56" s="50">
        <v>7927</v>
      </c>
      <c r="AC56" s="47">
        <v>6628</v>
      </c>
      <c r="AD56" s="44">
        <v>184</v>
      </c>
      <c r="AE56" s="49" t="s">
        <v>102</v>
      </c>
      <c r="AF56" s="46">
        <v>44</v>
      </c>
      <c r="AG56" s="44">
        <v>3.58</v>
      </c>
      <c r="AH56" s="44">
        <v>1</v>
      </c>
      <c r="AI56" s="57">
        <f t="shared" si="21"/>
        <v>592</v>
      </c>
      <c r="AK56" s="44">
        <v>255.5</v>
      </c>
      <c r="AL56" s="46" t="s">
        <v>37</v>
      </c>
      <c r="AM56" s="55" t="s">
        <v>83</v>
      </c>
      <c r="AN56" s="55" t="s">
        <v>176</v>
      </c>
      <c r="AO56" s="55" t="s">
        <v>71</v>
      </c>
      <c r="AP56" s="55" t="s">
        <v>176</v>
      </c>
      <c r="AQ56" s="55" t="s">
        <v>177</v>
      </c>
      <c r="AR56" s="46">
        <v>10</v>
      </c>
      <c r="AS56" s="46">
        <v>0</v>
      </c>
      <c r="AT56" s="46">
        <v>20</v>
      </c>
      <c r="AU56" s="46">
        <v>0</v>
      </c>
      <c r="AV56" s="46">
        <v>56</v>
      </c>
      <c r="AW56" s="48">
        <f t="shared" ref="AW56" si="28">SUM(AR56:AU56)</f>
        <v>30</v>
      </c>
      <c r="AX56" s="46">
        <v>0</v>
      </c>
      <c r="AY56" s="62">
        <f t="shared" si="25"/>
        <v>0</v>
      </c>
      <c r="AZ56" s="62">
        <f t="shared" si="26"/>
        <v>0</v>
      </c>
      <c r="BA56" s="47"/>
    </row>
    <row r="57" spans="1:55" x14ac:dyDescent="0.55000000000000004">
      <c r="A57" s="2">
        <v>55</v>
      </c>
      <c r="B57" s="2" t="s">
        <v>207</v>
      </c>
      <c r="C57" s="2" t="s">
        <v>180</v>
      </c>
      <c r="D57" s="25">
        <v>45195</v>
      </c>
      <c r="E57" s="4" t="s">
        <v>105</v>
      </c>
      <c r="F57" s="2" t="s">
        <v>38</v>
      </c>
      <c r="G57" s="27">
        <v>26</v>
      </c>
      <c r="H57" s="27">
        <v>50</v>
      </c>
      <c r="I57" s="27">
        <v>60</v>
      </c>
      <c r="J57" s="27">
        <v>25</v>
      </c>
      <c r="K57" s="20">
        <v>19334</v>
      </c>
      <c r="L57" s="18">
        <f>SUM(G57:J57)</f>
        <v>161</v>
      </c>
      <c r="M57" s="18">
        <f t="shared" si="3"/>
        <v>110</v>
      </c>
      <c r="N57" s="18">
        <f t="shared" si="4"/>
        <v>592</v>
      </c>
      <c r="Q57" s="22">
        <f t="shared" si="5"/>
        <v>0</v>
      </c>
      <c r="R57" s="18"/>
      <c r="S57" s="18"/>
      <c r="T57" s="5">
        <f t="shared" si="6"/>
        <v>0</v>
      </c>
      <c r="X57" s="2" t="s">
        <v>148</v>
      </c>
      <c r="Y57" s="19" t="s">
        <v>61</v>
      </c>
      <c r="Z57" s="5">
        <v>798.12</v>
      </c>
      <c r="AA57" s="5">
        <v>7335</v>
      </c>
      <c r="AB57" s="5">
        <v>7927</v>
      </c>
      <c r="AC57" s="6">
        <v>6628</v>
      </c>
      <c r="AD57" s="2">
        <v>184</v>
      </c>
      <c r="AE57" s="22" t="s">
        <v>102</v>
      </c>
      <c r="AF57" s="27">
        <v>44</v>
      </c>
      <c r="AG57" s="2">
        <v>3.58</v>
      </c>
      <c r="AH57" s="2">
        <v>1</v>
      </c>
      <c r="AI57" s="19">
        <f t="shared" si="21"/>
        <v>592</v>
      </c>
      <c r="AJ57" s="15"/>
      <c r="AK57" s="2">
        <v>255.5</v>
      </c>
      <c r="AL57" s="27" t="s">
        <v>104</v>
      </c>
      <c r="AM57" s="26" t="s">
        <v>83</v>
      </c>
      <c r="AN57" s="26" t="s">
        <v>173</v>
      </c>
      <c r="AO57" s="26" t="s">
        <v>71</v>
      </c>
      <c r="AP57" s="26" t="s">
        <v>72</v>
      </c>
      <c r="AQ57" s="26" t="s">
        <v>52</v>
      </c>
      <c r="AR57" s="27">
        <v>26</v>
      </c>
      <c r="AS57" s="27">
        <v>50</v>
      </c>
      <c r="AT57" s="27">
        <v>60</v>
      </c>
      <c r="AU57" s="27">
        <v>25</v>
      </c>
      <c r="AV57" s="20">
        <v>19334</v>
      </c>
      <c r="AW57" s="18">
        <f>SUM(AR57:AU57)</f>
        <v>161</v>
      </c>
      <c r="AX57" s="20">
        <v>35998</v>
      </c>
      <c r="AY57" s="37">
        <f t="shared" si="25"/>
        <v>8.4459459459459457E-2</v>
      </c>
      <c r="AZ57" s="37">
        <f t="shared" si="26"/>
        <v>0.19569471624266144</v>
      </c>
    </row>
    <row r="58" spans="1:55" x14ac:dyDescent="0.55000000000000004">
      <c r="A58" s="2">
        <v>56</v>
      </c>
      <c r="B58" s="2" t="s">
        <v>233</v>
      </c>
      <c r="C58" s="2" t="s">
        <v>181</v>
      </c>
      <c r="D58" s="4">
        <v>45179</v>
      </c>
      <c r="E58" s="2" t="s">
        <v>105</v>
      </c>
      <c r="F58" s="2" t="s">
        <v>38</v>
      </c>
      <c r="G58" s="2">
        <v>16</v>
      </c>
      <c r="H58" s="2">
        <v>60</v>
      </c>
      <c r="I58" s="2">
        <v>80</v>
      </c>
      <c r="J58" s="2">
        <v>30</v>
      </c>
      <c r="K58" s="2">
        <v>17112.900000000001</v>
      </c>
      <c r="L58" s="18">
        <f>SUM(G58:J58)</f>
        <v>186</v>
      </c>
      <c r="M58" s="18">
        <f t="shared" si="3"/>
        <v>140</v>
      </c>
      <c r="N58" s="18">
        <f t="shared" si="4"/>
        <v>909</v>
      </c>
      <c r="Q58" s="22">
        <f t="shared" si="5"/>
        <v>0</v>
      </c>
      <c r="R58" s="18"/>
      <c r="S58" s="18"/>
      <c r="T58" s="5">
        <f t="shared" si="6"/>
        <v>0</v>
      </c>
      <c r="X58" s="2" t="s">
        <v>81</v>
      </c>
      <c r="Y58" s="2" t="s">
        <v>61</v>
      </c>
      <c r="Z58" s="6">
        <v>1349.48</v>
      </c>
      <c r="AA58" s="5">
        <v>6663</v>
      </c>
      <c r="AB58" s="5">
        <v>7572</v>
      </c>
      <c r="AC58" s="6">
        <v>6229</v>
      </c>
      <c r="AD58" s="2">
        <v>175</v>
      </c>
      <c r="AE58" s="2" t="s">
        <v>102</v>
      </c>
      <c r="AF58" s="27">
        <v>44</v>
      </c>
      <c r="AG58" s="2">
        <v>3.4</v>
      </c>
      <c r="AH58" s="2">
        <v>20.6</v>
      </c>
      <c r="AI58" s="19">
        <f t="shared" si="21"/>
        <v>909</v>
      </c>
      <c r="AJ58" s="2">
        <v>102.8</v>
      </c>
      <c r="AK58" s="15"/>
      <c r="AL58" s="19" t="s">
        <v>104</v>
      </c>
      <c r="AM58" s="35" t="s">
        <v>83</v>
      </c>
      <c r="AN58" s="35" t="s">
        <v>173</v>
      </c>
      <c r="AO58" s="35" t="s">
        <v>71</v>
      </c>
      <c r="AP58" s="35" t="s">
        <v>72</v>
      </c>
      <c r="AQ58" s="35" t="s">
        <v>52</v>
      </c>
      <c r="AR58" s="2">
        <v>16</v>
      </c>
      <c r="AS58" s="2">
        <v>60</v>
      </c>
      <c r="AT58" s="2">
        <v>80</v>
      </c>
      <c r="AU58" s="2">
        <v>30</v>
      </c>
      <c r="AV58" s="2">
        <v>17112.900000000001</v>
      </c>
      <c r="AW58" s="18">
        <f>SUM(AR58:AU58)</f>
        <v>186</v>
      </c>
      <c r="AX58" s="20">
        <v>38554.9</v>
      </c>
      <c r="AY58" s="37">
        <f t="shared" si="25"/>
        <v>6.6006600660066E-2</v>
      </c>
      <c r="AZ58" s="37" t="e">
        <f t="shared" si="26"/>
        <v>#DIV/0!</v>
      </c>
      <c r="BA58" s="6">
        <v>3284</v>
      </c>
      <c r="BB58" s="2">
        <v>12</v>
      </c>
      <c r="BC58" s="6">
        <v>3237</v>
      </c>
    </row>
    <row r="59" spans="1:55" s="28" customFormat="1" x14ac:dyDescent="0.55000000000000004">
      <c r="A59" s="28">
        <v>57</v>
      </c>
      <c r="B59" s="28" t="s">
        <v>216</v>
      </c>
      <c r="C59" s="28" t="s">
        <v>182</v>
      </c>
      <c r="D59" s="4">
        <v>45187</v>
      </c>
      <c r="E59" s="28" t="s">
        <v>105</v>
      </c>
      <c r="F59" s="28" t="s">
        <v>39</v>
      </c>
      <c r="G59" s="28">
        <v>35</v>
      </c>
      <c r="H59" s="28">
        <v>42</v>
      </c>
      <c r="I59" s="28">
        <v>72</v>
      </c>
      <c r="J59" s="28">
        <v>23</v>
      </c>
      <c r="L59" s="28">
        <v>172</v>
      </c>
      <c r="M59" s="28">
        <f t="shared" si="3"/>
        <v>114</v>
      </c>
      <c r="N59" s="28">
        <f t="shared" si="4"/>
        <v>0</v>
      </c>
      <c r="Q59" s="28">
        <f t="shared" si="5"/>
        <v>0</v>
      </c>
      <c r="T59" s="28">
        <f t="shared" si="6"/>
        <v>0</v>
      </c>
      <c r="Z59" s="29"/>
      <c r="AA59" s="30"/>
      <c r="AB59" s="30"/>
      <c r="AC59" s="29"/>
      <c r="BA59" s="29"/>
    </row>
    <row r="60" spans="1:55" s="44" customFormat="1" x14ac:dyDescent="0.55000000000000004">
      <c r="B60" s="57" t="s">
        <v>225</v>
      </c>
      <c r="C60" s="57" t="s">
        <v>19</v>
      </c>
      <c r="D60" s="58">
        <v>44409</v>
      </c>
      <c r="Z60" s="47"/>
      <c r="AA60" s="50"/>
      <c r="AB60" s="50"/>
      <c r="AC60" s="47"/>
      <c r="BA60" s="47"/>
    </row>
    <row r="61" spans="1:55" s="44" customFormat="1" x14ac:dyDescent="0.55000000000000004">
      <c r="B61" s="57" t="s">
        <v>188</v>
      </c>
      <c r="C61" s="57" t="s">
        <v>20</v>
      </c>
      <c r="D61" s="58">
        <v>44416</v>
      </c>
      <c r="Z61" s="47"/>
      <c r="AA61" s="50"/>
      <c r="AB61" s="50"/>
      <c r="AC61" s="47"/>
      <c r="BA61" s="47"/>
    </row>
    <row r="62" spans="1:55" s="44" customFormat="1" x14ac:dyDescent="0.55000000000000004">
      <c r="B62" s="57" t="s">
        <v>217</v>
      </c>
      <c r="C62" s="57" t="s">
        <v>21</v>
      </c>
      <c r="D62" s="58">
        <v>44524</v>
      </c>
      <c r="Z62" s="47"/>
      <c r="AA62" s="50"/>
      <c r="AB62" s="50"/>
      <c r="AC62" s="47"/>
      <c r="BA62" s="47"/>
    </row>
    <row r="63" spans="1:55" s="44" customFormat="1" x14ac:dyDescent="0.55000000000000004">
      <c r="B63" s="57" t="s">
        <v>200</v>
      </c>
      <c r="C63" s="57" t="s">
        <v>22</v>
      </c>
      <c r="D63" s="58">
        <v>44560</v>
      </c>
      <c r="Z63" s="47"/>
      <c r="AA63" s="50"/>
      <c r="AB63" s="50"/>
      <c r="AC63" s="47"/>
      <c r="BA63" s="47"/>
    </row>
    <row r="64" spans="1:55" s="44" customFormat="1" x14ac:dyDescent="0.55000000000000004">
      <c r="B64" s="57" t="s">
        <v>191</v>
      </c>
      <c r="C64" s="57" t="s">
        <v>23</v>
      </c>
      <c r="D64" s="58">
        <v>44566</v>
      </c>
      <c r="Z64" s="47"/>
      <c r="AA64" s="50"/>
      <c r="AB64" s="50"/>
      <c r="AC64" s="47"/>
      <c r="BA64" s="47"/>
    </row>
    <row r="65" spans="2:53" x14ac:dyDescent="0.55000000000000004">
      <c r="B65" s="19" t="s">
        <v>185</v>
      </c>
      <c r="C65" s="19" t="s">
        <v>88</v>
      </c>
      <c r="D65" s="25">
        <v>44619</v>
      </c>
    </row>
    <row r="66" spans="2:53" s="44" customFormat="1" x14ac:dyDescent="0.55000000000000004">
      <c r="B66" s="57" t="s">
        <v>219</v>
      </c>
      <c r="C66" s="57" t="s">
        <v>89</v>
      </c>
      <c r="D66" s="58">
        <v>44622</v>
      </c>
      <c r="Z66" s="47"/>
      <c r="AA66" s="50"/>
      <c r="AB66" s="50"/>
      <c r="AC66" s="47"/>
      <c r="BA66" s="47"/>
    </row>
    <row r="67" spans="2:53" s="44" customFormat="1" x14ac:dyDescent="0.55000000000000004">
      <c r="B67" s="57" t="s">
        <v>194</v>
      </c>
      <c r="C67" s="57" t="s">
        <v>25</v>
      </c>
      <c r="D67" s="58">
        <v>44630</v>
      </c>
      <c r="Z67" s="47"/>
      <c r="AA67" s="50"/>
      <c r="AB67" s="50"/>
      <c r="AC67" s="47"/>
      <c r="BA67" s="47"/>
    </row>
    <row r="68" spans="2:53" s="44" customFormat="1" x14ac:dyDescent="0.55000000000000004">
      <c r="B68" s="57" t="s">
        <v>189</v>
      </c>
      <c r="C68" s="57" t="s">
        <v>26</v>
      </c>
      <c r="D68" s="58">
        <v>44674</v>
      </c>
      <c r="Z68" s="47"/>
      <c r="AA68" s="50"/>
      <c r="AB68" s="50"/>
      <c r="AC68" s="47"/>
      <c r="BA68" s="47"/>
    </row>
    <row r="69" spans="2:53" s="44" customFormat="1" x14ac:dyDescent="0.55000000000000004">
      <c r="B69" s="57" t="s">
        <v>220</v>
      </c>
      <c r="C69" s="57" t="s">
        <v>90</v>
      </c>
      <c r="D69" s="58">
        <v>44717</v>
      </c>
      <c r="Z69" s="47"/>
      <c r="AA69" s="50"/>
      <c r="AB69" s="50"/>
      <c r="AC69" s="47"/>
      <c r="BA69" s="47"/>
    </row>
    <row r="70" spans="2:53" x14ac:dyDescent="0.55000000000000004">
      <c r="B70" s="19" t="s">
        <v>221</v>
      </c>
      <c r="C70" s="19" t="s">
        <v>91</v>
      </c>
      <c r="D70" s="25">
        <v>44721</v>
      </c>
    </row>
    <row r="71" spans="2:53" s="44" customFormat="1" x14ac:dyDescent="0.55000000000000004">
      <c r="B71" s="57" t="s">
        <v>187</v>
      </c>
      <c r="C71" s="57" t="s">
        <v>27</v>
      </c>
      <c r="D71" s="58">
        <v>44729</v>
      </c>
      <c r="Z71" s="47"/>
      <c r="AA71" s="50"/>
      <c r="AB71" s="50"/>
      <c r="AC71" s="47"/>
      <c r="BA71" s="47"/>
    </row>
    <row r="72" spans="2:53" s="44" customFormat="1" x14ac:dyDescent="0.55000000000000004">
      <c r="B72" s="57" t="s">
        <v>192</v>
      </c>
      <c r="C72" s="57" t="s">
        <v>68</v>
      </c>
      <c r="D72" s="58"/>
      <c r="Z72" s="47"/>
      <c r="AA72" s="50"/>
      <c r="AB72" s="50"/>
      <c r="AC72" s="47"/>
      <c r="BA72" s="47"/>
    </row>
    <row r="73" spans="2:53" s="44" customFormat="1" x14ac:dyDescent="0.55000000000000004">
      <c r="B73" s="57" t="s">
        <v>223</v>
      </c>
      <c r="C73" s="57" t="s">
        <v>179</v>
      </c>
      <c r="Z73" s="47"/>
      <c r="AA73" s="50"/>
      <c r="AB73" s="50"/>
      <c r="AC73" s="47"/>
      <c r="BA73" s="47"/>
    </row>
    <row r="74" spans="2:53" x14ac:dyDescent="0.55000000000000004">
      <c r="B74" s="19" t="s">
        <v>222</v>
      </c>
      <c r="C74" s="19" t="s">
        <v>183</v>
      </c>
    </row>
    <row r="75" spans="2:53" x14ac:dyDescent="0.55000000000000004">
      <c r="B75" s="19" t="s">
        <v>185</v>
      </c>
      <c r="C75" s="19" t="s">
        <v>88</v>
      </c>
      <c r="D75" s="25">
        <v>45276</v>
      </c>
    </row>
    <row r="76" spans="2:53" x14ac:dyDescent="0.55000000000000004">
      <c r="B76" s="64" t="s">
        <v>191</v>
      </c>
      <c r="C76" s="64" t="s">
        <v>23</v>
      </c>
      <c r="Q76" s="65">
        <v>415</v>
      </c>
    </row>
    <row r="77" spans="2:53" x14ac:dyDescent="0.55000000000000004">
      <c r="B77" s="64" t="s">
        <v>198</v>
      </c>
      <c r="C77" s="64" t="s">
        <v>161</v>
      </c>
      <c r="Q77" s="65">
        <v>1730</v>
      </c>
    </row>
    <row r="78" spans="2:53" x14ac:dyDescent="0.55000000000000004">
      <c r="B78" s="64" t="s">
        <v>203</v>
      </c>
      <c r="C78" s="64" t="s">
        <v>29</v>
      </c>
      <c r="Q78" s="65">
        <v>453</v>
      </c>
    </row>
    <row r="79" spans="2:53" x14ac:dyDescent="0.55000000000000004">
      <c r="B79" s="64" t="s">
        <v>236</v>
      </c>
      <c r="C79" s="64" t="s">
        <v>234</v>
      </c>
      <c r="Q79" s="65">
        <v>805</v>
      </c>
    </row>
    <row r="80" spans="2:53" x14ac:dyDescent="0.55000000000000004">
      <c r="B80" s="64" t="s">
        <v>194</v>
      </c>
      <c r="C80" s="64" t="s">
        <v>25</v>
      </c>
      <c r="Q80" s="65">
        <f>459+346</f>
        <v>805</v>
      </c>
    </row>
    <row r="81" spans="2:17" x14ac:dyDescent="0.55000000000000004">
      <c r="B81" s="64" t="s">
        <v>199</v>
      </c>
      <c r="C81" s="64" t="s">
        <v>59</v>
      </c>
      <c r="Q81" s="65">
        <v>421</v>
      </c>
    </row>
    <row r="82" spans="2:17" ht="18" customHeight="1" x14ac:dyDescent="0.55000000000000004">
      <c r="B82" s="64" t="s">
        <v>237</v>
      </c>
      <c r="C82" s="64" t="s">
        <v>235</v>
      </c>
    </row>
    <row r="83" spans="2:17" ht="21" customHeight="1" x14ac:dyDescent="0.55000000000000004">
      <c r="B83" s="64" t="s">
        <v>184</v>
      </c>
      <c r="C83" s="64" t="s">
        <v>17</v>
      </c>
    </row>
  </sheetData>
  <autoFilter ref="A1:BI83" xr:uid="{00000000-0009-0000-0000-000002000000}">
    <filterColumn colId="26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5" showButton="0"/>
    <filterColumn colId="56" showButton="0"/>
    <filterColumn colId="57" showButton="0"/>
    <filterColumn colId="58" showButton="0"/>
    <filterColumn colId="59" showButton="0"/>
  </autoFilter>
  <mergeCells count="35">
    <mergeCell ref="BG2:BG3"/>
    <mergeCell ref="BH2:BH3"/>
    <mergeCell ref="BA2:BA3"/>
    <mergeCell ref="AF1:AF3"/>
    <mergeCell ref="AG1:AK1"/>
    <mergeCell ref="AL1:BC1"/>
    <mergeCell ref="BD1:BI1"/>
    <mergeCell ref="AI2:AI3"/>
    <mergeCell ref="AJ2:AJ3"/>
    <mergeCell ref="AK2:AK3"/>
    <mergeCell ref="AL2:AX2"/>
    <mergeCell ref="AY2:AY3"/>
    <mergeCell ref="AZ2:AZ3"/>
    <mergeCell ref="BI2:BI3"/>
    <mergeCell ref="BB2:BB3"/>
    <mergeCell ref="BC2:BC3"/>
    <mergeCell ref="BD2:BE2"/>
    <mergeCell ref="BF2:BF3"/>
    <mergeCell ref="O2:P2"/>
    <mergeCell ref="R2:T2"/>
    <mergeCell ref="U2:W2"/>
    <mergeCell ref="AG2:AG3"/>
    <mergeCell ref="AH2:AH3"/>
    <mergeCell ref="Y1:Y3"/>
    <mergeCell ref="Z1:Z3"/>
    <mergeCell ref="AA1:AB2"/>
    <mergeCell ref="AC1:AC3"/>
    <mergeCell ref="AD1:AD3"/>
    <mergeCell ref="AE1:AE3"/>
    <mergeCell ref="X1:X3"/>
    <mergeCell ref="A1:A3"/>
    <mergeCell ref="C1:C3"/>
    <mergeCell ref="D1:D3"/>
    <mergeCell ref="E1:E3"/>
    <mergeCell ref="F1:F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O55"/>
  <sheetViews>
    <sheetView zoomScale="80" zoomScaleNormal="80" workbookViewId="0">
      <selection activeCell="A4" sqref="A4"/>
    </sheetView>
  </sheetViews>
  <sheetFormatPr baseColWidth="10" defaultRowHeight="14.4" x14ac:dyDescent="0.55000000000000004"/>
  <cols>
    <col min="3" max="3" width="18.68359375" style="2" customWidth="1"/>
    <col min="4" max="5" width="13.20703125" style="2" customWidth="1"/>
    <col min="7" max="7" width="15" customWidth="1"/>
    <col min="12" max="12" width="13.89453125" customWidth="1"/>
  </cols>
  <sheetData>
    <row r="1" spans="3:15" x14ac:dyDescent="0.55000000000000004">
      <c r="C1" s="122" t="s">
        <v>1</v>
      </c>
      <c r="D1" s="122" t="s">
        <v>2</v>
      </c>
      <c r="E1" s="122" t="s">
        <v>63</v>
      </c>
    </row>
    <row r="2" spans="3:15" x14ac:dyDescent="0.55000000000000004">
      <c r="C2" s="122"/>
      <c r="D2" s="122"/>
      <c r="E2" s="122"/>
    </row>
    <row r="3" spans="3:15" x14ac:dyDescent="0.55000000000000004">
      <c r="C3" s="122"/>
      <c r="D3" s="122"/>
      <c r="E3" s="122"/>
    </row>
    <row r="4" spans="3:15" ht="22.5" customHeight="1" x14ac:dyDescent="0.55000000000000004">
      <c r="C4" s="2" t="s">
        <v>17</v>
      </c>
      <c r="D4" s="36">
        <v>43983</v>
      </c>
      <c r="E4" s="27" t="s">
        <v>38</v>
      </c>
      <c r="F4" s="75">
        <v>1</v>
      </c>
      <c r="G4" s="76" t="s">
        <v>17</v>
      </c>
      <c r="H4" s="75">
        <f>YEAR(I4)</f>
        <v>2020</v>
      </c>
      <c r="I4" s="77">
        <v>43996</v>
      </c>
      <c r="J4" s="69" t="s">
        <v>38</v>
      </c>
      <c r="K4" s="66">
        <v>10</v>
      </c>
      <c r="L4" s="67" t="s">
        <v>17</v>
      </c>
      <c r="M4" s="66">
        <f>YEAR(N4)</f>
        <v>2022</v>
      </c>
      <c r="N4" s="71">
        <v>44619</v>
      </c>
      <c r="O4" s="69" t="s">
        <v>38</v>
      </c>
    </row>
    <row r="5" spans="3:15" x14ac:dyDescent="0.55000000000000004">
      <c r="C5" s="2" t="s">
        <v>69</v>
      </c>
      <c r="D5" s="4">
        <v>43997</v>
      </c>
      <c r="E5" s="2" t="s">
        <v>38</v>
      </c>
      <c r="F5" s="66">
        <v>2</v>
      </c>
      <c r="G5" s="67" t="s">
        <v>18</v>
      </c>
      <c r="H5" s="66">
        <f>YEAR(I5)</f>
        <v>2021</v>
      </c>
      <c r="I5" s="68">
        <v>44343</v>
      </c>
      <c r="J5" s="69" t="s">
        <v>38</v>
      </c>
    </row>
    <row r="6" spans="3:15" x14ac:dyDescent="0.55000000000000004">
      <c r="C6" s="2" t="s">
        <v>18</v>
      </c>
      <c r="D6" s="4">
        <v>44343</v>
      </c>
      <c r="E6" s="2" t="s">
        <v>38</v>
      </c>
    </row>
    <row r="7" spans="3:15" x14ac:dyDescent="0.55000000000000004">
      <c r="C7" s="2" t="s">
        <v>19</v>
      </c>
      <c r="D7" s="4">
        <v>44409</v>
      </c>
      <c r="E7" s="2" t="s">
        <v>38</v>
      </c>
      <c r="F7" s="75">
        <v>3</v>
      </c>
      <c r="G7" s="76" t="s">
        <v>19</v>
      </c>
      <c r="H7" s="75">
        <f>YEAR(I7)</f>
        <v>2021</v>
      </c>
      <c r="I7" s="77">
        <v>44409</v>
      </c>
      <c r="J7" s="69" t="s">
        <v>38</v>
      </c>
    </row>
    <row r="8" spans="3:15" x14ac:dyDescent="0.55000000000000004">
      <c r="C8" s="2" t="s">
        <v>20</v>
      </c>
      <c r="D8" s="4">
        <v>44416</v>
      </c>
      <c r="E8" s="2" t="s">
        <v>39</v>
      </c>
      <c r="F8" s="66">
        <v>4</v>
      </c>
      <c r="G8" s="67" t="s">
        <v>20</v>
      </c>
      <c r="H8" s="66">
        <f>YEAR(I8)</f>
        <v>2021</v>
      </c>
      <c r="I8" s="68">
        <v>44416</v>
      </c>
      <c r="J8" s="70" t="s">
        <v>39</v>
      </c>
    </row>
    <row r="9" spans="3:15" x14ac:dyDescent="0.55000000000000004">
      <c r="C9" s="2" t="s">
        <v>21</v>
      </c>
      <c r="D9" s="4">
        <v>44524</v>
      </c>
      <c r="E9" s="2" t="s">
        <v>38</v>
      </c>
      <c r="F9" s="75">
        <v>5</v>
      </c>
      <c r="G9" s="76" t="s">
        <v>21</v>
      </c>
      <c r="H9" s="75">
        <f>YEAR(I9)</f>
        <v>2021</v>
      </c>
      <c r="I9" s="77">
        <v>44524</v>
      </c>
      <c r="J9" s="69" t="s">
        <v>38</v>
      </c>
    </row>
    <row r="10" spans="3:15" x14ac:dyDescent="0.55000000000000004">
      <c r="C10" s="2" t="s">
        <v>22</v>
      </c>
      <c r="D10" s="4">
        <v>44560</v>
      </c>
      <c r="E10" s="2" t="s">
        <v>38</v>
      </c>
      <c r="F10" s="66">
        <v>6</v>
      </c>
      <c r="G10" s="67" t="s">
        <v>22</v>
      </c>
      <c r="H10" s="66">
        <f>YEAR(I10)</f>
        <v>2021</v>
      </c>
      <c r="I10" s="68">
        <v>44560</v>
      </c>
      <c r="J10" s="69" t="s">
        <v>38</v>
      </c>
    </row>
    <row r="11" spans="3:15" x14ac:dyDescent="0.55000000000000004">
      <c r="C11" s="2" t="s">
        <v>23</v>
      </c>
      <c r="D11" s="4">
        <v>44566</v>
      </c>
      <c r="E11" s="2" t="s">
        <v>38</v>
      </c>
      <c r="F11" s="75">
        <v>7</v>
      </c>
      <c r="G11" s="76" t="s">
        <v>23</v>
      </c>
      <c r="H11" s="75">
        <f>YEAR(I11)</f>
        <v>2022</v>
      </c>
      <c r="I11" s="78">
        <v>44564</v>
      </c>
      <c r="J11" s="69" t="s">
        <v>38</v>
      </c>
      <c r="K11" s="66">
        <v>8</v>
      </c>
      <c r="L11" s="67" t="s">
        <v>23</v>
      </c>
      <c r="M11" s="66">
        <f>YEAR(N11)</f>
        <v>2022</v>
      </c>
      <c r="N11" s="71">
        <v>44566</v>
      </c>
      <c r="O11" s="69" t="s">
        <v>38</v>
      </c>
    </row>
    <row r="12" spans="3:15" x14ac:dyDescent="0.55000000000000004">
      <c r="C12" s="2" t="s">
        <v>88</v>
      </c>
      <c r="D12" s="4">
        <v>44619</v>
      </c>
      <c r="E12" s="2" t="s">
        <v>38</v>
      </c>
    </row>
    <row r="13" spans="3:15" x14ac:dyDescent="0.55000000000000004">
      <c r="C13" s="2" t="s">
        <v>89</v>
      </c>
      <c r="D13" s="4">
        <v>44622</v>
      </c>
      <c r="E13" s="2" t="s">
        <v>38</v>
      </c>
    </row>
    <row r="14" spans="3:15" x14ac:dyDescent="0.55000000000000004">
      <c r="C14" s="2" t="s">
        <v>25</v>
      </c>
      <c r="D14" s="4">
        <v>44630</v>
      </c>
      <c r="E14" s="2" t="s">
        <v>40</v>
      </c>
      <c r="F14" s="75">
        <v>11</v>
      </c>
      <c r="G14" s="76" t="s">
        <v>25</v>
      </c>
      <c r="H14" s="75">
        <f>YEAR(I14)</f>
        <v>2022</v>
      </c>
      <c r="I14" s="78">
        <v>44630</v>
      </c>
      <c r="J14" s="73" t="s">
        <v>40</v>
      </c>
    </row>
    <row r="15" spans="3:15" x14ac:dyDescent="0.55000000000000004">
      <c r="C15" s="27" t="s">
        <v>24</v>
      </c>
      <c r="D15" s="23">
        <v>44631</v>
      </c>
      <c r="E15" s="27" t="s">
        <v>39</v>
      </c>
    </row>
    <row r="16" spans="3:15" x14ac:dyDescent="0.55000000000000004">
      <c r="C16" s="2" t="s">
        <v>26</v>
      </c>
      <c r="D16" s="4">
        <v>44674</v>
      </c>
      <c r="E16" s="2" t="s">
        <v>39</v>
      </c>
      <c r="F16" s="66">
        <v>12</v>
      </c>
      <c r="G16" s="67" t="s">
        <v>26</v>
      </c>
      <c r="H16" s="66">
        <f>YEAR(I16)</f>
        <v>2022</v>
      </c>
      <c r="I16" s="71">
        <v>44674</v>
      </c>
      <c r="J16" s="70" t="s">
        <v>39</v>
      </c>
    </row>
    <row r="17" spans="3:15" x14ac:dyDescent="0.55000000000000004">
      <c r="C17" s="2" t="s">
        <v>90</v>
      </c>
      <c r="D17" s="4">
        <v>44717</v>
      </c>
      <c r="E17" s="2" t="s">
        <v>40</v>
      </c>
      <c r="F17" s="66">
        <v>24</v>
      </c>
      <c r="G17" s="67" t="s">
        <v>90</v>
      </c>
      <c r="H17" s="66">
        <f>YEAR(I17)</f>
        <v>2023</v>
      </c>
      <c r="I17" s="71">
        <v>45146</v>
      </c>
      <c r="J17" s="74"/>
      <c r="K17" s="75">
        <v>27</v>
      </c>
      <c r="L17" s="76" t="s">
        <v>90</v>
      </c>
      <c r="M17" s="75">
        <f>YEAR(N17)</f>
        <v>2023</v>
      </c>
      <c r="N17" s="78">
        <v>45168</v>
      </c>
      <c r="O17" s="81"/>
    </row>
    <row r="18" spans="3:15" x14ac:dyDescent="0.55000000000000004">
      <c r="C18" s="2" t="s">
        <v>239</v>
      </c>
      <c r="D18" s="4"/>
      <c r="F18" s="66">
        <v>16</v>
      </c>
      <c r="G18" s="67" t="s">
        <v>30</v>
      </c>
      <c r="H18" s="66">
        <f>YEAR(I18)</f>
        <v>2022</v>
      </c>
      <c r="I18" s="71">
        <v>44921</v>
      </c>
      <c r="J18" s="70" t="s">
        <v>39</v>
      </c>
    </row>
    <row r="19" spans="3:15" x14ac:dyDescent="0.55000000000000004">
      <c r="C19" s="2" t="s">
        <v>91</v>
      </c>
      <c r="D19" s="4">
        <v>44721</v>
      </c>
      <c r="E19" s="2" t="s">
        <v>40</v>
      </c>
    </row>
    <row r="20" spans="3:15" x14ac:dyDescent="0.55000000000000004">
      <c r="C20" s="2" t="s">
        <v>27</v>
      </c>
      <c r="D20" s="4">
        <v>44729</v>
      </c>
      <c r="E20" s="2" t="s">
        <v>38</v>
      </c>
      <c r="F20" s="75">
        <v>13</v>
      </c>
      <c r="G20" s="79" t="s">
        <v>27</v>
      </c>
      <c r="H20" s="75">
        <f>YEAR(I20)</f>
        <v>2022</v>
      </c>
      <c r="I20" s="80">
        <v>44731</v>
      </c>
      <c r="J20" s="69" t="s">
        <v>38</v>
      </c>
    </row>
    <row r="21" spans="3:15" x14ac:dyDescent="0.55000000000000004">
      <c r="C21" s="2" t="s">
        <v>68</v>
      </c>
      <c r="D21" s="23">
        <v>44312</v>
      </c>
      <c r="E21" s="2" t="s">
        <v>38</v>
      </c>
    </row>
    <row r="22" spans="3:15" x14ac:dyDescent="0.55000000000000004">
      <c r="C22" s="2" t="s">
        <v>91</v>
      </c>
      <c r="D22" s="4">
        <v>44721</v>
      </c>
      <c r="E22" s="2" t="s">
        <v>40</v>
      </c>
    </row>
    <row r="23" spans="3:15" x14ac:dyDescent="0.55000000000000004">
      <c r="C23" s="2" t="s">
        <v>69</v>
      </c>
      <c r="D23" s="4">
        <v>44804</v>
      </c>
      <c r="E23" s="2" t="s">
        <v>39</v>
      </c>
    </row>
    <row r="24" spans="3:15" x14ac:dyDescent="0.55000000000000004">
      <c r="C24" s="2" t="s">
        <v>161</v>
      </c>
      <c r="D24" s="23">
        <v>44852</v>
      </c>
      <c r="E24" s="4" t="s">
        <v>38</v>
      </c>
    </row>
    <row r="25" spans="3:15" x14ac:dyDescent="0.55000000000000004">
      <c r="C25" s="2" t="s">
        <v>28</v>
      </c>
      <c r="D25" s="4">
        <v>44856</v>
      </c>
      <c r="E25" s="4" t="s">
        <v>39</v>
      </c>
      <c r="F25" s="66">
        <v>14</v>
      </c>
      <c r="G25" s="67" t="s">
        <v>28</v>
      </c>
      <c r="H25" s="66">
        <f>YEAR(I25)</f>
        <v>2022</v>
      </c>
      <c r="I25" s="71">
        <v>44856</v>
      </c>
      <c r="J25" s="70" t="s">
        <v>39</v>
      </c>
    </row>
    <row r="26" spans="3:15" x14ac:dyDescent="0.55000000000000004">
      <c r="C26" s="2" t="s">
        <v>59</v>
      </c>
      <c r="D26" s="4">
        <v>44872</v>
      </c>
      <c r="E26" s="4" t="s">
        <v>39</v>
      </c>
    </row>
    <row r="27" spans="3:15" x14ac:dyDescent="0.55000000000000004">
      <c r="C27" s="2" t="s">
        <v>84</v>
      </c>
      <c r="D27" s="36">
        <v>44866</v>
      </c>
      <c r="E27" s="27" t="s">
        <v>39</v>
      </c>
    </row>
    <row r="28" spans="3:15" x14ac:dyDescent="0.55000000000000004">
      <c r="C28" s="19" t="s">
        <v>29</v>
      </c>
      <c r="D28" s="36">
        <v>44896</v>
      </c>
      <c r="E28" s="23" t="s">
        <v>39</v>
      </c>
      <c r="F28" s="75">
        <v>15</v>
      </c>
      <c r="G28" s="76" t="s">
        <v>29</v>
      </c>
      <c r="H28" s="75">
        <f>YEAR(I28)</f>
        <v>2022</v>
      </c>
      <c r="I28" s="78">
        <v>44907</v>
      </c>
      <c r="J28" s="70" t="s">
        <v>39</v>
      </c>
    </row>
    <row r="29" spans="3:15" x14ac:dyDescent="0.55000000000000004">
      <c r="C29" s="2" t="s">
        <v>30</v>
      </c>
      <c r="D29" s="4">
        <v>44920</v>
      </c>
      <c r="E29" s="2" t="s">
        <v>39</v>
      </c>
    </row>
    <row r="30" spans="3:15" x14ac:dyDescent="0.55000000000000004">
      <c r="C30" s="2" t="s">
        <v>31</v>
      </c>
      <c r="D30" s="4">
        <v>44921</v>
      </c>
      <c r="E30" s="2" t="s">
        <v>39</v>
      </c>
      <c r="F30" s="75">
        <v>17</v>
      </c>
      <c r="G30" s="76" t="s">
        <v>31</v>
      </c>
      <c r="H30" s="75">
        <f>YEAR(I30)</f>
        <v>2022</v>
      </c>
      <c r="I30" s="78">
        <v>44922</v>
      </c>
      <c r="J30" s="70" t="s">
        <v>39</v>
      </c>
    </row>
    <row r="31" spans="3:15" x14ac:dyDescent="0.55000000000000004">
      <c r="C31" s="2" t="s">
        <v>32</v>
      </c>
      <c r="D31" s="25">
        <v>44937</v>
      </c>
      <c r="E31" s="2" t="s">
        <v>39</v>
      </c>
      <c r="F31" s="66">
        <v>18</v>
      </c>
      <c r="G31" s="67" t="s">
        <v>32</v>
      </c>
      <c r="H31" s="66">
        <f>YEAR(I31)</f>
        <v>2023</v>
      </c>
      <c r="I31" s="71">
        <v>44937</v>
      </c>
      <c r="J31" s="70" t="s">
        <v>39</v>
      </c>
    </row>
    <row r="32" spans="3:15" x14ac:dyDescent="0.55000000000000004">
      <c r="C32" s="2" t="s">
        <v>159</v>
      </c>
      <c r="D32" s="36">
        <v>44927</v>
      </c>
      <c r="E32" s="2" t="s">
        <v>38</v>
      </c>
    </row>
    <row r="33" spans="3:15" x14ac:dyDescent="0.55000000000000004">
      <c r="C33" s="2" t="s">
        <v>33</v>
      </c>
      <c r="D33" s="4">
        <v>44965</v>
      </c>
      <c r="E33" s="2" t="s">
        <v>39</v>
      </c>
      <c r="F33" s="75">
        <v>19</v>
      </c>
      <c r="G33" s="76" t="s">
        <v>33</v>
      </c>
      <c r="H33" s="75">
        <f>YEAR(I33)</f>
        <v>2023</v>
      </c>
      <c r="I33" s="78">
        <v>44966</v>
      </c>
      <c r="J33" s="70" t="s">
        <v>39</v>
      </c>
      <c r="O33" s="74"/>
    </row>
    <row r="34" spans="3:15" x14ac:dyDescent="0.55000000000000004">
      <c r="C34" s="2" t="s">
        <v>157</v>
      </c>
      <c r="D34" s="23">
        <v>44994</v>
      </c>
      <c r="E34" s="2" t="s">
        <v>38</v>
      </c>
    </row>
    <row r="35" spans="3:15" x14ac:dyDescent="0.55000000000000004">
      <c r="C35" s="2" t="s">
        <v>34</v>
      </c>
      <c r="D35" s="4">
        <v>45005</v>
      </c>
      <c r="E35" s="2" t="s">
        <v>39</v>
      </c>
      <c r="F35" s="66">
        <v>20</v>
      </c>
      <c r="G35" s="67" t="s">
        <v>34</v>
      </c>
      <c r="H35" s="66">
        <f>YEAR(I35)</f>
        <v>2023</v>
      </c>
      <c r="I35" s="71">
        <v>45005</v>
      </c>
      <c r="J35" s="70" t="s">
        <v>39</v>
      </c>
    </row>
    <row r="36" spans="3:15" x14ac:dyDescent="0.55000000000000004">
      <c r="C36" s="2" t="s">
        <v>147</v>
      </c>
      <c r="D36" s="4">
        <v>45019</v>
      </c>
      <c r="E36" s="2" t="s">
        <v>38</v>
      </c>
      <c r="F36" s="75">
        <v>21</v>
      </c>
      <c r="G36" s="76" t="s">
        <v>147</v>
      </c>
      <c r="H36" s="75">
        <f>YEAR(I36)</f>
        <v>2023</v>
      </c>
      <c r="I36" s="78">
        <v>45019</v>
      </c>
      <c r="J36" s="72" t="s">
        <v>38</v>
      </c>
    </row>
    <row r="37" spans="3:15" x14ac:dyDescent="0.55000000000000004">
      <c r="C37" s="2" t="s">
        <v>35</v>
      </c>
      <c r="D37" s="4">
        <v>45032</v>
      </c>
      <c r="E37" s="2" t="s">
        <v>39</v>
      </c>
      <c r="F37" s="66">
        <v>22</v>
      </c>
      <c r="G37" s="67" t="s">
        <v>35</v>
      </c>
      <c r="H37" s="66">
        <f>YEAR(I37)</f>
        <v>2023</v>
      </c>
      <c r="I37" s="71">
        <v>45032</v>
      </c>
      <c r="J37" s="70" t="s">
        <v>39</v>
      </c>
    </row>
    <row r="38" spans="3:15" x14ac:dyDescent="0.55000000000000004">
      <c r="C38" s="2" t="s">
        <v>134</v>
      </c>
      <c r="D38" s="4">
        <v>45089</v>
      </c>
      <c r="E38" s="2" t="s">
        <v>39</v>
      </c>
      <c r="F38" s="75">
        <v>23</v>
      </c>
      <c r="G38" s="76" t="s">
        <v>134</v>
      </c>
      <c r="H38" s="75">
        <f>YEAR(I38)</f>
        <v>2023</v>
      </c>
      <c r="I38" s="78">
        <v>45089</v>
      </c>
      <c r="J38" s="70" t="s">
        <v>39</v>
      </c>
    </row>
    <row r="39" spans="3:15" x14ac:dyDescent="0.55000000000000004">
      <c r="C39" s="2" t="s">
        <v>170</v>
      </c>
      <c r="D39" s="23">
        <v>45149</v>
      </c>
      <c r="E39" s="2" t="s">
        <v>38</v>
      </c>
    </row>
    <row r="40" spans="3:15" x14ac:dyDescent="0.55000000000000004">
      <c r="C40" s="19" t="s">
        <v>171</v>
      </c>
      <c r="D40" s="25">
        <v>45164</v>
      </c>
      <c r="E40" s="19" t="s">
        <v>38</v>
      </c>
      <c r="F40" s="66">
        <v>26</v>
      </c>
      <c r="G40" s="67" t="s">
        <v>171</v>
      </c>
      <c r="H40" s="66">
        <f>YEAR(I40)</f>
        <v>2023</v>
      </c>
      <c r="I40" s="71">
        <v>45164</v>
      </c>
      <c r="J40" s="74"/>
    </row>
    <row r="41" spans="3:15" x14ac:dyDescent="0.55000000000000004">
      <c r="C41" s="2" t="s">
        <v>180</v>
      </c>
      <c r="D41" s="25">
        <v>45195</v>
      </c>
      <c r="E41" s="2" t="s">
        <v>38</v>
      </c>
      <c r="F41" s="75">
        <v>25</v>
      </c>
      <c r="G41" s="76" t="s">
        <v>238</v>
      </c>
      <c r="H41" s="75">
        <f>YEAR(I41)</f>
        <v>2023</v>
      </c>
      <c r="I41" s="78">
        <v>45150</v>
      </c>
      <c r="J41" s="81"/>
      <c r="K41" s="66">
        <v>28</v>
      </c>
      <c r="L41" s="67" t="s">
        <v>238</v>
      </c>
      <c r="M41" s="66">
        <f>YEAR(N41)</f>
        <v>2023</v>
      </c>
      <c r="N41" s="71">
        <v>45169</v>
      </c>
      <c r="O41" s="74"/>
    </row>
    <row r="42" spans="3:15" x14ac:dyDescent="0.55000000000000004">
      <c r="C42" s="2" t="s">
        <v>181</v>
      </c>
      <c r="D42" s="4">
        <v>45179</v>
      </c>
      <c r="E42" s="2" t="s">
        <v>38</v>
      </c>
      <c r="F42" s="75">
        <v>29</v>
      </c>
      <c r="G42" s="76" t="s">
        <v>181</v>
      </c>
      <c r="H42" s="75">
        <f>YEAR(I42)</f>
        <v>2023</v>
      </c>
      <c r="I42" s="78">
        <v>45179</v>
      </c>
      <c r="J42" s="81"/>
    </row>
    <row r="43" spans="3:15" x14ac:dyDescent="0.55000000000000004">
      <c r="C43" s="28" t="s">
        <v>182</v>
      </c>
      <c r="D43" s="4">
        <v>45187</v>
      </c>
      <c r="E43" s="28" t="s">
        <v>39</v>
      </c>
      <c r="F43" s="66">
        <v>30</v>
      </c>
      <c r="G43" s="67" t="s">
        <v>182</v>
      </c>
      <c r="H43" s="66">
        <f>YEAR(I43)</f>
        <v>2023</v>
      </c>
      <c r="I43" s="71">
        <v>45187</v>
      </c>
    </row>
    <row r="44" spans="3:15" x14ac:dyDescent="0.55000000000000004">
      <c r="C44" s="19" t="s">
        <v>88</v>
      </c>
      <c r="D44" s="25">
        <v>44619</v>
      </c>
    </row>
    <row r="45" spans="3:15" x14ac:dyDescent="0.55000000000000004">
      <c r="C45" s="19" t="s">
        <v>91</v>
      </c>
      <c r="D45" s="25">
        <v>44721</v>
      </c>
    </row>
    <row r="46" spans="3:15" x14ac:dyDescent="0.55000000000000004">
      <c r="C46" s="19" t="s">
        <v>183</v>
      </c>
      <c r="F46" s="75">
        <v>9</v>
      </c>
      <c r="G46" s="79" t="s">
        <v>24</v>
      </c>
      <c r="H46" s="75">
        <f>YEAR(I46)</f>
        <v>2022</v>
      </c>
      <c r="I46" s="80">
        <v>44605</v>
      </c>
      <c r="J46" s="72" t="s">
        <v>38</v>
      </c>
    </row>
    <row r="47" spans="3:15" x14ac:dyDescent="0.55000000000000004">
      <c r="C47" s="19" t="s">
        <v>88</v>
      </c>
      <c r="D47" s="25">
        <v>45276</v>
      </c>
    </row>
    <row r="48" spans="3:15" x14ac:dyDescent="0.55000000000000004">
      <c r="C48" s="64" t="s">
        <v>23</v>
      </c>
    </row>
    <row r="49" spans="3:3" x14ac:dyDescent="0.55000000000000004">
      <c r="C49" s="64" t="s">
        <v>161</v>
      </c>
    </row>
    <row r="50" spans="3:3" x14ac:dyDescent="0.55000000000000004">
      <c r="C50" s="64" t="s">
        <v>29</v>
      </c>
    </row>
    <row r="51" spans="3:3" x14ac:dyDescent="0.55000000000000004">
      <c r="C51" s="64" t="s">
        <v>234</v>
      </c>
    </row>
    <row r="52" spans="3:3" x14ac:dyDescent="0.55000000000000004">
      <c r="C52" s="64" t="s">
        <v>25</v>
      </c>
    </row>
    <row r="53" spans="3:3" x14ac:dyDescent="0.55000000000000004">
      <c r="C53" s="64" t="s">
        <v>59</v>
      </c>
    </row>
    <row r="54" spans="3:3" x14ac:dyDescent="0.55000000000000004">
      <c r="C54" s="64" t="s">
        <v>235</v>
      </c>
    </row>
    <row r="55" spans="3:3" x14ac:dyDescent="0.55000000000000004">
      <c r="C55" s="64" t="s">
        <v>17</v>
      </c>
    </row>
  </sheetData>
  <mergeCells count="3">
    <mergeCell ref="C1:C3"/>
    <mergeCell ref="D1:D3"/>
    <mergeCell ref="E1:E3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23949c-59f9-4bc6-8eb7-010710ae7384">
      <Terms xmlns="http://schemas.microsoft.com/office/infopath/2007/PartnerControls"/>
    </lcf76f155ced4ddcb4097134ff3c332f>
    <TaxCatchAll xmlns="363733b0-da0f-4896-8bf3-e40f11b47f7e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49773162454E41BCC87CC665C7F703" ma:contentTypeVersion="20" ma:contentTypeDescription="Crear nuevo documento." ma:contentTypeScope="" ma:versionID="06b13e831521d43ebf4937abe2f0422b">
  <xsd:schema xmlns:xsd="http://www.w3.org/2001/XMLSchema" xmlns:xs="http://www.w3.org/2001/XMLSchema" xmlns:p="http://schemas.microsoft.com/office/2006/metadata/properties" xmlns:ns1="http://schemas.microsoft.com/sharepoint/v3" xmlns:ns2="bc23949c-59f9-4bc6-8eb7-010710ae7384" xmlns:ns3="363733b0-da0f-4896-8bf3-e40f11b47f7e" targetNamespace="http://schemas.microsoft.com/office/2006/metadata/properties" ma:root="true" ma:fieldsID="0fe990b8f95fd4b1c4a8d03ac0e1d35d" ns1:_="" ns2:_="" ns3:_="">
    <xsd:import namespace="http://schemas.microsoft.com/sharepoint/v3"/>
    <xsd:import namespace="bc23949c-59f9-4bc6-8eb7-010710ae7384"/>
    <xsd:import namespace="363733b0-da0f-4896-8bf3-e40f11b47f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3949c-59f9-4bc6-8eb7-010710ae7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59a32809-2bed-4e52-b9fc-2832a4cb8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733b0-da0f-4896-8bf3-e40f11b47f7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64d68de-c325-415c-ab33-d02ec67ce816}" ma:internalName="TaxCatchAll" ma:showField="CatchAllData" ma:web="363733b0-da0f-4896-8bf3-e40f11b47f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D2845B-A479-4D96-9938-B1397ABA3C68}">
  <ds:schemaRefs>
    <ds:schemaRef ds:uri="http://schemas.microsoft.com/office/2006/metadata/properties"/>
    <ds:schemaRef ds:uri="bc23949c-59f9-4bc6-8eb7-010710ae7384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363733b0-da0f-4896-8bf3-e40f11b47f7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5403B4-4346-41CD-BB05-4A62B4E93C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205267-ACE3-48B1-955F-3F19F4EB93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c23949c-59f9-4bc6-8eb7-010710ae7384"/>
    <ds:schemaRef ds:uri="363733b0-da0f-4896-8bf3-e40f11b47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Campo Quesqui</vt:lpstr>
      <vt:lpstr>Q base orig</vt:lpstr>
      <vt:lpstr>Rel pozos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Crespo Carrillo Aurea Ivet</dc:creator>
  <cp:lastModifiedBy>Aldo Bocardo Quezada</cp:lastModifiedBy>
  <dcterms:created xsi:type="dcterms:W3CDTF">2023-06-01T23:46:51Z</dcterms:created>
  <dcterms:modified xsi:type="dcterms:W3CDTF">2024-07-05T19:53:31Z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0x0101007D49773162454E41BCC87CC665C7F703</vt:lpwstr>
  </property>
  <property fmtid="{D5CDD505-2E9C-101B-9397-08002B2CF9AE}" pid="4" name="MSIP_Label_b7a85cbc-91d7-4bc3-bc7f-34262549961f_Enabled">
    <vt:lpwstr>true</vt:lpwstr>
  </property>
  <property fmtid="{D5CDD505-2E9C-101B-9397-08002B2CF9AE}" pid="5" name="MSIP_Label_b7a85cbc-91d7-4bc3-bc7f-34262549961f_SetDate">
    <vt:lpwstr>2023-12-17T19:44:48Z</vt:lpwstr>
  </property>
  <property fmtid="{D5CDD505-2E9C-101B-9397-08002B2CF9AE}" pid="6" name="MSIP_Label_b7a85cbc-91d7-4bc3-bc7f-34262549961f_Method">
    <vt:lpwstr>Standard</vt:lpwstr>
  </property>
  <property fmtid="{D5CDD505-2E9C-101B-9397-08002B2CF9AE}" pid="7" name="MSIP_Label_b7a85cbc-91d7-4bc3-bc7f-34262549961f_Name">
    <vt:lpwstr>Pública</vt:lpwstr>
  </property>
  <property fmtid="{D5CDD505-2E9C-101B-9397-08002B2CF9AE}" pid="8" name="MSIP_Label_b7a85cbc-91d7-4bc3-bc7f-34262549961f_SiteId">
    <vt:lpwstr>0fb730e1-89f1-4035-ae89-d327c0f1d87b</vt:lpwstr>
  </property>
  <property fmtid="{D5CDD505-2E9C-101B-9397-08002B2CF9AE}" pid="9" name="MSIP_Label_b7a85cbc-91d7-4bc3-bc7f-34262549961f_ActionId">
    <vt:lpwstr>b1ce1bd3-98dd-46a2-b87d-d583e3e59d3c</vt:lpwstr>
  </property>
  <property fmtid="{D5CDD505-2E9C-101B-9397-08002B2CF9AE}" pid="10" name="MSIP_Label_b7a85cbc-91d7-4bc3-bc7f-34262549961f_ContentBits">
    <vt:lpwstr>0</vt:lpwstr>
  </property>
</Properties>
</file>