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ma\Desktop\BW2 3. Paper\Inventory model\P3_LCIA_data\"/>
    </mc:Choice>
  </mc:AlternateContent>
  <bookViews>
    <workbookView xWindow="0" yWindow="0" windowWidth="15200" windowHeight="6060" tabRatio="739" activeTab="6"/>
  </bookViews>
  <sheets>
    <sheet name="data_1tier" sheetId="9" r:id="rId1"/>
    <sheet name="data_2tier" sheetId="11" r:id="rId2"/>
    <sheet name="data_3tier" sheetId="13" r:id="rId3"/>
    <sheet name="data_rawmat" sheetId="12" r:id="rId4"/>
    <sheet name="data_intmat" sheetId="15" r:id="rId5"/>
    <sheet name="data_min" sheetId="16" r:id="rId6"/>
    <sheet name="data(temporal relevance)" sheetId="1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GoBack" localSheetId="0">data_1tier!$D$5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1" i="9" l="1"/>
  <c r="G51" i="9" l="1"/>
  <c r="G6" i="9"/>
  <c r="G9" i="9"/>
  <c r="B53" i="9"/>
  <c r="B178" i="12" l="1"/>
  <c r="B153" i="12"/>
  <c r="B91" i="12"/>
  <c r="G77" i="13" l="1"/>
  <c r="G76" i="13"/>
  <c r="G75" i="13"/>
  <c r="G74" i="13"/>
  <c r="G73" i="13"/>
  <c r="G72" i="13"/>
  <c r="G71" i="13"/>
  <c r="G70" i="13"/>
  <c r="G69" i="13"/>
  <c r="G68" i="13"/>
  <c r="G67" i="13"/>
  <c r="G66" i="13"/>
  <c r="G65" i="13"/>
  <c r="B67" i="13"/>
  <c r="B66" i="13"/>
  <c r="B65" i="13"/>
  <c r="G78" i="13" l="1"/>
  <c r="H74" i="13" s="1"/>
  <c r="B77" i="16"/>
  <c r="G211" i="12"/>
  <c r="G210" i="12"/>
  <c r="G209" i="12"/>
  <c r="G208" i="12"/>
  <c r="G207" i="12"/>
  <c r="G206" i="12"/>
  <c r="B206" i="12"/>
  <c r="H69" i="13" l="1"/>
  <c r="H75" i="13"/>
  <c r="H76" i="13"/>
  <c r="H68" i="13"/>
  <c r="H67" i="13"/>
  <c r="H77" i="13"/>
  <c r="H65" i="13"/>
  <c r="H71" i="13"/>
  <c r="H72" i="13"/>
  <c r="H73" i="13"/>
  <c r="H66" i="13"/>
  <c r="H70" i="13"/>
  <c r="G212" i="12"/>
  <c r="H207" i="12" s="1"/>
  <c r="B52" i="9"/>
  <c r="B7" i="9"/>
  <c r="B69" i="13" s="1"/>
  <c r="H211" i="12" l="1"/>
  <c r="H209" i="12"/>
  <c r="H210" i="12"/>
  <c r="H208" i="12"/>
  <c r="H206" i="12"/>
  <c r="G65" i="11"/>
  <c r="G64" i="11"/>
  <c r="G63" i="11"/>
  <c r="G62" i="11"/>
  <c r="G61" i="11"/>
  <c r="G60" i="11"/>
  <c r="G59" i="11"/>
  <c r="G58" i="11"/>
  <c r="G57" i="11"/>
  <c r="G56" i="11"/>
  <c r="G55" i="11"/>
  <c r="G54" i="11"/>
  <c r="G53" i="11"/>
  <c r="G52" i="11"/>
  <c r="G51" i="11"/>
  <c r="G46" i="11"/>
  <c r="G45" i="11"/>
  <c r="G44" i="11"/>
  <c r="G43" i="11"/>
  <c r="G42" i="11"/>
  <c r="G41" i="11"/>
  <c r="G40" i="11"/>
  <c r="G39" i="11"/>
  <c r="G38" i="11"/>
  <c r="G37" i="11"/>
  <c r="G36" i="11"/>
  <c r="G35" i="11"/>
  <c r="G34" i="11"/>
  <c r="G33" i="11"/>
  <c r="G32" i="11"/>
  <c r="G31" i="11"/>
  <c r="G26" i="11"/>
  <c r="G25" i="11"/>
  <c r="G24" i="11"/>
  <c r="G23" i="11"/>
  <c r="G22" i="11"/>
  <c r="G17" i="11"/>
  <c r="G16" i="11"/>
  <c r="G15" i="11"/>
  <c r="G14" i="11"/>
  <c r="G13" i="11"/>
  <c r="G12" i="11"/>
  <c r="G11" i="11"/>
  <c r="G10" i="11"/>
  <c r="G9" i="11"/>
  <c r="G8" i="11"/>
  <c r="G7" i="11"/>
  <c r="G6" i="11"/>
  <c r="G5" i="11"/>
  <c r="G66" i="11" l="1"/>
  <c r="H51" i="11" s="1"/>
  <c r="G47" i="11"/>
  <c r="H34" i="11" s="1"/>
  <c r="G27" i="11"/>
  <c r="H26" i="11" s="1"/>
  <c r="G18" i="11"/>
  <c r="H54" i="11" l="1"/>
  <c r="H60" i="11"/>
  <c r="H52" i="11"/>
  <c r="H58" i="11"/>
  <c r="H55" i="11"/>
  <c r="H62" i="11"/>
  <c r="H57" i="11"/>
  <c r="H59" i="11"/>
  <c r="H53" i="11"/>
  <c r="H65" i="11"/>
  <c r="H56" i="11"/>
  <c r="H61" i="11"/>
  <c r="H64" i="11"/>
  <c r="H63" i="11"/>
  <c r="H22" i="11"/>
  <c r="H36" i="11"/>
  <c r="H44" i="11"/>
  <c r="H37" i="11"/>
  <c r="H45" i="11"/>
  <c r="H33" i="11"/>
  <c r="H32" i="11"/>
  <c r="H40" i="11"/>
  <c r="H41" i="11"/>
  <c r="H38" i="11"/>
  <c r="H42" i="11"/>
  <c r="H31" i="11"/>
  <c r="H43" i="11"/>
  <c r="H35" i="11"/>
  <c r="H39" i="11"/>
  <c r="H46" i="11"/>
  <c r="H25" i="11"/>
  <c r="H24" i="11"/>
  <c r="H23" i="11"/>
  <c r="H11" i="11"/>
  <c r="H7" i="11"/>
  <c r="H15" i="11"/>
  <c r="H8" i="11"/>
  <c r="H16" i="11"/>
  <c r="H9" i="11"/>
  <c r="H17" i="11"/>
  <c r="H5" i="11"/>
  <c r="H6" i="11"/>
  <c r="H13" i="11"/>
  <c r="H12" i="11"/>
  <c r="H14" i="11"/>
  <c r="H10" i="11"/>
  <c r="AD73" i="9" l="1"/>
  <c r="AD72" i="9"/>
  <c r="AD71" i="9"/>
  <c r="AD70" i="9"/>
  <c r="AD69" i="9"/>
  <c r="AD68" i="9"/>
  <c r="AD67" i="9"/>
  <c r="AD66" i="9"/>
  <c r="AD65" i="9"/>
  <c r="AD64" i="9"/>
  <c r="AD63" i="9"/>
  <c r="AD62" i="9"/>
  <c r="AD61" i="9"/>
  <c r="AD60" i="9"/>
  <c r="AD57" i="9"/>
  <c r="AD56" i="9"/>
  <c r="AD55" i="9"/>
  <c r="AD54" i="9"/>
  <c r="AD53" i="9"/>
  <c r="W31" i="9"/>
  <c r="W30" i="9"/>
  <c r="W29" i="9"/>
  <c r="W28" i="9"/>
  <c r="W27" i="9"/>
  <c r="W26" i="9"/>
  <c r="W25" i="9"/>
  <c r="W24" i="9"/>
  <c r="W23" i="9"/>
  <c r="W22" i="9"/>
  <c r="W21" i="9"/>
  <c r="W20" i="9"/>
  <c r="W32" i="9" l="1"/>
  <c r="X27" i="9" s="1"/>
  <c r="AD74" i="9"/>
  <c r="X29" i="9" l="1"/>
  <c r="X26" i="9"/>
  <c r="X21" i="9"/>
  <c r="X20" i="9"/>
  <c r="X30" i="9"/>
  <c r="X23" i="9"/>
  <c r="X28" i="9"/>
  <c r="X25" i="9"/>
  <c r="X22" i="9"/>
  <c r="X31" i="9"/>
  <c r="X24" i="9"/>
  <c r="AE70" i="9"/>
  <c r="AE62" i="9"/>
  <c r="AE64" i="9"/>
  <c r="AE72" i="9"/>
  <c r="AE54" i="9"/>
  <c r="AE60" i="9"/>
  <c r="AE68" i="9"/>
  <c r="AE53" i="9"/>
  <c r="AE67" i="9"/>
  <c r="AE63" i="9"/>
  <c r="AE56" i="9"/>
  <c r="AE69" i="9"/>
  <c r="AE71" i="9"/>
  <c r="AE66" i="9"/>
  <c r="AE57" i="9"/>
  <c r="AE61" i="9"/>
  <c r="AE73" i="9"/>
  <c r="AE65" i="9"/>
  <c r="AE55" i="9"/>
  <c r="B95" i="16" l="1"/>
  <c r="B89" i="16"/>
  <c r="B83" i="16"/>
  <c r="B71" i="16"/>
  <c r="B65" i="16"/>
  <c r="B59" i="16"/>
  <c r="G148" i="12"/>
  <c r="G147" i="12"/>
  <c r="G146" i="12"/>
  <c r="G145" i="12"/>
  <c r="G144" i="12"/>
  <c r="G143" i="12"/>
  <c r="G142" i="12"/>
  <c r="G141" i="12"/>
  <c r="G140" i="12"/>
  <c r="G139" i="12"/>
  <c r="G149" i="12" l="1"/>
  <c r="B47" i="16"/>
  <c r="B35" i="16"/>
  <c r="B29" i="16"/>
  <c r="B23" i="16" l="1"/>
  <c r="B11" i="16"/>
  <c r="B5" i="16"/>
  <c r="G213" i="15"/>
  <c r="G212" i="15"/>
  <c r="G211" i="15"/>
  <c r="G210" i="15"/>
  <c r="G209" i="15"/>
  <c r="G208" i="15"/>
  <c r="G207" i="15"/>
  <c r="G206" i="15"/>
  <c r="G205" i="15"/>
  <c r="B205" i="15"/>
  <c r="G200" i="15"/>
  <c r="G199" i="15"/>
  <c r="G198" i="15"/>
  <c r="G197" i="15"/>
  <c r="G196" i="15"/>
  <c r="G195" i="15"/>
  <c r="G194" i="15"/>
  <c r="G193" i="15"/>
  <c r="G192" i="15"/>
  <c r="G191" i="15"/>
  <c r="G190" i="15"/>
  <c r="G189" i="15"/>
  <c r="G188" i="15"/>
  <c r="G187" i="15"/>
  <c r="G186" i="15"/>
  <c r="G185" i="15"/>
  <c r="G184" i="15"/>
  <c r="G183" i="15"/>
  <c r="G182" i="15"/>
  <c r="G181" i="15"/>
  <c r="B181" i="15"/>
  <c r="G176" i="15"/>
  <c r="G175" i="15"/>
  <c r="G174" i="15"/>
  <c r="G173" i="15"/>
  <c r="G172" i="15"/>
  <c r="G171" i="15"/>
  <c r="G170" i="15"/>
  <c r="G169" i="15"/>
  <c r="G168" i="15"/>
  <c r="G167" i="15"/>
  <c r="G166" i="15"/>
  <c r="G165" i="15"/>
  <c r="G164" i="15"/>
  <c r="G163" i="15"/>
  <c r="G162" i="15"/>
  <c r="G157" i="15"/>
  <c r="G156" i="15"/>
  <c r="G155" i="15"/>
  <c r="G154" i="15"/>
  <c r="G153" i="15"/>
  <c r="G152" i="15"/>
  <c r="G151" i="15"/>
  <c r="G150" i="15"/>
  <c r="G149" i="15"/>
  <c r="G148" i="15"/>
  <c r="G147" i="15"/>
  <c r="G146" i="15"/>
  <c r="G145" i="15"/>
  <c r="G144" i="15"/>
  <c r="G143" i="15"/>
  <c r="B143" i="15"/>
  <c r="H134" i="15"/>
  <c r="H135" i="15"/>
  <c r="H136" i="15"/>
  <c r="H137" i="15"/>
  <c r="H138" i="15"/>
  <c r="H133" i="15"/>
  <c r="G139" i="15"/>
  <c r="B5" i="15"/>
  <c r="G5" i="15"/>
  <c r="G128" i="15"/>
  <c r="G127" i="15"/>
  <c r="G126" i="15"/>
  <c r="G125" i="15"/>
  <c r="G124" i="15"/>
  <c r="G123" i="15"/>
  <c r="G122" i="15"/>
  <c r="G121" i="15"/>
  <c r="G120" i="15"/>
  <c r="G119" i="15"/>
  <c r="G118" i="15"/>
  <c r="G117" i="15"/>
  <c r="G116" i="15"/>
  <c r="G115" i="15"/>
  <c r="G114" i="15"/>
  <c r="B114" i="15"/>
  <c r="H99" i="15"/>
  <c r="H100" i="15"/>
  <c r="H101" i="15"/>
  <c r="H102" i="15"/>
  <c r="H103" i="15"/>
  <c r="H104" i="15"/>
  <c r="H105" i="15"/>
  <c r="H106" i="15"/>
  <c r="H107" i="15"/>
  <c r="H108" i="15"/>
  <c r="H109" i="15"/>
  <c r="H98" i="15"/>
  <c r="G110" i="15"/>
  <c r="G93" i="15"/>
  <c r="G92" i="15"/>
  <c r="G91" i="15"/>
  <c r="G90" i="15"/>
  <c r="G89" i="15"/>
  <c r="G88" i="15"/>
  <c r="G87" i="15"/>
  <c r="G86" i="15"/>
  <c r="B86" i="15"/>
  <c r="G81" i="15"/>
  <c r="G80" i="15"/>
  <c r="G79" i="15"/>
  <c r="G78" i="15"/>
  <c r="G77" i="15"/>
  <c r="G76" i="15"/>
  <c r="B76" i="15"/>
  <c r="G71" i="15"/>
  <c r="G70" i="15"/>
  <c r="G69" i="15"/>
  <c r="G68" i="15"/>
  <c r="G67" i="15"/>
  <c r="G66" i="15"/>
  <c r="G65" i="15"/>
  <c r="G64" i="15"/>
  <c r="G63" i="15"/>
  <c r="G62" i="15"/>
  <c r="G61" i="15"/>
  <c r="G60" i="15"/>
  <c r="G59" i="15"/>
  <c r="G58" i="15"/>
  <c r="G57" i="15"/>
  <c r="G56" i="15"/>
  <c r="G55" i="15"/>
  <c r="G54" i="15"/>
  <c r="G53" i="15"/>
  <c r="G52" i="15"/>
  <c r="G51" i="15"/>
  <c r="G50" i="15"/>
  <c r="B5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20" i="15"/>
  <c r="G46" i="15"/>
  <c r="B20" i="15"/>
  <c r="G214" i="15" l="1"/>
  <c r="H208" i="15" s="1"/>
  <c r="G201" i="15"/>
  <c r="H181" i="15" s="1"/>
  <c r="G82" i="15"/>
  <c r="H77" i="15" s="1"/>
  <c r="G129" i="15"/>
  <c r="H114" i="15" s="1"/>
  <c r="G177" i="15"/>
  <c r="H173" i="15" s="1"/>
  <c r="G72" i="15"/>
  <c r="H56" i="15" s="1"/>
  <c r="G158" i="15"/>
  <c r="H150" i="15" s="1"/>
  <c r="G94" i="15"/>
  <c r="H87" i="15" s="1"/>
  <c r="G15" i="15"/>
  <c r="G14" i="15"/>
  <c r="G13" i="15"/>
  <c r="G12" i="15"/>
  <c r="G11" i="15"/>
  <c r="G10" i="15"/>
  <c r="G9" i="15"/>
  <c r="G8" i="15"/>
  <c r="G7" i="15"/>
  <c r="G6" i="15"/>
  <c r="H205" i="15" l="1"/>
  <c r="H213" i="15"/>
  <c r="H210" i="15"/>
  <c r="H206" i="15"/>
  <c r="H207" i="15"/>
  <c r="H212" i="15"/>
  <c r="H211" i="15"/>
  <c r="H209" i="15"/>
  <c r="H172" i="15"/>
  <c r="H176" i="15"/>
  <c r="G16" i="15"/>
  <c r="H9" i="15" s="1"/>
  <c r="H168" i="15"/>
  <c r="H121" i="15"/>
  <c r="H90" i="15"/>
  <c r="H122" i="15"/>
  <c r="H124" i="15"/>
  <c r="H163" i="15"/>
  <c r="H80" i="15"/>
  <c r="H185" i="15"/>
  <c r="H117" i="15"/>
  <c r="H153" i="15"/>
  <c r="H164" i="15"/>
  <c r="H115" i="15"/>
  <c r="H86" i="15"/>
  <c r="H123" i="15"/>
  <c r="H193" i="15"/>
  <c r="H67" i="15"/>
  <c r="H52" i="15"/>
  <c r="H70" i="15"/>
  <c r="H151" i="15"/>
  <c r="H147" i="15"/>
  <c r="H155" i="15"/>
  <c r="H148" i="15"/>
  <c r="H156" i="15"/>
  <c r="H143" i="15"/>
  <c r="H53" i="15"/>
  <c r="H50" i="15"/>
  <c r="H57" i="15"/>
  <c r="H65" i="15"/>
  <c r="H61" i="15"/>
  <c r="H58" i="15"/>
  <c r="H66" i="15"/>
  <c r="H69" i="15"/>
  <c r="H188" i="15"/>
  <c r="H195" i="15"/>
  <c r="H63" i="15"/>
  <c r="H51" i="15"/>
  <c r="H154" i="15"/>
  <c r="H196" i="15"/>
  <c r="H184" i="15"/>
  <c r="H200" i="15"/>
  <c r="H170" i="15"/>
  <c r="H162" i="15"/>
  <c r="H166" i="15"/>
  <c r="H174" i="15"/>
  <c r="H167" i="15"/>
  <c r="H175" i="15"/>
  <c r="H79" i="15"/>
  <c r="H76" i="15"/>
  <c r="H171" i="15"/>
  <c r="H169" i="15"/>
  <c r="H187" i="15"/>
  <c r="H68" i="15"/>
  <c r="H81" i="15"/>
  <c r="H146" i="15"/>
  <c r="H152" i="15"/>
  <c r="H192" i="15"/>
  <c r="H189" i="15"/>
  <c r="H62" i="15"/>
  <c r="H144" i="15"/>
  <c r="H157" i="15"/>
  <c r="H165" i="15"/>
  <c r="H71" i="15"/>
  <c r="H78" i="15"/>
  <c r="H54" i="15"/>
  <c r="H59" i="15"/>
  <c r="H183" i="15"/>
  <c r="H191" i="15"/>
  <c r="H199" i="15"/>
  <c r="H182" i="15"/>
  <c r="H186" i="15"/>
  <c r="H194" i="15"/>
  <c r="H190" i="15"/>
  <c r="H198" i="15"/>
  <c r="H197" i="15"/>
  <c r="H145" i="15"/>
  <c r="H120" i="15"/>
  <c r="H128" i="15"/>
  <c r="H119" i="15"/>
  <c r="H126" i="15"/>
  <c r="H118" i="15"/>
  <c r="H127" i="15"/>
  <c r="H125" i="15"/>
  <c r="H64" i="15"/>
  <c r="H149" i="15"/>
  <c r="H60" i="15"/>
  <c r="H116" i="15"/>
  <c r="H55" i="15"/>
  <c r="H92" i="15"/>
  <c r="H93" i="15"/>
  <c r="H91" i="15"/>
  <c r="H89" i="15"/>
  <c r="H88" i="15"/>
  <c r="H10" i="15" l="1"/>
  <c r="H15" i="15"/>
  <c r="H6" i="15"/>
  <c r="H5" i="15"/>
  <c r="H8" i="15"/>
  <c r="H13" i="15"/>
  <c r="H14" i="15"/>
  <c r="H11" i="15"/>
  <c r="H7" i="15"/>
  <c r="H12" i="15"/>
  <c r="G258" i="12"/>
  <c r="G257" i="12"/>
  <c r="G256" i="12"/>
  <c r="G255" i="12"/>
  <c r="G254" i="12"/>
  <c r="G253" i="12"/>
  <c r="G252" i="12"/>
  <c r="G251" i="12"/>
  <c r="G250" i="12"/>
  <c r="G245" i="12"/>
  <c r="G244" i="12"/>
  <c r="G243" i="12"/>
  <c r="G242" i="12"/>
  <c r="G241" i="12"/>
  <c r="G240" i="12"/>
  <c r="G239" i="12"/>
  <c r="G238" i="12"/>
  <c r="G237" i="12"/>
  <c r="G236" i="12"/>
  <c r="G235" i="12"/>
  <c r="G234" i="12"/>
  <c r="G233" i="12"/>
  <c r="G232" i="12"/>
  <c r="G227" i="12"/>
  <c r="G226" i="12"/>
  <c r="G225" i="12"/>
  <c r="G224" i="12"/>
  <c r="G223" i="12"/>
  <c r="G222" i="12"/>
  <c r="G221" i="12"/>
  <c r="G220" i="12"/>
  <c r="G219" i="12"/>
  <c r="G218" i="12"/>
  <c r="G217" i="12"/>
  <c r="G216" i="12"/>
  <c r="G201" i="12"/>
  <c r="G200" i="12"/>
  <c r="G199" i="12"/>
  <c r="G198" i="12"/>
  <c r="G194" i="12"/>
  <c r="H180" i="12" s="1"/>
  <c r="G173" i="12"/>
  <c r="G172" i="12"/>
  <c r="G171" i="12"/>
  <c r="G170" i="12"/>
  <c r="G169" i="12"/>
  <c r="G168" i="12"/>
  <c r="G167" i="12"/>
  <c r="G166" i="12"/>
  <c r="G165" i="12"/>
  <c r="G160" i="12"/>
  <c r="G159" i="12"/>
  <c r="G158" i="12"/>
  <c r="G157" i="12"/>
  <c r="G156" i="12"/>
  <c r="G155" i="12"/>
  <c r="G154" i="12"/>
  <c r="G153" i="12"/>
  <c r="G246" i="12" l="1"/>
  <c r="H244" i="12" s="1"/>
  <c r="G202" i="12"/>
  <c r="H201" i="12" s="1"/>
  <c r="G228" i="12"/>
  <c r="H223" i="12" s="1"/>
  <c r="G161" i="12"/>
  <c r="H156" i="12" s="1"/>
  <c r="H178" i="12"/>
  <c r="H186" i="12"/>
  <c r="H193" i="12"/>
  <c r="H185" i="12"/>
  <c r="H187" i="12"/>
  <c r="H192" i="12"/>
  <c r="H184" i="12"/>
  <c r="G174" i="12"/>
  <c r="H165" i="12" s="1"/>
  <c r="H191" i="12"/>
  <c r="H183" i="12"/>
  <c r="H190" i="12"/>
  <c r="H182" i="12"/>
  <c r="H179" i="12"/>
  <c r="H189" i="12"/>
  <c r="H181" i="12"/>
  <c r="G259" i="12"/>
  <c r="H257" i="12" s="1"/>
  <c r="H188" i="12"/>
  <c r="H236" i="12" l="1"/>
  <c r="H235" i="12"/>
  <c r="H242" i="12"/>
  <c r="H234" i="12"/>
  <c r="H240" i="12"/>
  <c r="H243" i="12"/>
  <c r="H241" i="12"/>
  <c r="H233" i="12"/>
  <c r="H232" i="12"/>
  <c r="H238" i="12"/>
  <c r="H245" i="12"/>
  <c r="H237" i="12"/>
  <c r="H239" i="12"/>
  <c r="H200" i="12"/>
  <c r="H198" i="12"/>
  <c r="H199" i="12"/>
  <c r="H167" i="12"/>
  <c r="H154" i="12"/>
  <c r="H160" i="12"/>
  <c r="H153" i="12"/>
  <c r="H155" i="12"/>
  <c r="H158" i="12"/>
  <c r="H166" i="12"/>
  <c r="H157" i="12"/>
  <c r="H159" i="12"/>
  <c r="H224" i="12"/>
  <c r="H225" i="12"/>
  <c r="H221" i="12"/>
  <c r="H172" i="12"/>
  <c r="H222" i="12"/>
  <c r="H255" i="12"/>
  <c r="H169" i="12"/>
  <c r="H218" i="12"/>
  <c r="H251" i="12"/>
  <c r="H217" i="12"/>
  <c r="H253" i="12"/>
  <c r="H220" i="12"/>
  <c r="H168" i="12"/>
  <c r="H216" i="12"/>
  <c r="H226" i="12"/>
  <c r="H219" i="12"/>
  <c r="H227" i="12"/>
  <c r="H250" i="12"/>
  <c r="H252" i="12"/>
  <c r="H256" i="12"/>
  <c r="H258" i="12"/>
  <c r="H173" i="12"/>
  <c r="H171" i="12"/>
  <c r="H254" i="12"/>
  <c r="H170" i="12"/>
  <c r="Q28" i="9" l="1"/>
  <c r="Q27" i="9"/>
  <c r="Q26" i="9"/>
  <c r="Q25" i="9"/>
  <c r="Q24" i="9"/>
  <c r="Q23" i="9"/>
  <c r="Q22" i="9"/>
  <c r="Q21" i="9"/>
  <c r="Q20" i="9"/>
  <c r="Q19" i="9"/>
  <c r="Q29" i="9" l="1"/>
  <c r="R27" i="9" s="1"/>
  <c r="L78" i="9"/>
  <c r="L77" i="9"/>
  <c r="L76" i="9"/>
  <c r="L75" i="9"/>
  <c r="L74" i="9"/>
  <c r="L73" i="9"/>
  <c r="L72" i="9"/>
  <c r="L71" i="9"/>
  <c r="L70" i="9"/>
  <c r="L69" i="9"/>
  <c r="L68" i="9"/>
  <c r="L67" i="9"/>
  <c r="L66" i="9"/>
  <c r="L65" i="9"/>
  <c r="L64" i="9"/>
  <c r="L63" i="9"/>
  <c r="L62" i="9"/>
  <c r="L61" i="9"/>
  <c r="R23" i="9" l="1"/>
  <c r="R24" i="9"/>
  <c r="R22" i="9"/>
  <c r="R28" i="9"/>
  <c r="R25" i="9"/>
  <c r="R21" i="9"/>
  <c r="R19" i="9"/>
  <c r="R20" i="9"/>
  <c r="R26" i="9"/>
  <c r="L6" i="9"/>
  <c r="L5" i="9"/>
  <c r="H140" i="12" l="1"/>
  <c r="H146" i="12" l="1"/>
  <c r="H145" i="12"/>
  <c r="H144" i="12"/>
  <c r="H143" i="12"/>
  <c r="H142" i="12"/>
  <c r="H139" i="12"/>
  <c r="H141" i="12"/>
  <c r="H147" i="12"/>
  <c r="H148" i="12"/>
  <c r="G135" i="12"/>
  <c r="G134" i="12"/>
  <c r="G133" i="12"/>
  <c r="G132" i="12"/>
  <c r="G131" i="12"/>
  <c r="G130" i="12"/>
  <c r="G136" i="12" l="1"/>
  <c r="H134" i="12" s="1"/>
  <c r="G125" i="12"/>
  <c r="G124" i="12"/>
  <c r="G123" i="12"/>
  <c r="G122" i="12"/>
  <c r="G121" i="12"/>
  <c r="G126" i="12" l="1"/>
  <c r="H123" i="12" s="1"/>
  <c r="H135" i="12"/>
  <c r="H133" i="12"/>
  <c r="H130" i="12"/>
  <c r="H131" i="12"/>
  <c r="H132" i="12"/>
  <c r="G116" i="12"/>
  <c r="G115" i="12"/>
  <c r="G114" i="12"/>
  <c r="G113" i="12"/>
  <c r="G112" i="12"/>
  <c r="G111" i="12"/>
  <c r="G110" i="12"/>
  <c r="G109" i="12"/>
  <c r="G108" i="12"/>
  <c r="G103" i="12"/>
  <c r="G102" i="12"/>
  <c r="G101" i="12"/>
  <c r="G100" i="12"/>
  <c r="G99" i="12"/>
  <c r="G98" i="12"/>
  <c r="G97" i="12"/>
  <c r="G96" i="12"/>
  <c r="G95" i="12"/>
  <c r="G94" i="12"/>
  <c r="G93" i="12"/>
  <c r="G92" i="12"/>
  <c r="G91" i="12"/>
  <c r="B92" i="12"/>
  <c r="G80" i="12"/>
  <c r="G79" i="12"/>
  <c r="G78" i="12"/>
  <c r="G77" i="12"/>
  <c r="B79" i="12"/>
  <c r="G68" i="12"/>
  <c r="G67" i="12"/>
  <c r="G66" i="12"/>
  <c r="G62" i="12"/>
  <c r="H26" i="12" s="1"/>
  <c r="G16" i="12"/>
  <c r="G15" i="12"/>
  <c r="G14" i="12"/>
  <c r="G13" i="12"/>
  <c r="G12" i="12"/>
  <c r="G11" i="12"/>
  <c r="G10" i="12"/>
  <c r="G9" i="12"/>
  <c r="G8" i="12"/>
  <c r="G7" i="12"/>
  <c r="G6" i="12"/>
  <c r="G5" i="12"/>
  <c r="H53" i="13"/>
  <c r="H54" i="13"/>
  <c r="H55" i="13"/>
  <c r="H56" i="13"/>
  <c r="H57" i="13"/>
  <c r="H58" i="13"/>
  <c r="H52" i="13"/>
  <c r="G59" i="13"/>
  <c r="G45" i="13"/>
  <c r="G44" i="13"/>
  <c r="G43" i="13"/>
  <c r="G42" i="13"/>
  <c r="G41" i="13"/>
  <c r="G40" i="13"/>
  <c r="G39" i="13"/>
  <c r="G38" i="13"/>
  <c r="G37" i="13"/>
  <c r="G36" i="13"/>
  <c r="G35" i="13"/>
  <c r="G34" i="13"/>
  <c r="G33" i="13"/>
  <c r="G32" i="13"/>
  <c r="G31" i="13"/>
  <c r="G30" i="13"/>
  <c r="G29" i="13"/>
  <c r="G28" i="13"/>
  <c r="G23" i="13"/>
  <c r="G22" i="13"/>
  <c r="G21" i="13"/>
  <c r="G20" i="13"/>
  <c r="G19" i="13"/>
  <c r="G18" i="13"/>
  <c r="G17" i="13"/>
  <c r="G16" i="13"/>
  <c r="G15" i="13"/>
  <c r="G14" i="13"/>
  <c r="G13" i="13"/>
  <c r="G12" i="13"/>
  <c r="G11" i="13"/>
  <c r="G10" i="13"/>
  <c r="G9" i="13"/>
  <c r="G8" i="13"/>
  <c r="G7" i="13"/>
  <c r="G6" i="13"/>
  <c r="G5" i="13"/>
  <c r="H124" i="12" l="1"/>
  <c r="H53" i="12"/>
  <c r="H32" i="12"/>
  <c r="H49" i="12"/>
  <c r="H29" i="12"/>
  <c r="H48" i="12"/>
  <c r="H25" i="12"/>
  <c r="H45" i="12"/>
  <c r="H24" i="12"/>
  <c r="H41" i="12"/>
  <c r="H61" i="12"/>
  <c r="H40" i="12"/>
  <c r="H57" i="12"/>
  <c r="H37" i="12"/>
  <c r="H56" i="12"/>
  <c r="H33" i="12"/>
  <c r="H55" i="12"/>
  <c r="H47" i="12"/>
  <c r="H39" i="12"/>
  <c r="H31" i="12"/>
  <c r="H23" i="12"/>
  <c r="H125" i="12"/>
  <c r="H21" i="12"/>
  <c r="H54" i="12"/>
  <c r="H46" i="12"/>
  <c r="H38" i="12"/>
  <c r="H30" i="12"/>
  <c r="H22" i="12"/>
  <c r="H60" i="12"/>
  <c r="H52" i="12"/>
  <c r="H44" i="12"/>
  <c r="H36" i="12"/>
  <c r="H28" i="12"/>
  <c r="H59" i="12"/>
  <c r="H51" i="12"/>
  <c r="H43" i="12"/>
  <c r="H35" i="12"/>
  <c r="H27" i="12"/>
  <c r="H58" i="12"/>
  <c r="H50" i="12"/>
  <c r="H42" i="12"/>
  <c r="H34" i="12"/>
  <c r="H121" i="12"/>
  <c r="H122" i="12"/>
  <c r="G69" i="12"/>
  <c r="G81" i="12"/>
  <c r="H78" i="12" s="1"/>
  <c r="G104" i="12"/>
  <c r="H92" i="12" s="1"/>
  <c r="G117" i="12"/>
  <c r="H116" i="12" s="1"/>
  <c r="G24" i="13"/>
  <c r="H12" i="13" s="1"/>
  <c r="G17" i="12"/>
  <c r="H11" i="12" s="1"/>
  <c r="G46" i="13"/>
  <c r="H28" i="13" s="1"/>
  <c r="AD11" i="9"/>
  <c r="G111" i="11"/>
  <c r="G110" i="11"/>
  <c r="G109" i="11"/>
  <c r="G108" i="11"/>
  <c r="G107" i="11"/>
  <c r="G106" i="11"/>
  <c r="G105" i="11"/>
  <c r="G104" i="11"/>
  <c r="G103" i="11"/>
  <c r="G102" i="11"/>
  <c r="G101" i="11"/>
  <c r="G100" i="11"/>
  <c r="G99" i="11"/>
  <c r="G98" i="11"/>
  <c r="G97" i="11"/>
  <c r="G96" i="11"/>
  <c r="G95" i="11"/>
  <c r="G94" i="11"/>
  <c r="G93" i="11"/>
  <c r="G92" i="11"/>
  <c r="H30" i="13" l="1"/>
  <c r="H66" i="12"/>
  <c r="H67" i="12"/>
  <c r="H68" i="12"/>
  <c r="H19" i="13"/>
  <c r="H16" i="13"/>
  <c r="H100" i="12"/>
  <c r="H7" i="13"/>
  <c r="H15" i="13"/>
  <c r="H8" i="13"/>
  <c r="H97" i="12"/>
  <c r="H98" i="12"/>
  <c r="H5" i="13"/>
  <c r="H114" i="12"/>
  <c r="H115" i="12"/>
  <c r="H112" i="12"/>
  <c r="H111" i="12"/>
  <c r="H99" i="12"/>
  <c r="H22" i="13"/>
  <c r="H11" i="13"/>
  <c r="H39" i="13"/>
  <c r="H18" i="13"/>
  <c r="H9" i="13"/>
  <c r="H110" i="12"/>
  <c r="H113" i="12"/>
  <c r="H91" i="12"/>
  <c r="H93" i="12"/>
  <c r="H101" i="12"/>
  <c r="H103" i="12"/>
  <c r="H94" i="12"/>
  <c r="H102" i="12"/>
  <c r="H95" i="12"/>
  <c r="G112" i="11"/>
  <c r="H94" i="11" s="1"/>
  <c r="H14" i="13"/>
  <c r="H108" i="12"/>
  <c r="H6" i="13"/>
  <c r="H21" i="13"/>
  <c r="H10" i="13"/>
  <c r="H20" i="13"/>
  <c r="H80" i="12"/>
  <c r="H77" i="12"/>
  <c r="H109" i="12"/>
  <c r="H96" i="12"/>
  <c r="H17" i="13"/>
  <c r="H23" i="13"/>
  <c r="H13" i="13"/>
  <c r="H79" i="12"/>
  <c r="H8" i="12"/>
  <c r="H15" i="12"/>
  <c r="H7" i="12"/>
  <c r="H10" i="12"/>
  <c r="H16" i="12"/>
  <c r="H9" i="12"/>
  <c r="H13" i="12"/>
  <c r="H5" i="12"/>
  <c r="H6" i="12"/>
  <c r="H12" i="12"/>
  <c r="H14" i="12"/>
  <c r="H44" i="13"/>
  <c r="H29" i="13"/>
  <c r="H37" i="13"/>
  <c r="H45" i="13"/>
  <c r="H34" i="13"/>
  <c r="H42" i="13"/>
  <c r="H43" i="13"/>
  <c r="H38" i="13"/>
  <c r="H41" i="13"/>
  <c r="H33" i="13"/>
  <c r="H40" i="13"/>
  <c r="H36" i="13"/>
  <c r="H32" i="13"/>
  <c r="H35" i="13"/>
  <c r="H31" i="13"/>
  <c r="H101" i="11" l="1"/>
  <c r="H109" i="11"/>
  <c r="H92" i="11"/>
  <c r="H93" i="11"/>
  <c r="H99" i="11"/>
  <c r="H98" i="11"/>
  <c r="H107" i="11"/>
  <c r="H97" i="11"/>
  <c r="H106" i="11"/>
  <c r="H96" i="11"/>
  <c r="H110" i="11"/>
  <c r="H105" i="11"/>
  <c r="H108" i="11"/>
  <c r="H104" i="11"/>
  <c r="H95" i="11"/>
  <c r="H103" i="11"/>
  <c r="H102" i="11"/>
  <c r="H111" i="11"/>
  <c r="H100" i="11"/>
  <c r="N79" i="11" l="1"/>
  <c r="N80" i="11"/>
  <c r="M83" i="11"/>
  <c r="N78" i="11" s="1"/>
  <c r="J83" i="11"/>
  <c r="J80" i="11"/>
  <c r="G80" i="11"/>
  <c r="P79" i="11"/>
  <c r="G78" i="11"/>
  <c r="P78" i="11" s="1"/>
  <c r="J77" i="11"/>
  <c r="G77" i="11"/>
  <c r="B92" i="11"/>
  <c r="B51" i="11"/>
  <c r="W13" i="9"/>
  <c r="N82" i="11" l="1"/>
  <c r="N77" i="11"/>
  <c r="N81" i="11"/>
  <c r="G88" i="11"/>
  <c r="H77" i="11"/>
  <c r="H78" i="11"/>
  <c r="J84" i="11"/>
  <c r="P77" i="11"/>
  <c r="P80" i="11"/>
  <c r="L79" i="9"/>
  <c r="M61" i="9" s="1"/>
  <c r="H79" i="11" l="1"/>
  <c r="H87" i="11"/>
  <c r="H82" i="11"/>
  <c r="H83" i="11"/>
  <c r="H84" i="11"/>
  <c r="H86" i="11"/>
  <c r="H81" i="11"/>
  <c r="H85" i="11"/>
  <c r="K78" i="11"/>
  <c r="K83" i="11"/>
  <c r="K77" i="11"/>
  <c r="K79" i="11"/>
  <c r="K81" i="11"/>
  <c r="K82" i="11"/>
  <c r="P88" i="11"/>
  <c r="Q80" i="11" s="1"/>
  <c r="K80" i="11"/>
  <c r="Q77" i="11"/>
  <c r="H80" i="11"/>
  <c r="M74" i="9"/>
  <c r="M66" i="9"/>
  <c r="M68" i="9"/>
  <c r="M65" i="9"/>
  <c r="M73" i="9"/>
  <c r="M76" i="9"/>
  <c r="M78" i="9"/>
  <c r="M63" i="9"/>
  <c r="M71" i="9"/>
  <c r="M69" i="9"/>
  <c r="M75" i="9"/>
  <c r="M72" i="9"/>
  <c r="M64" i="9"/>
  <c r="M70" i="9"/>
  <c r="M62" i="9"/>
  <c r="M77" i="9"/>
  <c r="M67" i="9"/>
  <c r="AJ50" i="9"/>
  <c r="AK42" i="9" s="1"/>
  <c r="AG47" i="9"/>
  <c r="AD45" i="9"/>
  <c r="AE42" i="9" s="1"/>
  <c r="AG44" i="9"/>
  <c r="AG41" i="9"/>
  <c r="AG40" i="9"/>
  <c r="AG38" i="9"/>
  <c r="W12" i="9"/>
  <c r="W7" i="9"/>
  <c r="AE41" i="9" l="1"/>
  <c r="W10" i="9"/>
  <c r="W11" i="9"/>
  <c r="W15" i="9" s="1"/>
  <c r="Q88" i="11"/>
  <c r="Q83" i="11"/>
  <c r="Q84" i="11"/>
  <c r="Q85" i="11"/>
  <c r="Q87" i="11"/>
  <c r="Q81" i="11"/>
  <c r="Q82" i="11"/>
  <c r="Q79" i="11"/>
  <c r="Q86" i="11"/>
  <c r="Q78" i="11"/>
  <c r="AK48" i="9"/>
  <c r="AK41" i="9"/>
  <c r="AK40" i="9"/>
  <c r="AK49" i="9"/>
  <c r="AE40" i="9"/>
  <c r="AE39" i="9"/>
  <c r="AK39" i="9"/>
  <c r="AK46" i="9"/>
  <c r="AE38" i="9"/>
  <c r="AG50" i="9"/>
  <c r="AK44" i="9"/>
  <c r="AE43" i="9"/>
  <c r="AK43" i="9"/>
  <c r="AK47" i="9"/>
  <c r="AK45" i="9"/>
  <c r="AE44" i="9"/>
  <c r="AK38" i="9"/>
  <c r="AL38" i="9" s="1"/>
  <c r="W14" i="9" l="1"/>
  <c r="W17" i="9" s="1"/>
  <c r="B53" i="11" s="1"/>
  <c r="B74" i="13" s="1"/>
  <c r="W16" i="9"/>
  <c r="AH46" i="9"/>
  <c r="AH40" i="9"/>
  <c r="AH39" i="9"/>
  <c r="AH49" i="9"/>
  <c r="AH48" i="9"/>
  <c r="AH41" i="9"/>
  <c r="AH38" i="9"/>
  <c r="AH43" i="9"/>
  <c r="AH45" i="9"/>
  <c r="AH42" i="9"/>
  <c r="AH47" i="9"/>
  <c r="AH44" i="9"/>
  <c r="Y27" i="9" l="1"/>
  <c r="Y28" i="9"/>
  <c r="Y30" i="9"/>
  <c r="Y23" i="9"/>
  <c r="Y20" i="9"/>
  <c r="Y21" i="9"/>
  <c r="Y24" i="9"/>
  <c r="Y31" i="9"/>
  <c r="Y26" i="9"/>
  <c r="Y25" i="9"/>
  <c r="Y29" i="9"/>
  <c r="Y22" i="9"/>
  <c r="B52" i="11"/>
  <c r="B70" i="13" s="1"/>
  <c r="AG32" i="9"/>
  <c r="AE32" i="9"/>
  <c r="AG31" i="9"/>
  <c r="AE31" i="9"/>
  <c r="AG30" i="9"/>
  <c r="AE30" i="9"/>
  <c r="AG29" i="9"/>
  <c r="AE29" i="9"/>
  <c r="AG28" i="9"/>
  <c r="AE28" i="9"/>
  <c r="AE27" i="9"/>
  <c r="AE26" i="9"/>
  <c r="AE25" i="9"/>
  <c r="AE24" i="9"/>
  <c r="AD12" i="9"/>
  <c r="AH32" i="9"/>
  <c r="Q11" i="9"/>
  <c r="Q12" i="9" s="1"/>
  <c r="Q13" i="9" s="1"/>
  <c r="Q7" i="9"/>
  <c r="G42" i="9"/>
  <c r="I59" i="11" l="1"/>
  <c r="I52" i="11"/>
  <c r="I55" i="11"/>
  <c r="I60" i="11"/>
  <c r="I63" i="11"/>
  <c r="I64" i="11"/>
  <c r="I51" i="11"/>
  <c r="I57" i="11"/>
  <c r="I61" i="11"/>
  <c r="I53" i="11"/>
  <c r="I56" i="11"/>
  <c r="I54" i="11"/>
  <c r="I65" i="11"/>
  <c r="I62" i="11"/>
  <c r="I58" i="11"/>
  <c r="Q9" i="9"/>
  <c r="Q16" i="9" s="1"/>
  <c r="AH31" i="9"/>
  <c r="AH30" i="9" s="1"/>
  <c r="AH29" i="9" s="1"/>
  <c r="AH28" i="9" s="1"/>
  <c r="AH27" i="9" s="1"/>
  <c r="AH26" i="9" s="1"/>
  <c r="AH25" i="9" s="1"/>
  <c r="AH24" i="9" s="1"/>
  <c r="AH23" i="9" s="1"/>
  <c r="AD17" i="9" s="1"/>
  <c r="AF70" i="9"/>
  <c r="AF65" i="9"/>
  <c r="AF53" i="9"/>
  <c r="AF67" i="9"/>
  <c r="AF57" i="9"/>
  <c r="AF61" i="9"/>
  <c r="AF55" i="9"/>
  <c r="AF66" i="9"/>
  <c r="AF71" i="9"/>
  <c r="AF64" i="9"/>
  <c r="AF60" i="9"/>
  <c r="AF54" i="9"/>
  <c r="AF63" i="9"/>
  <c r="AF72" i="9"/>
  <c r="AF56" i="9"/>
  <c r="AF68" i="9"/>
  <c r="AF62" i="9"/>
  <c r="AF73" i="9"/>
  <c r="AF69" i="9"/>
  <c r="AI32" i="9"/>
  <c r="AI31" i="9" s="1"/>
  <c r="AI30" i="9" s="1"/>
  <c r="AI29" i="9" s="1"/>
  <c r="AI28" i="9" s="1"/>
  <c r="AI27" i="9" s="1"/>
  <c r="AD18" i="9" s="1"/>
  <c r="B94" i="11" s="1"/>
  <c r="B93" i="11"/>
  <c r="AL46" i="9"/>
  <c r="AL43" i="9"/>
  <c r="AL39" i="9"/>
  <c r="AL47" i="9"/>
  <c r="AL45" i="9"/>
  <c r="AL40" i="9"/>
  <c r="AL48" i="9"/>
  <c r="AL41" i="9"/>
  <c r="AL49" i="9"/>
  <c r="AL42" i="9"/>
  <c r="AL44" i="9"/>
  <c r="G45" i="9"/>
  <c r="Q15" i="9"/>
  <c r="S27" i="9" l="1"/>
  <c r="S21" i="9"/>
  <c r="S20" i="9"/>
  <c r="S25" i="9"/>
  <c r="S28" i="9"/>
  <c r="S22" i="9"/>
  <c r="S19" i="9"/>
  <c r="S23" i="9"/>
  <c r="S24" i="9"/>
  <c r="S26" i="9"/>
  <c r="I100" i="11"/>
  <c r="I108" i="11"/>
  <c r="I101" i="11"/>
  <c r="I109" i="11"/>
  <c r="I102" i="11"/>
  <c r="I103" i="11"/>
  <c r="I111" i="11"/>
  <c r="I96" i="11"/>
  <c r="I104" i="11"/>
  <c r="I92" i="11"/>
  <c r="I106" i="11"/>
  <c r="I107" i="11"/>
  <c r="I93" i="11"/>
  <c r="I94" i="11"/>
  <c r="I110" i="11"/>
  <c r="I97" i="11"/>
  <c r="I105" i="11"/>
  <c r="I98" i="11"/>
  <c r="I99" i="11"/>
  <c r="I95" i="11"/>
  <c r="H41" i="9"/>
  <c r="H43" i="9"/>
  <c r="H44" i="9"/>
  <c r="H40" i="9"/>
  <c r="H42"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L10" i="9"/>
  <c r="G34" i="9"/>
  <c r="H35" i="9" s="1"/>
  <c r="G33" i="9"/>
  <c r="G32" i="9"/>
  <c r="G31" i="9"/>
  <c r="G30" i="9"/>
  <c r="G29" i="9"/>
  <c r="G28" i="9"/>
  <c r="G27" i="9"/>
  <c r="G26" i="9"/>
  <c r="G25" i="9"/>
  <c r="G24" i="9"/>
  <c r="G23" i="9"/>
  <c r="G22" i="9"/>
  <c r="G21" i="9"/>
  <c r="G20" i="9"/>
  <c r="G19" i="9"/>
  <c r="G18" i="9"/>
  <c r="G17" i="9"/>
  <c r="G16" i="9"/>
  <c r="G5" i="9"/>
  <c r="B68" i="13" s="1"/>
  <c r="B71" i="13" s="1"/>
  <c r="B38" i="9"/>
  <c r="B39" i="9"/>
  <c r="B37" i="9"/>
  <c r="B32" i="9"/>
  <c r="C25" i="9"/>
  <c r="C24" i="9"/>
  <c r="C23" i="9"/>
  <c r="C22" i="9"/>
  <c r="C21" i="9"/>
  <c r="C20" i="9"/>
  <c r="C19" i="9"/>
  <c r="C18" i="9"/>
  <c r="C17" i="9"/>
  <c r="C16" i="9"/>
  <c r="I65" i="13" l="1"/>
  <c r="I70" i="13"/>
  <c r="I74" i="13"/>
  <c r="I66" i="13"/>
  <c r="I75" i="13"/>
  <c r="I73" i="13"/>
  <c r="B253" i="12"/>
  <c r="I71" i="13"/>
  <c r="I67" i="13"/>
  <c r="I72" i="13"/>
  <c r="I77" i="13"/>
  <c r="I68" i="13"/>
  <c r="I76" i="13"/>
  <c r="I69" i="13"/>
  <c r="D25" i="9"/>
  <c r="D24" i="9" s="1"/>
  <c r="D23" i="9" s="1"/>
  <c r="D22" i="9" s="1"/>
  <c r="D21" i="9" s="1"/>
  <c r="D20" i="9" s="1"/>
  <c r="D19" i="9" s="1"/>
  <c r="D18" i="9" s="1"/>
  <c r="D17" i="9" s="1"/>
  <c r="D16" i="9" s="1"/>
  <c r="D15" i="9" s="1"/>
  <c r="B8" i="9" s="1"/>
  <c r="B73" i="13" s="1"/>
  <c r="H19" i="9"/>
  <c r="H27" i="9"/>
  <c r="H23" i="9"/>
  <c r="H29" i="9"/>
  <c r="H30" i="9"/>
  <c r="L7" i="9"/>
  <c r="L9" i="9" s="1"/>
  <c r="H22" i="9"/>
  <c r="H24" i="9"/>
  <c r="H18" i="9"/>
  <c r="I42" i="9"/>
  <c r="H32" i="9"/>
  <c r="H26" i="9"/>
  <c r="I40" i="9"/>
  <c r="H20" i="9"/>
  <c r="I44" i="9"/>
  <c r="B46" i="9"/>
  <c r="C38" i="9" s="1"/>
  <c r="D38" i="9" s="1"/>
  <c r="H33" i="9"/>
  <c r="H21" i="9"/>
  <c r="H28" i="9"/>
  <c r="I43" i="9"/>
  <c r="H17" i="9"/>
  <c r="H31" i="9"/>
  <c r="H25" i="9"/>
  <c r="I41" i="9"/>
  <c r="H34" i="9"/>
  <c r="I35" i="9" l="1"/>
  <c r="I34" i="9" s="1"/>
  <c r="N55" i="9"/>
  <c r="N54" i="9" s="1"/>
  <c r="N53" i="9" s="1"/>
  <c r="N52" i="9" s="1"/>
  <c r="N51" i="9" s="1"/>
  <c r="N50" i="9" s="1"/>
  <c r="N49" i="9" s="1"/>
  <c r="N48" i="9" s="1"/>
  <c r="N47" i="9" s="1"/>
  <c r="N46" i="9" s="1"/>
  <c r="N45" i="9" s="1"/>
  <c r="N44" i="9" s="1"/>
  <c r="N43" i="9" s="1"/>
  <c r="N42" i="9" s="1"/>
  <c r="N41" i="9" s="1"/>
  <c r="N40" i="9" s="1"/>
  <c r="N39" i="9" s="1"/>
  <c r="N38" i="9" s="1"/>
  <c r="N37" i="9" s="1"/>
  <c r="N36" i="9" s="1"/>
  <c r="N35" i="9" s="1"/>
  <c r="N34" i="9" s="1"/>
  <c r="N33" i="9" s="1"/>
  <c r="N32" i="9" s="1"/>
  <c r="N31" i="9" s="1"/>
  <c r="N30" i="9" s="1"/>
  <c r="N29" i="9" s="1"/>
  <c r="N28" i="9" s="1"/>
  <c r="N27" i="9" s="1"/>
  <c r="N26" i="9" s="1"/>
  <c r="N25" i="9" s="1"/>
  <c r="N24" i="9" s="1"/>
  <c r="N23" i="9" s="1"/>
  <c r="N22" i="9" s="1"/>
  <c r="N21" i="9" s="1"/>
  <c r="N20" i="9" s="1"/>
  <c r="L11" i="9" s="1"/>
  <c r="N62" i="9"/>
  <c r="N63" i="9"/>
  <c r="N71" i="9"/>
  <c r="N61" i="9"/>
  <c r="N73" i="9"/>
  <c r="N76" i="9"/>
  <c r="N78" i="9"/>
  <c r="N64" i="9"/>
  <c r="N72" i="9"/>
  <c r="N65" i="9"/>
  <c r="N68" i="9"/>
  <c r="N66" i="9"/>
  <c r="N74" i="9"/>
  <c r="N69" i="9"/>
  <c r="N67" i="9"/>
  <c r="N75" i="9"/>
  <c r="N77" i="9"/>
  <c r="N70" i="9"/>
  <c r="C33" i="9"/>
  <c r="D33" i="9" s="1"/>
  <c r="C41" i="9"/>
  <c r="D41" i="9" s="1"/>
  <c r="C34" i="9"/>
  <c r="D34" i="9" s="1"/>
  <c r="C42" i="9"/>
  <c r="D42" i="9" s="1"/>
  <c r="C35" i="9"/>
  <c r="D35" i="9" s="1"/>
  <c r="C43" i="9"/>
  <c r="D43" i="9" s="1"/>
  <c r="C36" i="9"/>
  <c r="D36" i="9" s="1"/>
  <c r="C44" i="9"/>
  <c r="D44" i="9" s="1"/>
  <c r="C32" i="9"/>
  <c r="D32" i="9" s="1"/>
  <c r="C40" i="9"/>
  <c r="D40" i="9" s="1"/>
  <c r="C39" i="9"/>
  <c r="D39" i="9" s="1"/>
  <c r="C37" i="9"/>
  <c r="D37" i="9" s="1"/>
  <c r="I33" i="9"/>
  <c r="I32" i="9" s="1"/>
  <c r="I31" i="9" s="1"/>
  <c r="I30" i="9" s="1"/>
  <c r="I29" i="9" s="1"/>
  <c r="I28" i="9" s="1"/>
  <c r="I27" i="9" s="1"/>
  <c r="I26" i="9" s="1"/>
  <c r="I25" i="9" s="1"/>
  <c r="I24" i="9" s="1"/>
  <c r="I23" i="9" s="1"/>
  <c r="I22" i="9" s="1"/>
  <c r="I21" i="9" s="1"/>
  <c r="I20" i="9" s="1"/>
  <c r="I19" i="9" s="1"/>
  <c r="I18" i="9" s="1"/>
  <c r="I17" i="9" s="1"/>
  <c r="G10" i="9" l="1"/>
  <c r="B72" i="13" s="1"/>
  <c r="B75" i="13" s="1"/>
  <c r="B256" i="12" s="1"/>
  <c r="N19" i="9"/>
  <c r="N18" i="9" s="1"/>
  <c r="N17" i="9" s="1"/>
  <c r="N16" i="9" s="1"/>
  <c r="N15" i="9" s="1"/>
  <c r="I16" i="9"/>
  <c r="B78" i="12" l="1"/>
  <c r="B6" i="13" l="1"/>
  <c r="B13" i="13" l="1"/>
  <c r="B9" i="13"/>
  <c r="B250" i="12" l="1"/>
  <c r="B53" i="16" l="1"/>
  <c r="B41" i="16"/>
  <c r="B17" i="16"/>
  <c r="B162" i="15"/>
  <c r="B133" i="15"/>
  <c r="B51" i="13" l="1"/>
  <c r="B50" i="13"/>
  <c r="B98" i="15"/>
  <c r="B75" i="11" l="1"/>
  <c r="B54" i="13"/>
  <c r="B58" i="13"/>
  <c r="B7" i="13"/>
  <c r="B22" i="12"/>
  <c r="B21" i="12"/>
  <c r="B28" i="13"/>
  <c r="B53" i="13"/>
  <c r="B57" i="13"/>
  <c r="B76" i="11" l="1"/>
  <c r="B29" i="13" s="1"/>
  <c r="B77" i="11"/>
  <c r="B130" i="12"/>
  <c r="B67" i="12"/>
  <c r="B108" i="12"/>
  <c r="B10" i="13" l="1"/>
  <c r="B131" i="12"/>
  <c r="B132" i="12"/>
  <c r="B49" i="16" s="1"/>
  <c r="I38" i="13"/>
  <c r="I29" i="13"/>
  <c r="I34" i="13"/>
  <c r="I43" i="13"/>
  <c r="I41" i="13"/>
  <c r="I33" i="13"/>
  <c r="I42" i="13"/>
  <c r="I31" i="13"/>
  <c r="I45" i="13"/>
  <c r="I28" i="13"/>
  <c r="I40" i="13"/>
  <c r="I44" i="13"/>
  <c r="I36" i="13"/>
  <c r="I37" i="13"/>
  <c r="I30" i="13"/>
  <c r="I35" i="13"/>
  <c r="I32" i="13"/>
  <c r="I39" i="13"/>
  <c r="B26" i="12"/>
  <c r="B158" i="12"/>
  <c r="B180" i="12"/>
  <c r="B255" i="12"/>
  <c r="B257" i="12" s="1"/>
  <c r="B207" i="15" s="1"/>
  <c r="B97" i="16" s="1"/>
  <c r="B14" i="13"/>
  <c r="B179" i="12"/>
  <c r="B155" i="12"/>
  <c r="R80" i="11"/>
  <c r="R77" i="11"/>
  <c r="R85" i="11"/>
  <c r="R87" i="11"/>
  <c r="R84" i="11"/>
  <c r="R78" i="11"/>
  <c r="R83" i="11"/>
  <c r="R86" i="11"/>
  <c r="R79" i="11"/>
  <c r="R82" i="11"/>
  <c r="R81" i="11"/>
  <c r="B252" i="12"/>
  <c r="B254" i="12" s="1"/>
  <c r="B30" i="13"/>
  <c r="B31" i="12" s="1"/>
  <c r="B109" i="12"/>
  <c r="B110" i="12"/>
  <c r="B37" i="16" s="1"/>
  <c r="B69" i="12"/>
  <c r="B72" i="12"/>
  <c r="B24" i="12" l="1"/>
  <c r="I251" i="12"/>
  <c r="I256" i="12"/>
  <c r="I250" i="12"/>
  <c r="B206" i="15"/>
  <c r="I257" i="12"/>
  <c r="I254" i="12"/>
  <c r="I258" i="12"/>
  <c r="I255" i="12"/>
  <c r="I252" i="12"/>
  <c r="I253" i="12"/>
  <c r="I189" i="12"/>
  <c r="I184" i="12"/>
  <c r="I179" i="12"/>
  <c r="I182" i="12"/>
  <c r="I190" i="12"/>
  <c r="I181" i="12"/>
  <c r="I183" i="12"/>
  <c r="I191" i="12"/>
  <c r="I192" i="12"/>
  <c r="I193" i="12"/>
  <c r="I186" i="12"/>
  <c r="I187" i="12"/>
  <c r="I185" i="12"/>
  <c r="I178" i="12"/>
  <c r="I180" i="12"/>
  <c r="I188" i="12"/>
  <c r="I111" i="12"/>
  <c r="I116" i="12"/>
  <c r="I109" i="12"/>
  <c r="I113" i="12"/>
  <c r="I108" i="12"/>
  <c r="I110" i="12"/>
  <c r="I114" i="12"/>
  <c r="I112" i="12"/>
  <c r="B36" i="16"/>
  <c r="I115" i="12"/>
  <c r="I130" i="12"/>
  <c r="I135" i="12"/>
  <c r="I133" i="12"/>
  <c r="B48" i="16"/>
  <c r="I134" i="12"/>
  <c r="I131" i="12"/>
  <c r="I132" i="12"/>
  <c r="B28" i="12" l="1"/>
  <c r="B33" i="12"/>
  <c r="I205" i="15"/>
  <c r="I209" i="15"/>
  <c r="I212" i="15"/>
  <c r="I213" i="15"/>
  <c r="I210" i="15"/>
  <c r="B96" i="16"/>
  <c r="I207" i="15"/>
  <c r="I206" i="15"/>
  <c r="I211" i="15"/>
  <c r="I208" i="15"/>
  <c r="B52" i="13"/>
  <c r="B233" i="12" l="1"/>
  <c r="B59" i="13"/>
  <c r="B60" i="13" s="1"/>
  <c r="B97" i="12" s="1"/>
  <c r="B55" i="13"/>
  <c r="B56" i="13" s="1"/>
  <c r="B154" i="12"/>
  <c r="B166" i="12"/>
  <c r="B23" i="12"/>
  <c r="B218" i="12"/>
  <c r="I55" i="13" l="1"/>
  <c r="I58" i="13"/>
  <c r="I53" i="13"/>
  <c r="B94" i="12"/>
  <c r="I54" i="13"/>
  <c r="I57" i="13"/>
  <c r="I56" i="13"/>
  <c r="I52" i="13"/>
  <c r="B198" i="12"/>
  <c r="B235" i="12"/>
  <c r="B238" i="12"/>
  <c r="B6" i="12"/>
  <c r="B31" i="11"/>
  <c r="B32" i="11" s="1"/>
  <c r="B232" i="12"/>
  <c r="B217" i="12"/>
  <c r="B165" i="12"/>
  <c r="B199" i="12" l="1"/>
  <c r="B200" i="12"/>
  <c r="B73" i="16" s="1"/>
  <c r="B8" i="12"/>
  <c r="B11" i="12"/>
  <c r="B93" i="12"/>
  <c r="B95" i="12" s="1"/>
  <c r="B96" i="12"/>
  <c r="B98" i="12" s="1"/>
  <c r="B33" i="11"/>
  <c r="B5" i="12"/>
  <c r="B86" i="12" l="1"/>
  <c r="B225" i="12"/>
  <c r="B32" i="12"/>
  <c r="B171" i="12"/>
  <c r="B159" i="12"/>
  <c r="B160" i="12" s="1"/>
  <c r="B61" i="16" s="1"/>
  <c r="I34" i="11"/>
  <c r="I43" i="11"/>
  <c r="I38" i="11"/>
  <c r="I32" i="11"/>
  <c r="I35" i="11"/>
  <c r="I40" i="11"/>
  <c r="I36" i="11"/>
  <c r="I37" i="11"/>
  <c r="I41" i="11"/>
  <c r="I42" i="11"/>
  <c r="I45" i="11"/>
  <c r="I46" i="11"/>
  <c r="I44" i="11"/>
  <c r="B82" i="12"/>
  <c r="I39" i="11"/>
  <c r="I31" i="11"/>
  <c r="I33" i="11"/>
  <c r="B27" i="12"/>
  <c r="B168" i="12"/>
  <c r="B156" i="12"/>
  <c r="B157" i="12" s="1"/>
  <c r="B221" i="12"/>
  <c r="I101" i="12"/>
  <c r="I102" i="12"/>
  <c r="I103" i="12"/>
  <c r="I95" i="12"/>
  <c r="I100" i="12"/>
  <c r="I96" i="12"/>
  <c r="I91" i="12"/>
  <c r="I97" i="12"/>
  <c r="I92" i="12"/>
  <c r="I98" i="12"/>
  <c r="I94" i="12"/>
  <c r="I93" i="12"/>
  <c r="B115" i="15"/>
  <c r="I99" i="12"/>
  <c r="B99" i="15"/>
  <c r="B100" i="15"/>
  <c r="B31" i="16" s="1"/>
  <c r="B116" i="15"/>
  <c r="I201" i="12"/>
  <c r="I200" i="12"/>
  <c r="I199" i="12"/>
  <c r="B72" i="16"/>
  <c r="I198" i="12"/>
  <c r="B5" i="13" l="1"/>
  <c r="I123" i="15"/>
  <c r="I114" i="15"/>
  <c r="I117" i="15"/>
  <c r="I118" i="15"/>
  <c r="I121" i="15"/>
  <c r="I120" i="15"/>
  <c r="I127" i="15"/>
  <c r="I125" i="15"/>
  <c r="I119" i="15"/>
  <c r="I124" i="15"/>
  <c r="I126" i="15"/>
  <c r="I115" i="15"/>
  <c r="I128" i="15"/>
  <c r="I116" i="15"/>
  <c r="I122" i="15"/>
  <c r="B22" i="11"/>
  <c r="B139" i="12"/>
  <c r="B66" i="12"/>
  <c r="B5" i="11"/>
  <c r="B216" i="12"/>
  <c r="B77" i="12"/>
  <c r="B121" i="12"/>
  <c r="I104" i="15"/>
  <c r="I107" i="15"/>
  <c r="I108" i="15"/>
  <c r="I103" i="15"/>
  <c r="I109" i="15"/>
  <c r="I105" i="15"/>
  <c r="I100" i="15"/>
  <c r="B30" i="16"/>
  <c r="I106" i="15"/>
  <c r="I98" i="15"/>
  <c r="I102" i="15"/>
  <c r="I99" i="15"/>
  <c r="I101" i="15"/>
  <c r="I157" i="12"/>
  <c r="I158" i="12"/>
  <c r="I154" i="12"/>
  <c r="I153" i="12"/>
  <c r="I160" i="12"/>
  <c r="I155" i="12"/>
  <c r="I159" i="12"/>
  <c r="B60" i="16"/>
  <c r="I156" i="12"/>
  <c r="B6" i="11" l="1"/>
  <c r="B7" i="11"/>
  <c r="B23" i="11"/>
  <c r="B80" i="12" s="1"/>
  <c r="B24" i="11"/>
  <c r="B141" i="12" s="1"/>
  <c r="B55" i="16" s="1"/>
  <c r="B8" i="13"/>
  <c r="B11" i="13" s="1"/>
  <c r="B207" i="12" s="1"/>
  <c r="B12" i="13"/>
  <c r="B15" i="13" s="1"/>
  <c r="B208" i="12" s="1"/>
  <c r="B79" i="16" s="1"/>
  <c r="B68" i="12"/>
  <c r="B70" i="12" s="1"/>
  <c r="B71" i="12"/>
  <c r="B73" i="12" s="1"/>
  <c r="B223" i="12" l="1"/>
  <c r="B78" i="16"/>
  <c r="I211" i="12"/>
  <c r="I207" i="12"/>
  <c r="I206" i="12"/>
  <c r="I209" i="12"/>
  <c r="I208" i="12"/>
  <c r="I210" i="12"/>
  <c r="B84" i="12"/>
  <c r="B123" i="12"/>
  <c r="B43" i="16" s="1"/>
  <c r="B30" i="12"/>
  <c r="B34" i="12" s="1"/>
  <c r="B237" i="12"/>
  <c r="B239" i="12" s="1"/>
  <c r="B170" i="12"/>
  <c r="B172" i="12" s="1"/>
  <c r="B224" i="12"/>
  <c r="I23" i="11"/>
  <c r="I26" i="11"/>
  <c r="I25" i="11"/>
  <c r="I22" i="11"/>
  <c r="I24" i="11"/>
  <c r="B78" i="15"/>
  <c r="B19" i="16"/>
  <c r="B77" i="15"/>
  <c r="I66" i="12"/>
  <c r="I68" i="12"/>
  <c r="I67" i="12"/>
  <c r="B18" i="16"/>
  <c r="B122" i="12"/>
  <c r="B85" i="12"/>
  <c r="B10" i="12"/>
  <c r="B12" i="12" s="1"/>
  <c r="B7" i="15" s="1"/>
  <c r="B7" i="16" s="1"/>
  <c r="B81" i="12"/>
  <c r="B83" i="12" s="1"/>
  <c r="I12" i="11"/>
  <c r="I11" i="11"/>
  <c r="I10" i="11"/>
  <c r="I5" i="11"/>
  <c r="I7" i="11"/>
  <c r="I15" i="11"/>
  <c r="I16" i="11"/>
  <c r="I8" i="11"/>
  <c r="I9" i="11"/>
  <c r="I14" i="11"/>
  <c r="I13" i="11"/>
  <c r="I17" i="11"/>
  <c r="I6" i="11"/>
  <c r="B7" i="12"/>
  <c r="B9" i="12" s="1"/>
  <c r="I15" i="13"/>
  <c r="I23" i="13"/>
  <c r="I12" i="13"/>
  <c r="I14" i="13"/>
  <c r="I17" i="13"/>
  <c r="I20" i="13"/>
  <c r="I6" i="13"/>
  <c r="I8" i="13"/>
  <c r="I10" i="13"/>
  <c r="I11" i="13"/>
  <c r="I7" i="13"/>
  <c r="I9" i="13"/>
  <c r="I22" i="13"/>
  <c r="I18" i="13"/>
  <c r="I19" i="13"/>
  <c r="I13" i="13"/>
  <c r="I16" i="13"/>
  <c r="I5" i="13"/>
  <c r="I21" i="13"/>
  <c r="B25" i="12"/>
  <c r="B29" i="12" s="1"/>
  <c r="B234" i="12"/>
  <c r="B236" i="12" s="1"/>
  <c r="B220" i="12"/>
  <c r="B167" i="12"/>
  <c r="B169" i="12" s="1"/>
  <c r="B219" i="12"/>
  <c r="B140" i="12"/>
  <c r="B226" i="12" l="1"/>
  <c r="B85" i="16" s="1"/>
  <c r="B87" i="12"/>
  <c r="B88" i="15" s="1"/>
  <c r="B25" i="16" s="1"/>
  <c r="B222" i="12"/>
  <c r="I221" i="12" s="1"/>
  <c r="I80" i="12"/>
  <c r="I77" i="12"/>
  <c r="I79" i="12"/>
  <c r="I78" i="12"/>
  <c r="B87" i="15"/>
  <c r="I44" i="12"/>
  <c r="I42" i="12"/>
  <c r="I46" i="12"/>
  <c r="I45" i="12"/>
  <c r="I53" i="12"/>
  <c r="I57" i="12"/>
  <c r="I38" i="12"/>
  <c r="I37" i="12"/>
  <c r="I22" i="12"/>
  <c r="I55" i="12"/>
  <c r="I43" i="12"/>
  <c r="I51" i="12"/>
  <c r="I29" i="12"/>
  <c r="I41" i="12"/>
  <c r="I24" i="12"/>
  <c r="I31" i="12"/>
  <c r="I39" i="12"/>
  <c r="I21" i="12"/>
  <c r="I56" i="12"/>
  <c r="I26" i="12"/>
  <c r="B51" i="15"/>
  <c r="I47" i="12"/>
  <c r="I50" i="12"/>
  <c r="I33" i="12"/>
  <c r="I34" i="12"/>
  <c r="I49" i="12"/>
  <c r="I48" i="12"/>
  <c r="I54" i="12"/>
  <c r="I25" i="12"/>
  <c r="I58" i="12"/>
  <c r="I30" i="12"/>
  <c r="I52" i="12"/>
  <c r="I23" i="12"/>
  <c r="I36" i="12"/>
  <c r="I59" i="12"/>
  <c r="I35" i="12"/>
  <c r="I61" i="12"/>
  <c r="I40" i="12"/>
  <c r="I28" i="12"/>
  <c r="I32" i="12"/>
  <c r="I27" i="12"/>
  <c r="I60" i="12"/>
  <c r="B21" i="15"/>
  <c r="I16" i="12"/>
  <c r="I13" i="12"/>
  <c r="I11" i="12"/>
  <c r="I6" i="12"/>
  <c r="I14" i="12"/>
  <c r="I12" i="12"/>
  <c r="I10" i="12"/>
  <c r="I8" i="12"/>
  <c r="I15" i="12"/>
  <c r="I5" i="12"/>
  <c r="B6" i="15"/>
  <c r="I9" i="12"/>
  <c r="I7" i="12"/>
  <c r="B145" i="15"/>
  <c r="B135" i="15"/>
  <c r="B67" i="16" s="1"/>
  <c r="I227" i="12"/>
  <c r="I77" i="15"/>
  <c r="I78" i="15"/>
  <c r="I79" i="15"/>
  <c r="I80" i="15"/>
  <c r="I76" i="15"/>
  <c r="I81" i="15"/>
  <c r="I122" i="12"/>
  <c r="I125" i="12"/>
  <c r="I121" i="12"/>
  <c r="I123" i="12"/>
  <c r="I124" i="12"/>
  <c r="B42" i="16"/>
  <c r="B183" i="15"/>
  <c r="B164" i="15"/>
  <c r="B91" i="16" s="1"/>
  <c r="I145" i="12"/>
  <c r="I141" i="12"/>
  <c r="I140" i="12"/>
  <c r="I142" i="12"/>
  <c r="I148" i="12"/>
  <c r="I146" i="12"/>
  <c r="I147" i="12"/>
  <c r="I143" i="12"/>
  <c r="I144" i="12"/>
  <c r="I139" i="12"/>
  <c r="B54" i="16"/>
  <c r="I169" i="12"/>
  <c r="I167" i="12"/>
  <c r="B144" i="15"/>
  <c r="I166" i="12"/>
  <c r="I173" i="12"/>
  <c r="I172" i="12"/>
  <c r="I165" i="12"/>
  <c r="I170" i="12"/>
  <c r="I168" i="12"/>
  <c r="I171" i="12"/>
  <c r="B134" i="15"/>
  <c r="I238" i="12"/>
  <c r="I244" i="12"/>
  <c r="I245" i="12"/>
  <c r="I242" i="12"/>
  <c r="I235" i="12"/>
  <c r="I240" i="12"/>
  <c r="I233" i="12"/>
  <c r="I236" i="12"/>
  <c r="I241" i="12"/>
  <c r="I232" i="12"/>
  <c r="I243" i="12"/>
  <c r="I237" i="12"/>
  <c r="I234" i="12"/>
  <c r="I239" i="12"/>
  <c r="B182" i="15"/>
  <c r="B163" i="15"/>
  <c r="B22" i="15"/>
  <c r="B13" i="16" s="1"/>
  <c r="B52" i="15"/>
  <c r="I217" i="12" l="1"/>
  <c r="I218" i="12"/>
  <c r="B84" i="16"/>
  <c r="I224" i="12"/>
  <c r="I223" i="12"/>
  <c r="I225" i="12"/>
  <c r="I219" i="12"/>
  <c r="I226" i="12"/>
  <c r="I222" i="12"/>
  <c r="I220" i="12"/>
  <c r="I216" i="12"/>
  <c r="I153" i="15"/>
  <c r="I155" i="15"/>
  <c r="I151" i="15"/>
  <c r="I156" i="15"/>
  <c r="I146" i="15"/>
  <c r="I150" i="15"/>
  <c r="I149" i="15"/>
  <c r="I154" i="15"/>
  <c r="I148" i="15"/>
  <c r="I143" i="15"/>
  <c r="I147" i="15"/>
  <c r="I145" i="15"/>
  <c r="I144" i="15"/>
  <c r="I157" i="15"/>
  <c r="I152" i="15"/>
  <c r="I169" i="15"/>
  <c r="I166" i="15"/>
  <c r="I162" i="15"/>
  <c r="I168" i="15"/>
  <c r="I163" i="15"/>
  <c r="I171" i="15"/>
  <c r="B90" i="16"/>
  <c r="I170" i="15"/>
  <c r="I175" i="15"/>
  <c r="I172" i="15"/>
  <c r="I173" i="15"/>
  <c r="I164" i="15"/>
  <c r="I174" i="15"/>
  <c r="I167" i="15"/>
  <c r="I176" i="15"/>
  <c r="I165" i="15"/>
  <c r="I92" i="15"/>
  <c r="B24" i="16"/>
  <c r="I87" i="15"/>
  <c r="I90" i="15"/>
  <c r="I93" i="15"/>
  <c r="I86" i="15"/>
  <c r="I91" i="15"/>
  <c r="I89" i="15"/>
  <c r="I88" i="15"/>
  <c r="B12" i="16"/>
  <c r="I31" i="15"/>
  <c r="I42" i="15"/>
  <c r="I24" i="15"/>
  <c r="I21" i="15"/>
  <c r="I44" i="15"/>
  <c r="I28" i="15"/>
  <c r="I40" i="15"/>
  <c r="I37" i="15"/>
  <c r="I23" i="15"/>
  <c r="I36" i="15"/>
  <c r="I34" i="15"/>
  <c r="I26" i="15"/>
  <c r="I43" i="15"/>
  <c r="I20" i="15"/>
  <c r="I25" i="15"/>
  <c r="I29" i="15"/>
  <c r="I30" i="15"/>
  <c r="I27" i="15"/>
  <c r="I39" i="15"/>
  <c r="I22" i="15"/>
  <c r="I41" i="15"/>
  <c r="I35" i="15"/>
  <c r="I33" i="15"/>
  <c r="I38" i="15"/>
  <c r="I45" i="15"/>
  <c r="I32" i="15"/>
  <c r="I135" i="15"/>
  <c r="I138" i="15"/>
  <c r="I137" i="15"/>
  <c r="I133" i="15"/>
  <c r="I136" i="15"/>
  <c r="B66" i="16"/>
  <c r="I134" i="15"/>
  <c r="I14" i="15"/>
  <c r="I15" i="15"/>
  <c r="I9" i="15"/>
  <c r="I10" i="15"/>
  <c r="I13" i="15"/>
  <c r="I6" i="15"/>
  <c r="I11" i="15"/>
  <c r="I12" i="15"/>
  <c r="I8" i="15"/>
  <c r="I5" i="15"/>
  <c r="I7" i="15"/>
  <c r="B6" i="16"/>
  <c r="I66" i="15"/>
  <c r="I60" i="15"/>
  <c r="I63" i="15"/>
  <c r="I71" i="15"/>
  <c r="I58" i="15"/>
  <c r="I51" i="15"/>
  <c r="I57" i="15"/>
  <c r="I69" i="15"/>
  <c r="I62" i="15"/>
  <c r="I70" i="15"/>
  <c r="I54" i="15"/>
  <c r="I65" i="15"/>
  <c r="I52" i="15"/>
  <c r="I67" i="15"/>
  <c r="I53" i="15"/>
  <c r="I61" i="15"/>
  <c r="I64" i="15"/>
  <c r="I59" i="15"/>
  <c r="I50" i="15"/>
  <c r="I68" i="15"/>
  <c r="I55" i="15"/>
  <c r="I56" i="15"/>
  <c r="I193" i="15"/>
  <c r="I186" i="15"/>
  <c r="I183" i="15"/>
  <c r="I184" i="15"/>
  <c r="I197" i="15"/>
  <c r="I189" i="15"/>
  <c r="I195" i="15"/>
  <c r="I181" i="15"/>
  <c r="I196" i="15"/>
  <c r="I192" i="15"/>
  <c r="I187" i="15"/>
  <c r="I191" i="15"/>
  <c r="I199" i="15"/>
  <c r="I198" i="15"/>
  <c r="I185" i="15"/>
  <c r="I194" i="15"/>
  <c r="I190" i="15"/>
  <c r="I200" i="15"/>
  <c r="I188" i="15"/>
  <c r="I182" i="15"/>
</calcChain>
</file>

<file path=xl/sharedStrings.xml><?xml version="1.0" encoding="utf-8"?>
<sst xmlns="http://schemas.openxmlformats.org/spreadsheetml/2006/main" count="1539" uniqueCount="637">
  <si>
    <t>Term</t>
  </si>
  <si>
    <t>Value</t>
  </si>
  <si>
    <t>unit</t>
  </si>
  <si>
    <t>Source</t>
  </si>
  <si>
    <t>GW</t>
  </si>
  <si>
    <t>Mass-to-power ratio of solar panel:</t>
  </si>
  <si>
    <t>global production of solar panels in power volume:</t>
  </si>
  <si>
    <t>global production of solar panels in mass:</t>
  </si>
  <si>
    <t>kg</t>
  </si>
  <si>
    <t>kg/W</t>
  </si>
  <si>
    <t>global in-use stock of solar panels in mass:</t>
  </si>
  <si>
    <t>lifetime of solar panels:</t>
  </si>
  <si>
    <t>years</t>
  </si>
  <si>
    <t>year</t>
  </si>
  <si>
    <t>Development of Solar panel production in %</t>
  </si>
  <si>
    <t>Solar panels production in kg</t>
  </si>
  <si>
    <t>global production of wind turbines in power volume:</t>
  </si>
  <si>
    <t>Comment</t>
  </si>
  <si>
    <t>Average power of a wind turbine</t>
  </si>
  <si>
    <t>MW</t>
  </si>
  <si>
    <t>lifetime of wind turbine</t>
  </si>
  <si>
    <t>Wind turbines production in MW</t>
  </si>
  <si>
    <t>Solar panels production in GW</t>
  </si>
  <si>
    <t>Development of wind turbine production in %</t>
  </si>
  <si>
    <t>global production of nuclear fuel elements</t>
  </si>
  <si>
    <t>global production of nuclear fuel elements per reactor</t>
  </si>
  <si>
    <t>piece</t>
  </si>
  <si>
    <t>kg/piece</t>
  </si>
  <si>
    <t>Number of reactors operating globally</t>
  </si>
  <si>
    <t>global in-use stock of nuclear fuel elements</t>
  </si>
  <si>
    <t>global production of nuclear reactor control rods</t>
  </si>
  <si>
    <t>global production of nuclear reactor control rods per reactor</t>
  </si>
  <si>
    <t>global in-use stock of nuclear reactor control rods</t>
  </si>
  <si>
    <t>Hydropower</t>
  </si>
  <si>
    <t>power production amount per turbine</t>
  </si>
  <si>
    <t>global power production through hydropower</t>
  </si>
  <si>
    <t>generators lifetime</t>
  </si>
  <si>
    <t>Number of turbines produced in 2020</t>
  </si>
  <si>
    <t>global production of hydropower turbines</t>
  </si>
  <si>
    <t>global in-use stock of hydropower turbines</t>
  </si>
  <si>
    <t>Weight of rotor of hydropower turbine</t>
  </si>
  <si>
    <t>Weight of generator of hydropower turbine</t>
  </si>
  <si>
    <t>global production of rotor in hydropower turbines</t>
  </si>
  <si>
    <t>kg/year</t>
  </si>
  <si>
    <t>global in-use stock of rotor of hydropower turbines</t>
  </si>
  <si>
    <t>global in-use stock of generator of hydropower turbines</t>
  </si>
  <si>
    <t>rotor lifetime</t>
  </si>
  <si>
    <t>global production of generator of hydropower turbines</t>
  </si>
  <si>
    <t>global AC generator trade amount</t>
  </si>
  <si>
    <t>global AC generator trade cost</t>
  </si>
  <si>
    <t>$</t>
  </si>
  <si>
    <t>global price AC generator</t>
  </si>
  <si>
    <t>$/kg</t>
  </si>
  <si>
    <t>t</t>
  </si>
  <si>
    <t>k$</t>
  </si>
  <si>
    <t>BACI</t>
  </si>
  <si>
    <t>Generator market size</t>
  </si>
  <si>
    <t>global production amount of generators</t>
  </si>
  <si>
    <t>AC generators used in oil and gas, wood, nuclear and hydro power industries</t>
  </si>
  <si>
    <t>Primary energy generation in Exajoules</t>
  </si>
  <si>
    <t>Development of primary energy generation in %</t>
  </si>
  <si>
    <t>lifetime of generators</t>
  </si>
  <si>
    <t>global in-use stock of generators with a lifetime of 36 years</t>
  </si>
  <si>
    <t>MWh</t>
  </si>
  <si>
    <t>(Pillot 2020)</t>
  </si>
  <si>
    <t>(Cerdas Marin et al. 2018), (Ding et al. 2019), (Duan et al. 2020), (Yuan et al. 2017)</t>
  </si>
  <si>
    <t>Energy density of LIBs:</t>
  </si>
  <si>
    <t>Share of PbAcB used in stationary applications</t>
  </si>
  <si>
    <t>Share of LIB used in stationary applications</t>
  </si>
  <si>
    <t>(Tsiropoulos et al. 2018)</t>
  </si>
  <si>
    <t>Energy density of PbAcBs:</t>
  </si>
  <si>
    <t>Wh/kg</t>
  </si>
  <si>
    <t>Production of lithium-ion batteries (LIBs)</t>
  </si>
  <si>
    <t>Production of lead-acid batteries (PbAcB)</t>
  </si>
  <si>
    <t>Production of LIB used in stationary applications</t>
  </si>
  <si>
    <t>Production of PbAcB used in stationary applications</t>
  </si>
  <si>
    <t>Lifetime of stationay LIBs</t>
  </si>
  <si>
    <t>Lifetime of stationary PbAcBs</t>
  </si>
  <si>
    <t>Production amount in kg</t>
  </si>
  <si>
    <t xml:space="preserve">Production of LIBs in million $ </t>
  </si>
  <si>
    <t xml:space="preserve">Production of PbAcs in million $ </t>
  </si>
  <si>
    <t>Development of LIB production in %</t>
  </si>
  <si>
    <t>Production amount of LIBs in kg</t>
  </si>
  <si>
    <t>Production amount of PbAcBs in kg</t>
  </si>
  <si>
    <t>Development of PbAcB production in %</t>
  </si>
  <si>
    <t>In-use stock of LIB used in stationary applications</t>
  </si>
  <si>
    <t>In-use stock of PbAcB used in stationary applications</t>
  </si>
  <si>
    <t xml:space="preserve">Energy infrastructure and fuels data </t>
  </si>
  <si>
    <t>Solar panels:</t>
  </si>
  <si>
    <t>Solar panel production amounts per country</t>
  </si>
  <si>
    <t>Country</t>
  </si>
  <si>
    <t>Market share</t>
  </si>
  <si>
    <t>China</t>
  </si>
  <si>
    <t>Viet Nam</t>
  </si>
  <si>
    <t>Republic of Korea</t>
  </si>
  <si>
    <t>Malaysia</t>
  </si>
  <si>
    <t>USA</t>
  </si>
  <si>
    <t>China &amp; Taiwan</t>
  </si>
  <si>
    <t>Italy</t>
  </si>
  <si>
    <t>France</t>
  </si>
  <si>
    <t>Slovenia</t>
  </si>
  <si>
    <t>Thailand</t>
  </si>
  <si>
    <t>Singapore</t>
  </si>
  <si>
    <t>Canada</t>
  </si>
  <si>
    <t>India</t>
  </si>
  <si>
    <t>Japan</t>
  </si>
  <si>
    <t>other</t>
  </si>
  <si>
    <t>total</t>
  </si>
  <si>
    <t>Estimated production share</t>
  </si>
  <si>
    <t>Production amount</t>
  </si>
  <si>
    <t>Wind turbines:</t>
  </si>
  <si>
    <t>Norway</t>
  </si>
  <si>
    <t>Russia</t>
  </si>
  <si>
    <t>United Kingdom</t>
  </si>
  <si>
    <t>Netherlands</t>
  </si>
  <si>
    <t>Germany</t>
  </si>
  <si>
    <t>Estimated production shares</t>
  </si>
  <si>
    <t>Estimated production amounts</t>
  </si>
  <si>
    <t>Mass of rotor, engine and generator system of wind turbine</t>
  </si>
  <si>
    <t>global production rotor, engine and generator system of wind turbine in mass:</t>
  </si>
  <si>
    <t>global in-use stock rotor, engine and generator system of wind turbine in mass:</t>
  </si>
  <si>
    <t>Global production of rotor, engine and generator system of wind turbine in kg</t>
  </si>
  <si>
    <t>Wind turbine production amounts per country</t>
  </si>
  <si>
    <t>Capacity in gigawatts</t>
  </si>
  <si>
    <t>Denmark</t>
  </si>
  <si>
    <t>Spain</t>
  </si>
  <si>
    <t>Share of production amounts</t>
  </si>
  <si>
    <t>Production amounts</t>
  </si>
  <si>
    <t>Nuclear powder</t>
  </si>
  <si>
    <t>lifetime of nuclear fuel element and nuclear reactor control rods</t>
  </si>
  <si>
    <t>Stationary lithium-ion and lead-acid batteries</t>
  </si>
  <si>
    <t>source: (Yu and Sumangil 2021)</t>
  </si>
  <si>
    <t>source: (Mayyas et al. 2019)</t>
  </si>
  <si>
    <t>country</t>
  </si>
  <si>
    <t>capacity in MWh</t>
  </si>
  <si>
    <t>share</t>
  </si>
  <si>
    <t>capacity in MWh (fully commissioned, under construction &amp; announced)</t>
  </si>
  <si>
    <t>Czechia</t>
  </si>
  <si>
    <t>Rep. of Korea</t>
  </si>
  <si>
    <t>Finland</t>
  </si>
  <si>
    <t>Hungary</t>
  </si>
  <si>
    <t>Poland</t>
  </si>
  <si>
    <t>Exporting countries</t>
  </si>
  <si>
    <t>Export shares based on BACI</t>
  </si>
  <si>
    <t>Solar glass (Soglass)</t>
  </si>
  <si>
    <t>Unit</t>
  </si>
  <si>
    <t>Weight% of Soglass in SoPa</t>
  </si>
  <si>
    <t>Excel sheet "Data_Sankey_Energy.xlsx" tab "Weight%"</t>
  </si>
  <si>
    <t>Production amount of Soglass</t>
  </si>
  <si>
    <t>In-use stock of Soglass</t>
  </si>
  <si>
    <t>Semiconductors (SemiCond)</t>
  </si>
  <si>
    <t>Weight% of SemiCond in SoPa</t>
  </si>
  <si>
    <t>Production amount of SemiCond</t>
  </si>
  <si>
    <t>In-use stock of SemiCond</t>
  </si>
  <si>
    <t>Glass fibers (Gfiber)</t>
  </si>
  <si>
    <t>Production amount of Gfiber</t>
  </si>
  <si>
    <t>In-use stock of Gfiber</t>
  </si>
  <si>
    <t>Weight% of Gfiber in WiTu</t>
  </si>
  <si>
    <t>Hydropower turbine equipment (HyPoweq)</t>
  </si>
  <si>
    <t>Weight% of HyPoweq in HyPow</t>
  </si>
  <si>
    <t>Production amount of HyPoweq</t>
  </si>
  <si>
    <t>In-use stock of HyPoweq</t>
  </si>
  <si>
    <t>Hydrogen fluoride (HF)</t>
  </si>
  <si>
    <t>Lithium-ion battery cell and case (LIBcc)</t>
  </si>
  <si>
    <t>Production amount of LIBcc</t>
  </si>
  <si>
    <t>In-use stock of LIBcc</t>
  </si>
  <si>
    <t>Weight% of LIBcc in LIB</t>
  </si>
  <si>
    <t>Lead-acid battery cell and case (PbAcBcc)</t>
  </si>
  <si>
    <t>Production amount of PbAcBcc</t>
  </si>
  <si>
    <t>In-use stock of PbAcBcc</t>
  </si>
  <si>
    <t>Weight% of PbAcBcc in PbAcB</t>
  </si>
  <si>
    <t>Production capacity in the year 2015</t>
  </si>
  <si>
    <t>Production capacity in the year 2016</t>
  </si>
  <si>
    <t>source: (Chung et al. 2015)</t>
  </si>
  <si>
    <t>source: (Lebedeva et al. 2016) Table 3</t>
  </si>
  <si>
    <t>capacity in MWh (fully and partially commissioned + under construction + announced</t>
  </si>
  <si>
    <t>Share</t>
  </si>
  <si>
    <t>capacity in MWh (total and announced capacity)</t>
  </si>
  <si>
    <t>Estimated production amounts (in kg)</t>
  </si>
  <si>
    <t>Korea</t>
  </si>
  <si>
    <t>US</t>
  </si>
  <si>
    <t>EU</t>
  </si>
  <si>
    <t>RoW</t>
  </si>
  <si>
    <t>South Africa</t>
  </si>
  <si>
    <t>Aluminium plate (Alpl)</t>
  </si>
  <si>
    <t>Energy infrastructure components (solar glass, semiconductors, glass fibers, hydropower turbine equipment, stationary lithium-ion battery and stationary lead-acid battery) data</t>
  </si>
  <si>
    <t>Energy infrastructure components (aluminium plate) data</t>
  </si>
  <si>
    <t>Weight% of Alpl in HyPoweq</t>
  </si>
  <si>
    <t>Weight% of Alpl in LIBcc</t>
  </si>
  <si>
    <t>Weight% of Alpl in SoPa</t>
  </si>
  <si>
    <t>Production amount of Alpl in SoPa</t>
  </si>
  <si>
    <t>Production amount of Alpl in HyPoweq</t>
  </si>
  <si>
    <t>Production amount of Alpl in LIBcc</t>
  </si>
  <si>
    <t>In-use stock of Alpl in SoPa</t>
  </si>
  <si>
    <t>In-use stock of Alpl in HyPoweq</t>
  </si>
  <si>
    <t>In-use stock of Alpl in LIBcc</t>
  </si>
  <si>
    <t>Production amount of Alpl used in energy sector</t>
  </si>
  <si>
    <t>In-use stock of Alpl used in energy sector</t>
  </si>
  <si>
    <t>Code of exporting countries</t>
  </si>
  <si>
    <t>Aluminium foil (Alfo)</t>
  </si>
  <si>
    <t>Weight% of Alfo in LIBcc</t>
  </si>
  <si>
    <t>Production amount of Alfo in LIBcc</t>
  </si>
  <si>
    <t>In-use stock of Alfo in LIBcc</t>
  </si>
  <si>
    <t>Permanent magnet (Mag)</t>
  </si>
  <si>
    <t>Weight% of Mag in WiTu</t>
  </si>
  <si>
    <t>Weight% of Mag in ACGe</t>
  </si>
  <si>
    <t>Weight% of Mag in HyPoweq</t>
  </si>
  <si>
    <t>Production amount of Mag in WiTu</t>
  </si>
  <si>
    <t>Production amount of Mag in ACGe</t>
  </si>
  <si>
    <t>Production amount of Mag in HyPoweq</t>
  </si>
  <si>
    <t>In-use stock of Mag in WiTu</t>
  </si>
  <si>
    <t>In-use stock of Mag in ACGe</t>
  </si>
  <si>
    <t>In-use stock of Mag in HyPoweq</t>
  </si>
  <si>
    <t>Production amount of Mag in energy sector</t>
  </si>
  <si>
    <t>In-use stock of Mag in energy sector</t>
  </si>
  <si>
    <t>Magnet manufacturing shares</t>
  </si>
  <si>
    <t>Raw materials</t>
  </si>
  <si>
    <t>Antimony powder (Sb_pow)</t>
  </si>
  <si>
    <t>Codes of exporting countries</t>
  </si>
  <si>
    <t>Weight ratio of Sb_pow used in PbAcBcc</t>
  </si>
  <si>
    <t>Production amount of Sb_pow used in PbAcBcc</t>
  </si>
  <si>
    <t>In-use stock of Sb_pow used in PbAcBcc</t>
  </si>
  <si>
    <t>Weight ratio of Sb_pow used in Soglass</t>
  </si>
  <si>
    <t>Production amount of Sb_pow used in Soglass</t>
  </si>
  <si>
    <t>In-use stock of Sb_pow used in Soglass</t>
  </si>
  <si>
    <t>Production amount of Sb_pow used in energy sector</t>
  </si>
  <si>
    <t>In-use stock of Sb_pow used in energy sector</t>
  </si>
  <si>
    <t>Aluminium unwrought (Alun)</t>
  </si>
  <si>
    <t>Weight ratio of Alun used in Alpl</t>
  </si>
  <si>
    <t>Weight ratio of Alun used in Alfo</t>
  </si>
  <si>
    <t>Weight ratio of Alun used in Gfiber</t>
  </si>
  <si>
    <t>Weight ratio of Alun used in NuPow</t>
  </si>
  <si>
    <t>Production amount of Alun used in Alpl</t>
  </si>
  <si>
    <t>Production amount of Alun used in Alfo</t>
  </si>
  <si>
    <t>Production amount of Alun used in Gfiber</t>
  </si>
  <si>
    <t>Production amount of Alun used in NuPow</t>
  </si>
  <si>
    <t>In-use stock of Alun used in Alpl</t>
  </si>
  <si>
    <t>In-use stock of Alun used in Alfo</t>
  </si>
  <si>
    <t>In-use stock of Alun used in Gfiber</t>
  </si>
  <si>
    <t>In-use stock of Alun used in NuPow</t>
  </si>
  <si>
    <t>In-use stock of Alun used in the energy sector</t>
  </si>
  <si>
    <t>Production amount of Alun used in the energy sector</t>
  </si>
  <si>
    <t>Codes of producing countries</t>
  </si>
  <si>
    <t>Beryllium powder (Bepow)</t>
  </si>
  <si>
    <t>Weight ratio of Bepow used in SoPa</t>
  </si>
  <si>
    <t>Weight ratio of Bepow used in NuPow</t>
  </si>
  <si>
    <t>Production amount of Bepow used in SoPa</t>
  </si>
  <si>
    <t>Production amount of Bepow used in NuPow</t>
  </si>
  <si>
    <t>In-use stock of Bepow used in SoPa</t>
  </si>
  <si>
    <t>In-use stock of Bepow used in NuPow</t>
  </si>
  <si>
    <t>Production amount of Bepow used in the energy sector</t>
  </si>
  <si>
    <t>In-use stock of Bepow used in the energy sector</t>
  </si>
  <si>
    <t>Borates (Bora)</t>
  </si>
  <si>
    <t>Weight ratio of Bora used in SemiCond</t>
  </si>
  <si>
    <t>Weight ratio of Bora used in Gfiber</t>
  </si>
  <si>
    <t>In-use stock of Bora used in SemiCond</t>
  </si>
  <si>
    <t>In-use stock of Bora used in Gfiber</t>
  </si>
  <si>
    <t>Production amount of Bora used in SemiCond</t>
  </si>
  <si>
    <t>Production amount of Bora used in Gfiber</t>
  </si>
  <si>
    <t>Production amount of Bora used in the energy sector</t>
  </si>
  <si>
    <t>In-use stock of Bora used in the energy sector</t>
  </si>
  <si>
    <t>Cobalt powder (Copow)</t>
  </si>
  <si>
    <t>Weight ratio of Copow used in LIBcc</t>
  </si>
  <si>
    <t>Weight ratio of Copow used in Mag</t>
  </si>
  <si>
    <t>Production amount of Copow used in LIBcc</t>
  </si>
  <si>
    <t>Production amount of Copow used in Mag</t>
  </si>
  <si>
    <t>In-use stock of Copow used in LIBcc</t>
  </si>
  <si>
    <t>In-use stock of Copow used in Mag</t>
  </si>
  <si>
    <t>Production amount of Copow used in the energy sector</t>
  </si>
  <si>
    <t>In-use stock of Copow used in the energy sector</t>
  </si>
  <si>
    <t>Weight ratio of HF used in NuPow</t>
  </si>
  <si>
    <t>In-use stock of HF used in NuPow</t>
  </si>
  <si>
    <t>Production amount of HF used in NuPow</t>
  </si>
  <si>
    <t>Gallium powder (Gapow)</t>
  </si>
  <si>
    <t>Weight ratio of Gapow used in SemiCond</t>
  </si>
  <si>
    <t>Production amount of Gapow used in SemiCond</t>
  </si>
  <si>
    <t>In-use stock of Gapow used in SemiCond</t>
  </si>
  <si>
    <t>Hafnium powder (Hfpow)</t>
  </si>
  <si>
    <t>Weight ratio of Hfpow used in NuPow</t>
  </si>
  <si>
    <t>Production amount of Hfpow used in NuPow</t>
  </si>
  <si>
    <t>In-use stock of Hfpow used in NuPow</t>
  </si>
  <si>
    <t>Indium powder (Inpow)</t>
  </si>
  <si>
    <t>Weight ratio of Inpow used in SemiCond</t>
  </si>
  <si>
    <t>Production amount of Inpow used in SemiCond</t>
  </si>
  <si>
    <t>In-use stock of Inpow used in SemiCond</t>
  </si>
  <si>
    <t>Code of exporting country</t>
  </si>
  <si>
    <t>global production of nuclear energy generation equipment</t>
  </si>
  <si>
    <t>global in-use stock of nuclear energy generation equipment</t>
  </si>
  <si>
    <t>Lithium (Li)</t>
  </si>
  <si>
    <t>Weight ratio of Li used in LIBcc</t>
  </si>
  <si>
    <t>Weight ratio of Li used in Gfiber</t>
  </si>
  <si>
    <t>In-use stock of Li used in LIBcc</t>
  </si>
  <si>
    <t>In-use stock of Li used in Gfiber</t>
  </si>
  <si>
    <t>Production amount of Li used in LIBcc</t>
  </si>
  <si>
    <t>Production amount of Li used in Gfiber</t>
  </si>
  <si>
    <t>Production amount of Li used in energy sector</t>
  </si>
  <si>
    <t>In-use stock of Li used in energy sector</t>
  </si>
  <si>
    <t>Magnesium powder (Mgpow)</t>
  </si>
  <si>
    <t>Natural graphite (NGr)</t>
  </si>
  <si>
    <t>Weight ratio of Mgpow used in Al plates</t>
  </si>
  <si>
    <t>Weight ratio of Mgpow used in Gfiber</t>
  </si>
  <si>
    <t>Production amount of Mgpow used in Al plates</t>
  </si>
  <si>
    <t>Production amount of Mgpow used in Gfiber</t>
  </si>
  <si>
    <t>Production amount of Mgpow used in energy sector</t>
  </si>
  <si>
    <t>In-use stock of Mgpow used in Al plates</t>
  </si>
  <si>
    <t>In-use stock of Mgpow used in Gfiber</t>
  </si>
  <si>
    <t>In-use stock of Mgpow used in energy sector</t>
  </si>
  <si>
    <t>Weight ratio of NGr used in LIBcc</t>
  </si>
  <si>
    <t>In-use stock of NGr used in LIBcc</t>
  </si>
  <si>
    <t>Production amount of NGr used in LIBcc</t>
  </si>
  <si>
    <t>Codes of production countries</t>
  </si>
  <si>
    <t>Rare Earth Elements (REE)</t>
  </si>
  <si>
    <t>Weight ratio of REE used in Mag</t>
  </si>
  <si>
    <t>Production amount of REE used in Mag</t>
  </si>
  <si>
    <t>In-use stock of REE used in Mag</t>
  </si>
  <si>
    <t>Silicon metal (Simet)</t>
  </si>
  <si>
    <t>Weight ratio of Simet used in SemiCond</t>
  </si>
  <si>
    <t>Weight ratio of Simet used in Al plates</t>
  </si>
  <si>
    <t>Weight ratio of Simet used in Gfiber</t>
  </si>
  <si>
    <t>In-use stock of Simet used in SemiCond</t>
  </si>
  <si>
    <t>In-use stock of Simet used in Al plates</t>
  </si>
  <si>
    <t>In-use stock of Simet used in Gfiber</t>
  </si>
  <si>
    <t>Production amount of Simet used in SemiCond</t>
  </si>
  <si>
    <t>Production amount of Simet used in Al plates</t>
  </si>
  <si>
    <t>Production amount of Simet used in Gfiber</t>
  </si>
  <si>
    <t>Production amount of Simet used in energy sector</t>
  </si>
  <si>
    <t>In-use stock of Simet used in energy sector</t>
  </si>
  <si>
    <t>Titanium powder (Tipow)</t>
  </si>
  <si>
    <t>Weight ratio of Tipow used in Al plates</t>
  </si>
  <si>
    <t>Weight ratio of Tipow used in NuPow</t>
  </si>
  <si>
    <t>Production amount of Tipow used in Al plates</t>
  </si>
  <si>
    <t>Production amount of Tipow used in NuPow</t>
  </si>
  <si>
    <t>In-use stock of Tipow used in Al plates</t>
  </si>
  <si>
    <t>In-use stock of Tipow used in NuPow</t>
  </si>
  <si>
    <t>Production amount of Tipow used in energy sector</t>
  </si>
  <si>
    <t>In-use stock of Tipow used in energy sector</t>
  </si>
  <si>
    <t>Vanadium powder (Vpow)</t>
  </si>
  <si>
    <t>Weight ratio of Vpow used in LIBcc</t>
  </si>
  <si>
    <t>Production amount of Vpow used in LIBcc</t>
  </si>
  <si>
    <t>In-use stock of Vpow used in LIBcc</t>
  </si>
  <si>
    <t>Data about the temporal relevance for components of energy generation and storage equipment</t>
  </si>
  <si>
    <t>The considered time horizon of the study is 5 years.</t>
  </si>
  <si>
    <t>Component</t>
  </si>
  <si>
    <t>lifetime</t>
  </si>
  <si>
    <t>number of replacement times over time horizon</t>
  </si>
  <si>
    <t>source</t>
  </si>
  <si>
    <t>comments</t>
  </si>
  <si>
    <t>Solar glass</t>
  </si>
  <si>
    <t>30-40 years</t>
  </si>
  <si>
    <t>Aluminium plates of solar panels</t>
  </si>
  <si>
    <t>25 years</t>
  </si>
  <si>
    <t>It is assumed that the aluminum plates in solar panels have the same lifetime as the solar panel itself.</t>
  </si>
  <si>
    <t>Permanent magnets of wind turbines</t>
  </si>
  <si>
    <t>20-30 years</t>
  </si>
  <si>
    <t>Glass fibers of wind turbines</t>
  </si>
  <si>
    <t>Permanent magnets of hydropower turbines</t>
  </si>
  <si>
    <t>A similar lifetime to the permanent magnets used in wind turbines is assumed.</t>
  </si>
  <si>
    <t>Aluminium plates of hydropower turbine</t>
  </si>
  <si>
    <t>It is assumed that the aluminum plates in hydropower installations have the same lifetime as the hydropower plant itself.</t>
  </si>
  <si>
    <t>5 years</t>
  </si>
  <si>
    <t>Aluminium plates and foil of lithium-ion batteries</t>
  </si>
  <si>
    <t>It is assumed that the aluminum plates and foil in lithium-ion batteries have the same lifetime as the battery itself.</t>
  </si>
  <si>
    <t>Permanent magnets of generators</t>
  </si>
  <si>
    <t>Semiconductors for solar panels</t>
  </si>
  <si>
    <t>20 years</t>
  </si>
  <si>
    <t>It is assumed that the glass fibers in wind turbines have the same lifetime as the wind turbine itself.</t>
  </si>
  <si>
    <t>Parts of hydropower turbines</t>
  </si>
  <si>
    <t>40 years</t>
  </si>
  <si>
    <t>Cells and cases of lithium-ion batteries</t>
  </si>
  <si>
    <t>It is assumed that the battery cells and cases have the same lifetime as the battery itself.</t>
  </si>
  <si>
    <t>Vanadium alloys in wind turbines</t>
  </si>
  <si>
    <t>It is assumed that the steel including the vanadium alloys that is used in the wind turbines has the same lifetime as the wind turbine itself.</t>
  </si>
  <si>
    <t>Vanadium alloys in solar panels</t>
  </si>
  <si>
    <t>It is assumed that the steel including the vanadium alloys that is used in the solar panels has the same lifetime as the solar panel itself.</t>
  </si>
  <si>
    <t>All raw materials used in the components of energy generation and storage equipment are assumed to have the same lifetime as the components, in which they are included.</t>
  </si>
  <si>
    <t>Intermediate raw materials</t>
  </si>
  <si>
    <t>Production amount of Vpow used in energy sector</t>
  </si>
  <si>
    <t>In-use stock of Vpow used in energy sector</t>
  </si>
  <si>
    <t>Magnesium unwrought (Mgun)</t>
  </si>
  <si>
    <t>Antimony oxides (Sbox)</t>
  </si>
  <si>
    <t>Weight ratio of Sbox used in Antimony powder</t>
  </si>
  <si>
    <t>Production amount of Sbox used in Antimony powder</t>
  </si>
  <si>
    <t>In-use stock of Sbox used in Antimony powder</t>
  </si>
  <si>
    <t>Aluminium oxides (Alox)</t>
  </si>
  <si>
    <t>Weight ratio of Alox used in Al unwrought</t>
  </si>
  <si>
    <t>Production amount of Alox used in Al unwrought</t>
  </si>
  <si>
    <t>In-use stock of Alox used in Al unwrought</t>
  </si>
  <si>
    <t>Aluminium waste &amp; scrap (Alsc)</t>
  </si>
  <si>
    <t>Weight ratio of Alsc used in Al unwrought</t>
  </si>
  <si>
    <t>Production amount of Alsc used in Al unwrought</t>
  </si>
  <si>
    <t>In-use stock of Alsc used in Al unwrought</t>
  </si>
  <si>
    <t>Beryllium waste &amp; scrap (Besc)</t>
  </si>
  <si>
    <t>Weight ratio of Besc used in Bepow</t>
  </si>
  <si>
    <t>Production amount of Besc used in Bepow</t>
  </si>
  <si>
    <t>In-use stock of Besc used in Bepow</t>
  </si>
  <si>
    <t>Boric acid (Boac)</t>
  </si>
  <si>
    <t>Weight ratio of Boac used in Bora</t>
  </si>
  <si>
    <t>Production amount of Boac used in Bora</t>
  </si>
  <si>
    <t>In-use stock of Boac used in Bora</t>
  </si>
  <si>
    <t>Cobalt intermediates (Coint)</t>
  </si>
  <si>
    <t>Weight ratio of Coint used in Copow</t>
  </si>
  <si>
    <t>Production amount of Coint used in Copow</t>
  </si>
  <si>
    <t>In-use stock of Coint used in Copow</t>
  </si>
  <si>
    <t>Cobalt waste &amp; scrap (Cosc)</t>
  </si>
  <si>
    <t>Weight ratio of Cosc used in Copow</t>
  </si>
  <si>
    <t>Production amount of Cosc used in Copow</t>
  </si>
  <si>
    <t>In-use stock of Cosc used in Copow</t>
  </si>
  <si>
    <t>Weight ratio of Mgun used in Mgpow</t>
  </si>
  <si>
    <t>Production amount of Mgun used in Mgpow</t>
  </si>
  <si>
    <t>In-use stock of Mgun used in Mgpow</t>
  </si>
  <si>
    <t>Magnesium waste &amp; scrap (Mgsc)</t>
  </si>
  <si>
    <t>Weight ratio of Mgsc used in Mgpow</t>
  </si>
  <si>
    <t>Production amount of Mgsc used in Mgpow</t>
  </si>
  <si>
    <t>In-use stock of Mgsc used in Mgpow</t>
  </si>
  <si>
    <t>Titanium oxide (Tiox)</t>
  </si>
  <si>
    <t>Weight ratio of Tiox used in Tipow</t>
  </si>
  <si>
    <t>Production amount of Tiox used in Tipow</t>
  </si>
  <si>
    <t>In-use stock of Tiox used in Tipow</t>
  </si>
  <si>
    <t>Titanium waste &amp; scrap (Tisc)</t>
  </si>
  <si>
    <t>Weight ratio of Tisc used in Tipow</t>
  </si>
  <si>
    <t>Production amount of Tisc used in Tipow</t>
  </si>
  <si>
    <t>In-use stock of Tisc used in Tipow</t>
  </si>
  <si>
    <t>Vanadium oxide (Vox)</t>
  </si>
  <si>
    <t>Weight raVo of Vox used in Vpow</t>
  </si>
  <si>
    <t>ProducVon amount of Vox used in Vpow</t>
  </si>
  <si>
    <t>In-use stock of Vox used in Vpow</t>
  </si>
  <si>
    <t>Minerals</t>
  </si>
  <si>
    <t>Bauxite ore (BXore)</t>
  </si>
  <si>
    <t>Weight ratio of BXore used in Alox</t>
  </si>
  <si>
    <t>Production amount of BXore used in Alox</t>
  </si>
  <si>
    <t>In-use stock of BXore used in Alox</t>
  </si>
  <si>
    <t>Weight ratio of Sbore used in Sbox</t>
  </si>
  <si>
    <t>Production amount of Sbore used in Sbox</t>
  </si>
  <si>
    <t>In-use stock of Sbore used in Sbox</t>
  </si>
  <si>
    <t>Antimony ore (Sbore)</t>
  </si>
  <si>
    <t>Beryllium ore (Beore)</t>
  </si>
  <si>
    <t>Weight ratio of Beore used in Bepow</t>
  </si>
  <si>
    <t>Production amount of Beore used in Bepow</t>
  </si>
  <si>
    <t>In-use stock of Beore used in Bepow</t>
  </si>
  <si>
    <t>Borate minerals (Bomin)</t>
  </si>
  <si>
    <t>Weight ratio of Bomin used in Boac</t>
  </si>
  <si>
    <t>Production amount of Bomin used in Boac</t>
  </si>
  <si>
    <t>In-use stock of Bomin used in Boac</t>
  </si>
  <si>
    <t>Cobalt ore (Coore)</t>
  </si>
  <si>
    <t>Weight ratio of Coore used in Coint</t>
  </si>
  <si>
    <t>Production amount of Coore used in Coint</t>
  </si>
  <si>
    <t>In-use stock of Coore used in Coint</t>
  </si>
  <si>
    <t>Fluorspar (FSP)</t>
  </si>
  <si>
    <t>Weight ratio of FSP used in HF</t>
  </si>
  <si>
    <t>Production amount of FSP used in HF</t>
  </si>
  <si>
    <t>In-use stock of FSP used in HF</t>
  </si>
  <si>
    <t>Weight ratio of Gaore used in Gapow</t>
  </si>
  <si>
    <t>Production amount of Gaore used in Gapow</t>
  </si>
  <si>
    <t>In-use stock of Gaore used in Gapow</t>
  </si>
  <si>
    <t>Gallium ore (Gaore)</t>
  </si>
  <si>
    <t>Hafnium ore (Hfore)</t>
  </si>
  <si>
    <t>Weight ratio of Hfore used in Hfpow</t>
  </si>
  <si>
    <t>Production amount of Hfore used in Hfpow</t>
  </si>
  <si>
    <t>In-use stock of Hfore used in Hfpow</t>
  </si>
  <si>
    <t>Lithium ore (Liore)</t>
  </si>
  <si>
    <t>Magnesium ore (Mgore)</t>
  </si>
  <si>
    <t>Weight ratio of Mgore used in Mgun</t>
  </si>
  <si>
    <t>Production amount of Mgore used in Mgun</t>
  </si>
  <si>
    <t>In-use stock of Mgore used in Mgun</t>
  </si>
  <si>
    <t>Rare Earth oxides (REO)</t>
  </si>
  <si>
    <t>Weight ratio of REO used in REE</t>
  </si>
  <si>
    <t>Production amount of REO used in REE</t>
  </si>
  <si>
    <t>In-use stock of REO used in REE</t>
  </si>
  <si>
    <t>Silicon ore (Siore)</t>
  </si>
  <si>
    <t>Weight ratio of Siore used in Simet</t>
  </si>
  <si>
    <t>Production amount of Siore used in Simet</t>
  </si>
  <si>
    <t>In-use stock of Siore used in Simet</t>
  </si>
  <si>
    <t>Titanium ore (Tiore)</t>
  </si>
  <si>
    <t>Weight ratio of Tiore used in Tiox</t>
  </si>
  <si>
    <t>Production amount of Tiore used in Tiox</t>
  </si>
  <si>
    <t>In-use stock of Tiore used in Tiox</t>
  </si>
  <si>
    <t>Vanadium ore (Vore)</t>
  </si>
  <si>
    <t>Weight ratio of Vore used in Vox</t>
  </si>
  <si>
    <t>Production amount of Vore used in Vox</t>
  </si>
  <si>
    <t>In-use stock of Vore used in Vox</t>
  </si>
  <si>
    <t>Weight ratio of Liore used in Li</t>
  </si>
  <si>
    <t>Production amount of Liore used in Li</t>
  </si>
  <si>
    <t>In-use stock of Liore used in Li</t>
  </si>
  <si>
    <t>Conclusion for production capacity in the year 2020 and the production share considered within this study</t>
  </si>
  <si>
    <t>Production capacity of LIB in the year 2019</t>
  </si>
  <si>
    <t>Production capacity of LIB in the year 2016</t>
  </si>
  <si>
    <t>Conclusion for production capacity and share of LIB in the year 2020 within this study</t>
  </si>
  <si>
    <t>Code of exporting country of PbAcB</t>
  </si>
  <si>
    <t>Export shares of PbAcB based on BACI</t>
  </si>
  <si>
    <t>Estimated production shares of PbAcB</t>
  </si>
  <si>
    <t>Estimated production amounts of PbAcB</t>
  </si>
  <si>
    <t>Weight ratio of Inore used in Inpow</t>
  </si>
  <si>
    <t>Production amount of Inore used in Inpow</t>
  </si>
  <si>
    <t>In-use stock of Inore used in Inpow</t>
  </si>
  <si>
    <t>Indium ore (Inore)</t>
  </si>
  <si>
    <t>considered time (1 year)</t>
  </si>
  <si>
    <t>Electricity per solar panel per year</t>
  </si>
  <si>
    <t>Electricity per wind turbine per year</t>
  </si>
  <si>
    <t>Mass of solar panel:</t>
  </si>
  <si>
    <t>Weight ratio of Bora used in Solar glass</t>
  </si>
  <si>
    <t>Production amount of Bora used in Solar glass</t>
  </si>
  <si>
    <t>In-use stock of Bora used in Solar glass</t>
  </si>
  <si>
    <t>Scandium (Sc)</t>
  </si>
  <si>
    <t>Weight ratio of Sc used in aluminium plates</t>
  </si>
  <si>
    <t>Production amount of Sc used in aluminium plates</t>
  </si>
  <si>
    <t>In-use stock of Sc used in aluminium plates</t>
  </si>
  <si>
    <t>Scandium ore (Sc_ore)</t>
  </si>
  <si>
    <t>Weight ratio of Sc_ore used in Scandium</t>
  </si>
  <si>
    <t>Production amount of Sc_ore used in Scandium</t>
  </si>
  <si>
    <t>In-use stock of Sc_ore used in Scandium</t>
  </si>
  <si>
    <t>Vanadium alloys (V_al)</t>
  </si>
  <si>
    <t>Weight% of Val in WiTu</t>
  </si>
  <si>
    <t>Weight% of Val in SoPa</t>
  </si>
  <si>
    <t>Weight% of Val in HyPoweq</t>
  </si>
  <si>
    <t>Production amount of Val in WiTu</t>
  </si>
  <si>
    <t>Production amount of Val in SoPa</t>
  </si>
  <si>
    <t>Production amount of Val in HyPoweq</t>
  </si>
  <si>
    <t>In-use stock of Val in WiTu</t>
  </si>
  <si>
    <t>In-use stock of Val in SoPa</t>
  </si>
  <si>
    <t>In-use stock of Val in HyPoweq</t>
  </si>
  <si>
    <t>Production amount of Val in energy sector</t>
  </si>
  <si>
    <t>In-use stock of Val in energy sector</t>
  </si>
  <si>
    <t>Austria</t>
  </si>
  <si>
    <t>Latvia</t>
  </si>
  <si>
    <t>New Zealand</t>
  </si>
  <si>
    <t>Weight ratio of Vpow used in Val</t>
  </si>
  <si>
    <t>Production amount of Vpow used in Val</t>
  </si>
  <si>
    <t>In-use stock of Vpow used in Val</t>
  </si>
  <si>
    <t>Number of solar panels to produce the electricity of one wind turbine</t>
  </si>
  <si>
    <t>Electricity per solar panel per month</t>
  </si>
  <si>
    <t>(BloombergNEF 2022)</t>
  </si>
  <si>
    <t>(Sunrun 2018)</t>
  </si>
  <si>
    <t xml:space="preserve">*The share of solar panels producers in Europe is equally distributed over the countries Italy, France and Slovenia, which are currently the only producers of solar panels in Europe according to Campbell (2022). </t>
  </si>
  <si>
    <t>(Patel 2019)</t>
  </si>
  <si>
    <t>(Global Wind Energy Council 2021)</t>
  </si>
  <si>
    <t>Efficiency of a wind turbine</t>
  </si>
  <si>
    <t>(EPA 2013)</t>
  </si>
  <si>
    <t>(USGS 2021), (Lee 2020)</t>
  </si>
  <si>
    <t>(TWI 2023)</t>
  </si>
  <si>
    <t>Source: (Ingram 2020), (Jaganmohan 2022b)</t>
  </si>
  <si>
    <t>Source: (Jaganmohan 2022a)</t>
  </si>
  <si>
    <t>(The Business Research Company 2023)</t>
  </si>
  <si>
    <t xml:space="preserve">The lifetimes of generators used in the oil &amp; gas, wood, nuclear and hydropower industry are 30, 30, 40 and 45 years, respectively, according to PowerProducts (2018), Bonavigo and Mario (2011) and Flury and Frischknecht (2012). </t>
  </si>
  <si>
    <t>(World Nuclear Association 2023a)</t>
  </si>
  <si>
    <t>(World Nuclear Association 2023b)</t>
  </si>
  <si>
    <t>(Conaway 2011)</t>
  </si>
  <si>
    <t xml:space="preserve">Following World Nuclear Association (2023c), it is assumed that the global production of nuclear reactor elements has been stable over the last 6 years. </t>
  </si>
  <si>
    <t>(Cheng et al. 2020), (Bodansky 2005)</t>
  </si>
  <si>
    <t xml:space="preserve">Following Cheng et al. (2020) and Bodansky (2005), it is assumed that one control rods of a nuclear reactor weighs 4.2 kg and that 1000 control rods are used in a nuclear reactor. 
</t>
  </si>
  <si>
    <t>(axpo 2020)</t>
  </si>
  <si>
    <t>(International Hydropower Association 2021)</t>
  </si>
  <si>
    <t>(Kim et al. 2017)</t>
  </si>
  <si>
    <t>(Flury and Frischknecht 2012)</t>
  </si>
  <si>
    <t xml:space="preserve">Following eia (2011) and Hydropower Europe (2023), it is assumed that the production of hydropower plants has been stable over the past decades. </t>
  </si>
  <si>
    <t>(Aktaş and Kirçiçek 2021)</t>
  </si>
  <si>
    <t>(Andersson 2017), (Casals et al. 2019)</t>
  </si>
  <si>
    <t>(Power Sonic Corporation 2023), (Dufo-López et al. 2021)</t>
  </si>
  <si>
    <t>Development of production of stationary LIBs and PBAcBs over time (Green Car Congress 2011)</t>
  </si>
  <si>
    <t>References</t>
  </si>
  <si>
    <t>Aggarwal, V., 2022. What is the output of a solar panel? https://news.energysage.com/what-is-the-power-output-of-a-solar-panel/ (accessed 30/01/2023).</t>
  </si>
  <si>
    <t>Aktaş, A., Kirçiçek, Y., 2021. Chapter 5 - Solar Hybrid Systems and Energy Storage Systems, in A. Aktaş, Y. Kirçiçek (eds.), Solar Hybrid Systems, Academic Press, Number of 87-125. https://doi.org/10.1016/B978-0-323-88499-0.00005-7.</t>
  </si>
  <si>
    <t xml:space="preserve">Andersson, J., 2017. Lifetime estimation of lithium-ion batteries for stationary energy storage systems. </t>
  </si>
  <si>
    <t>axpo, 2020. Run-of-river hydropower – in simple terms. https://www.axpo.com/gb/en/about-us/magazine.detail.html/magazine/renewable-energy/run-of-river-hydropower---in-simple-terms.html (accessed 02/02/2023).</t>
  </si>
  <si>
    <t>BloombergNEF, 2022. Solar – 10 Predictions for 2022. https://about.bnef.com/blog/solar-10-predictions-for-2022/ (accessed 30/01/2023).</t>
  </si>
  <si>
    <t>Bodansky, D., 2005. Nuclear energy: Principles, practices, and prospects: Second edition. Nuclear Energy: Principles, Practices, and Prospects: Second Edition. 1-693. 10.1007/b138326.</t>
  </si>
  <si>
    <t>Bonavigo, L., Mario, D.S., 2011. Issues for Nuclear Power Plants Steam Generators, Number of. 10.5772/14853.</t>
  </si>
  <si>
    <t>bp, 2023. Statistical Review of World Energy. https://www.bp.com/en/global/corporate/energy-economics/statistical-review-of-world-energy.html (accessed 30/01/2023).</t>
  </si>
  <si>
    <t>Campbell, M., 2022. More solar panels need to be made in Europe to cut dependency on Russian gas, says EU. https://www.euronews.com/green/2022/03/31/more-solar-panels-need-to-be-made-in-europe-to-cut-dependency-on-russian-gas-says-eu (accessed 30/01/2023).</t>
  </si>
  <si>
    <t>Casals, L.C., Amante García, B., Canal, C., 2019. Second life batteries lifespan: Rest of useful life and environmental analysis. Journal of Environmental Management. 232, 354-63. https://doi.org/10.1016/j.jenvman.2018.11.046.</t>
  </si>
  <si>
    <t>Cerdas Marin, J.F., Titscher, P., von Drachenfels, N., Schmuch, R., Winter, M., Kwade, A., Herrmann, C., 2018. Exploring the Effect of Increased Energy Density on the Environmental Impacts of Traction Batteries: A Comparison of Energy Optimized Lithium-Ion and Lithium-Sulfur Batteries for Mobility Applications. Energies. 11, 150. https://doi.org/10.3390/en11010150.</t>
  </si>
  <si>
    <t>Cheng, J., Wang, Z., Lu, C., Zhang, J., Bi, S., Feng, Q., 2020. Control Rod Drop Hydrodynamic Analysis Based on Numerical Simulation. Frontiers in Energy Research. 8. 10.3389/fenrg.2020.601067.</t>
  </si>
  <si>
    <t>Conaway, L., 2011. What's the deal with spent nuclear fuel? https://www.msnbc.com/rachel-maddow-show/whats-the-deal-spent-nuclear-fuel-msna200346 (accessed 02/02/2023).</t>
  </si>
  <si>
    <t>Ding, Y., Cano, Z.P., Yu, A., Lu, J., Chen, Z., 2019. Automotive Li-Ion Batteries: Current Status and Future Perspectives. Electrochemical Energy Reviews. 2 (1), 1-28. 10.1007/s41918-018-0022-z.</t>
  </si>
  <si>
    <t>Dorrell, J., Lee, K., 2020. The Cost of Wind: Negative Economic Effects of Global Wind Energy Development. Energies. 13, 3667. 10.3390/en13143667.</t>
  </si>
  <si>
    <t>Duan, J., Tang, X., Dai, H., Yang, Y., Wu, W., Wei, X., Huang, Y., 2020. Building Safe Lithium-Ion Batteries for Electric Vehicles: A Review. Electrochemical Energy Reviews. 3 (1), 1-42. 10.1007/s41918-019-00060-4.</t>
  </si>
  <si>
    <t>Dufo-López, R., Cortés-Arcos, T., Artal-Sevil, J.S., Bernal-Agustín, J.L., 2021. Comparison of Lead-Acid and Li-Ion Batteries Lifetime Prediction Models in Stand-Alone Photovoltaic Systems, Applied Sciences, 11 (3). 10.3390/app11031099</t>
  </si>
  <si>
    <t>eia, 2011. U.S. hydropower output varies dramatically from year to year. https://www.eia.gov/todayinenergy/detail.php?id=2650 (accessed 02/02/2023).</t>
  </si>
  <si>
    <t xml:space="preserve">EPA, 2013. Renewable Energy Fact Sheet: Wind Turbines, in United States Environmental Protection Agency (ed.). </t>
  </si>
  <si>
    <t xml:space="preserve">Flury, K., Frischknecht, R., 2012. Life Cycle Inventories of Hydroelectric Power Generation, in ESU-services (ed.). </t>
  </si>
  <si>
    <t>Global Wind Energy Council, 2021. Global Wind Report 2021. https://gwec.net/global-wind-report-2021/ (accessed 30/01/2023).</t>
  </si>
  <si>
    <t>Green Car Congress, 2011. Pike Research forecasts energy storage systems for ancillary grid services to surpass $3.2B by 2021. https://www.greencarcongress.com/2011/10/pike-20111011.html (accessed 01/01/2023).</t>
  </si>
  <si>
    <t>Gupta, C., 2021. Wind Power Statistics 2021. https://www.spikegeek.com/wind-power-statistics-2021/ (accessed 30/01/2023).</t>
  </si>
  <si>
    <t>Hydropower Europe, 2023. Hydropower in Europe. https://hydropower-europe.eu/about-hydropower-europe/hydropower-energy/ (accessed 02/02/2023).</t>
  </si>
  <si>
    <t>Ingram, E., 2020. Vestas tops BloombergNEF’s list of top wind turbine manufacturers by installations. https://www.renewableenergyworld.com/wind-power/vestas-tops-bloombergnefs-list-of-top-wind-turbine-manufacturers-by-installations/#gref (accessed 30/01/2023).</t>
  </si>
  <si>
    <t xml:space="preserve">International Hydropower Association, 2021. 2021 Hydropower Status Report - Sector trends and insights. </t>
  </si>
  <si>
    <t>Jaganmohan, M., 2022a. Distribution of solar photovoltaic module production worldwide in 2020, by country. https://www.statista.com/statistics/668749/regional-distribution-of-solar-pv-module-manufacturing/ (accessed 30/01/2023).</t>
  </si>
  <si>
    <t>Jaganmohan, M., 2022b. Largest onshore wind turbine manufacturers by commissioned capacity worldwide in 2019. https://www.statista.com/statistics/262350/largest-wind-turbine-manufacturers-worldwide-by-capacity/ (accessed 30/01/2023).</t>
  </si>
  <si>
    <t>Kim, J.-w., Kwak, W.-i., Choe, B.-s., Hyoung-Ho, K., Suh, S.-H., Lee, Y.-b., 2017. The rotordynamic analysis of the vibration considering the hydro-electric force supported by rolling elements in 500 kW Francis turbine. Journal of Mechanical Science and Technology. 31, 5153-59. 10.1007/s12206-017-1009-0.</t>
  </si>
  <si>
    <t>Lee, K., 2020. How Much Power Does a Wind Turbine Generate? https://sciencing.com/wind-turbine-size-vs-power-23676.html (accessed 30/01/2023).</t>
  </si>
  <si>
    <t>Mayyas, A., Steward, D., Mann, M., 2019. The case for recycling: Overview and challenges in the material supply chain for automotive li-ion batteries. Sustainable Materials and Technologies. 19, e00087. https://doi.org/10.1016/j.susmat.2018.e00087.</t>
  </si>
  <si>
    <t>Ost, I., 2023. How Much Energy Does a Solar Panel Produce? https://www.solar.com/learn/how-much-energy-does-a-solar-panel-produce/ (accessed 30/01/2023).</t>
  </si>
  <si>
    <t>Patel, J., 2019. What is the size of a solar panel &amp; weight of a solar panel? https://letsavelectricity.com/what-is-the-size-of-a-solar-panel-weight-of-a-solar-panel/ (accessed 30/01/2023).</t>
  </si>
  <si>
    <t xml:space="preserve">Pillot, C., 2020. EU battery demand and supply  (2019-2030) in a global context, in a. Energy (ed.). </t>
  </si>
  <si>
    <t>Power Sonic Corporation, 2023. Features of Sealed lead Acid Batteries. https://www.power-sonic.com/blog/features-of-sealed-lead-acid-batteries/ (accessed 02/02/2023).</t>
  </si>
  <si>
    <t>PowerProducts, 2018. How Long Will a Standby Generator Last? https://www.standbygeneratorsne.com/blog/how-long-will-a-standby-generator-last/ (accessed 30/01/2023).</t>
  </si>
  <si>
    <t>Rhythm Energy, 2022. How Much Power Does a Solar Panel Produce? https://www.gotrhythm.com/blog/solar-energy/how-much-power-does-a-solar-panel-produce (accessed 30/01/2023).</t>
  </si>
  <si>
    <t>Sunrun, 2018. How Long Do Solar Panels Really Last? https://www.sunrun.com/go-solar-center/solar-articles/how-long-do-solar-panels-really-last (accessed 30/01/2023).</t>
  </si>
  <si>
    <t>The Business Research Company, 2023. Power Generators Global Market Report 2023. https://www.thebusinessresearchcompany.com/report/power-generators-global-market-report (accessed 30/01/2023).</t>
  </si>
  <si>
    <t xml:space="preserve">Tsiropoulos, I., Tarvydas, D., Lebedeva, N., 2018. Li-ion batteries for mobility and stationary storage applications - Scenarios for costs and market growth, in J.R. Centre (ed.). </t>
  </si>
  <si>
    <t>TWI, 2023. How Long do Wind Turbines Last? Can their Lifetime be Extended? https://www.twi-global.com/technical-knowledge/faqs/how-long-do-wind-turbines-last (accessed 30/01/2023).</t>
  </si>
  <si>
    <t>USGS, 2021. How many homes can an average wind turbine power? https://www.usgs.gov/faqs/how-many-homes-can-average-wind-turbine-power (accessed 30/01/2023).</t>
  </si>
  <si>
    <t>Wikipedia, 2023. Wind Turbine. https://en.wikipedia.org/wiki/Wind_turbine#cite_note-50 (accessed 30/01/2023).</t>
  </si>
  <si>
    <t>World Nuclear Association, 2023a. How does a nuclear reactor work? https://world-nuclear.org/nuclear-essentials/how-does-a-nuclear-reactor-work.aspx (accessed 25/01/2023).</t>
  </si>
  <si>
    <t>World Nuclear Association, 2023b. Nuclear Power in the World Today. https://world-nuclear.org/information-library/current-and-future-generation/nuclear-power-in-the-world-today.aspx (accessed 02/02/2023).</t>
  </si>
  <si>
    <t>World Nuclear Association, 2023c. Plans For New Reactors Worldwide. https://world-nuclear.org/information-library/current-and-future-generation/plans-for-new-reactors-worldwide.aspx (accessed 02/02/2023).</t>
  </si>
  <si>
    <t>Yu, A., Sumangil, M., 2021. Top electric vehicle markets dominate lithium-ion battery capacity growth. https://www.spglobal.com/marketintelligence/en/news-insights/blog/top-electric-vehicle-markets-dominate-lithium-ion-battery-capacity-growth (accessed 25/08/2021).</t>
  </si>
  <si>
    <t>Yuan, C., Deng, Y., Li, T., Yang, F., 2017. Manufacturing energy analysis of lithium ion battery pack for electric vehicles. CIRP Annals. 66 (1), 53-56. https://doi.org/10.1016/j.cirp.2017.04.109.</t>
  </si>
  <si>
    <t>source: (Smith et al. 2022)</t>
  </si>
  <si>
    <t>Smith, B.J., Riddle, M.E., Earlam, M.R., Iloeje, C., Diamond, D., 2022. Rare Earth Permanent Magnets - Supply Chain Deep Dive Assessment, (United States). 10.2172/1871577.</t>
  </si>
  <si>
    <t xml:space="preserve">Idoine, N.E., Raycraft, E.R., Shaw, R.A., Hobbs, S.F., Deady, E.A., Everett, P., Evans, E.J., Mills, A.J., 2022. WORLD MINERAL PRODUCTION 2016–20, in British Geological Survey (ed.). </t>
  </si>
  <si>
    <t>25-30 years</t>
  </si>
  <si>
    <t>(Glover and Saddler 2022)</t>
  </si>
  <si>
    <t>(Gamble 2022)</t>
  </si>
  <si>
    <t>(Renewables First 2015)</t>
  </si>
  <si>
    <t>(Lerma 2019)</t>
  </si>
  <si>
    <t>(Bensalah et al. 2022)</t>
  </si>
  <si>
    <t>Bensalah, A., Barakat, G., Amara, Y., 2022. Electrical Generators for Large Wind Turbine: Trends and Challenges, Energies, 15 (18). 10.3390/en15186700</t>
  </si>
  <si>
    <t>Gamble, K., 2022. Aging Gracefully: How NREL Is Extending the Lifetime of Solar Modules. https://www.nrel.gov/news/features/2022/aging-gracefully-how-nrel-is-extending-the-lifetime-of-solar-modules.html (accessed 06/02/2023).</t>
  </si>
  <si>
    <t>Glover, E., Saddler, L., 2022. How Long Do Solar Panels Last? https://www.forbes.com/home-improvement/solar/how-long-do-solar-panels-last/ (accessed 06/02/2023).</t>
  </si>
  <si>
    <t>Lerma, A., 2019. Lithium-Ion vs Lead Acid Battery Life. https://www.fluxpower.com/blog/lithium-ion-vs.-lead-acid-battery-life (accessed 06/02/2023).</t>
  </si>
  <si>
    <t>Renewables First, 2015. How long do hydropower installations last? https://www.renewablesfirst.co.uk/hydropower/hydropower-learning-centre/how-long-will-hydropower-systems-last/ (accessed 06/02/2023).</t>
  </si>
  <si>
    <t>Allen, N., 2022. How Much Power Does A Solar Panel Produce? https://www.forbes.com/home-improvement/solar/how-much-power-does-a-solar-panel-produce/ (accessed 03/01/2023).</t>
  </si>
  <si>
    <t>(Rhythm Energy 2022), (Aggarwal 2022), (Ost 2023), (Allen 2022)</t>
  </si>
  <si>
    <t xml:space="preserve">Abdel Warith, K., Richardson, W., Fricker, J., Haddock, J., 2011. Impact of Sustainable Energy Projects on Local Roads in Indiana. </t>
  </si>
  <si>
    <t>(swissenergy 2022)</t>
  </si>
  <si>
    <t>A weight of the rotor is estimated with 22 t and a weight of the nacelle is estimated with 52t based on Wikipedia (2023) and Abdel Warith et al. (2011). Based on Semken et al. (2012), it is assumed that the weight of the generator and the engine are 30% of the weight of the nacelle.</t>
  </si>
  <si>
    <t>(Patel 2019); determined by dividing the solar panel weight by the power volume</t>
  </si>
  <si>
    <t>Development of production amount adapted from BloombergNEF (2022). It is assumed that the production of solar panels before 2010 is insignificantly small.</t>
  </si>
  <si>
    <t>Data considered for the comparisons between solar panels and wind turbines:</t>
  </si>
  <si>
    <t>months</t>
  </si>
  <si>
    <t>kWh/month</t>
  </si>
  <si>
    <t>kWh/yr</t>
  </si>
  <si>
    <t>Development of production amount adapted from Gupta (2021) and Dorrell and Lee (2020).</t>
  </si>
  <si>
    <t>Data regarding primary energy generation are acquired from bp (2023).</t>
  </si>
  <si>
    <t>weight%</t>
  </si>
  <si>
    <t>Production amounts in kg based on Idoine et al. (2022)</t>
  </si>
  <si>
    <t>Production amounts (in kg) based on Idoine et 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</si>
</sst>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 #,##0.00_ ;_ * \-#,##0.00_ ;_ * &quot;-&quot;??_ ;_ @_ "/>
    <numFmt numFmtId="164" formatCode="_ * #,##0_ ;_ * \-#,##0_ ;_ * &quot;-&quot;??_ ;_ @_ "/>
    <numFmt numFmtId="165" formatCode="_-* #,##0.00_-;\-* #,##0.00_-;_-* &quot;-&quot;??_-;_-@_-"/>
    <numFmt numFmtId="166" formatCode="[&gt;0.005]0.00;[=0]\-;\^"/>
    <numFmt numFmtId="167" formatCode="0.0"/>
    <numFmt numFmtId="168" formatCode="0.0%"/>
    <numFmt numFmtId="169" formatCode="0.0000"/>
    <numFmt numFmtId="170" formatCode="0.00000"/>
    <numFmt numFmtId="171" formatCode="0.000000"/>
  </numFmts>
  <fonts count="27">
    <font>
      <sz val="10"/>
      <color theme="1"/>
      <name val="Segoe UI"/>
      <family val="2"/>
    </font>
    <font>
      <sz val="10"/>
      <color theme="1"/>
      <name val="Segoe UI"/>
      <family val="2"/>
    </font>
    <font>
      <b/>
      <sz val="10"/>
      <color theme="1"/>
      <name val="Segoe UI"/>
      <family val="2"/>
    </font>
    <font>
      <u/>
      <sz val="10"/>
      <color theme="10"/>
      <name val="Segoe UI"/>
      <family val="2"/>
    </font>
    <font>
      <sz val="8"/>
      <name val="Arial"/>
      <family val="2"/>
    </font>
    <font>
      <sz val="11"/>
      <color theme="1"/>
      <name val="Calibri"/>
      <family val="2"/>
      <scheme val="minor"/>
    </font>
    <font>
      <sz val="8"/>
      <name val="Arial"/>
      <family val="2"/>
    </font>
    <font>
      <u/>
      <sz val="8"/>
      <color indexed="12"/>
      <name val="Arial"/>
      <family val="2"/>
    </font>
    <font>
      <sz val="12"/>
      <color theme="1"/>
      <name val="Calibri"/>
      <family val="2"/>
      <scheme val="minor"/>
    </font>
    <font>
      <b/>
      <sz val="10"/>
      <name val="Arial"/>
      <family val="2"/>
    </font>
    <font>
      <sz val="10"/>
      <name val="Geneva"/>
    </font>
    <font>
      <sz val="11"/>
      <color indexed="8"/>
      <name val="Calibri"/>
      <family val="2"/>
    </font>
    <font>
      <u/>
      <sz val="11"/>
      <color theme="10"/>
      <name val="Calibri"/>
      <family val="2"/>
      <scheme val="minor"/>
    </font>
    <font>
      <sz val="6.5"/>
      <name val="Arial"/>
      <family val="2"/>
    </font>
    <font>
      <b/>
      <sz val="8.5"/>
      <color indexed="50"/>
      <name val="Arial"/>
      <family val="2"/>
    </font>
    <font>
      <sz val="6"/>
      <name val="Arial"/>
      <family val="2"/>
    </font>
    <font>
      <sz val="7"/>
      <name val="Arial"/>
      <family val="2"/>
    </font>
    <font>
      <sz val="7"/>
      <color indexed="8"/>
      <name val="Arial"/>
      <family val="2"/>
    </font>
    <font>
      <b/>
      <sz val="7"/>
      <name val="Arial"/>
      <family val="2"/>
    </font>
    <font>
      <sz val="9"/>
      <name val="Geneva"/>
    </font>
    <font>
      <sz val="14"/>
      <color indexed="50"/>
      <name val="Arial"/>
      <family val="2"/>
    </font>
    <font>
      <u/>
      <sz val="8"/>
      <color theme="10"/>
      <name val="Arial"/>
      <family val="2"/>
    </font>
    <font>
      <b/>
      <sz val="7"/>
      <color indexed="9"/>
      <name val="Arial"/>
      <family val="2"/>
    </font>
    <font>
      <sz val="10"/>
      <name val="Segoe UI"/>
      <family val="2"/>
    </font>
    <font>
      <b/>
      <sz val="12"/>
      <color theme="1"/>
      <name val="Segoe UI"/>
      <family val="2"/>
    </font>
    <font>
      <sz val="9.8000000000000007"/>
      <name val="Segoe UI"/>
      <family val="2"/>
    </font>
    <font>
      <sz val="12"/>
      <color theme="1"/>
      <name val="Segoe U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indexed="5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5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Fill="0" applyBorder="0"/>
    <xf numFmtId="0" fontId="7" fillId="0" borderId="0" applyNumberFormat="0" applyFill="0" applyBorder="0" applyAlignment="0" applyProtection="0">
      <alignment vertical="top"/>
      <protection locked="0"/>
    </xf>
    <xf numFmtId="0" fontId="5" fillId="0" borderId="0"/>
    <xf numFmtId="0" fontId="6" fillId="0" borderId="0" applyFill="0" applyBorder="0"/>
    <xf numFmtId="0" fontId="8" fillId="0" borderId="0"/>
    <xf numFmtId="0" fontId="6" fillId="0" borderId="0" applyFill="0" applyBorder="0"/>
    <xf numFmtId="0" fontId="9" fillId="0" borderId="0"/>
    <xf numFmtId="9" fontId="6"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6" fillId="0" borderId="0" applyFill="0" applyBorder="0"/>
    <xf numFmtId="165" fontId="11" fillId="0" borderId="0" applyFont="0" applyFill="0" applyBorder="0" applyAlignment="0" applyProtection="0"/>
    <xf numFmtId="0" fontId="10" fillId="0" borderId="0"/>
    <xf numFmtId="0" fontId="12" fillId="0" borderId="0" applyNumberFormat="0" applyFill="0" applyBorder="0" applyAlignment="0" applyProtection="0"/>
    <xf numFmtId="0" fontId="6" fillId="0" borderId="0" applyFill="0" applyBorder="0"/>
    <xf numFmtId="0" fontId="6" fillId="0" borderId="0" applyFill="0" applyBorder="0"/>
    <xf numFmtId="0" fontId="13" fillId="0" borderId="0"/>
    <xf numFmtId="0" fontId="14" fillId="0" borderId="0"/>
    <xf numFmtId="0" fontId="6" fillId="0" borderId="0" applyFill="0" applyBorder="0"/>
    <xf numFmtId="0" fontId="15" fillId="0" borderId="0">
      <alignment horizontal="right"/>
    </xf>
    <xf numFmtId="0" fontId="16" fillId="0" borderId="0" applyAlignment="0">
      <alignment horizontal="left"/>
    </xf>
    <xf numFmtId="167" fontId="17" fillId="0" borderId="0">
      <alignment horizontal="right"/>
    </xf>
    <xf numFmtId="168" fontId="16" fillId="0" borderId="0">
      <alignment horizontal="right"/>
    </xf>
    <xf numFmtId="0" fontId="16" fillId="0" borderId="0">
      <alignment horizontal="right"/>
    </xf>
    <xf numFmtId="0" fontId="6" fillId="0" borderId="0" applyFill="0" applyBorder="0"/>
    <xf numFmtId="168" fontId="19" fillId="0" borderId="0" applyFont="0" applyFill="0" applyBorder="0" applyAlignment="0" applyProtection="0"/>
    <xf numFmtId="0" fontId="6" fillId="0" borderId="0" applyFill="0" applyBorder="0"/>
    <xf numFmtId="0" fontId="20" fillId="0" borderId="0"/>
    <xf numFmtId="0" fontId="9" fillId="0" borderId="0"/>
    <xf numFmtId="0" fontId="5" fillId="0" borderId="0"/>
    <xf numFmtId="0" fontId="21" fillId="0" borderId="0" applyNumberFormat="0" applyFill="0" applyBorder="0" applyAlignment="0" applyProtection="0"/>
    <xf numFmtId="0" fontId="5" fillId="0" borderId="0"/>
    <xf numFmtId="0" fontId="18" fillId="0" borderId="1" applyNumberFormat="0" applyAlignment="0"/>
    <xf numFmtId="0" fontId="22" fillId="0" borderId="0"/>
    <xf numFmtId="0" fontId="5" fillId="0" borderId="0"/>
    <xf numFmtId="165"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0" fontId="5" fillId="0" borderId="0"/>
    <xf numFmtId="9" fontId="5" fillId="0" borderId="0" applyFont="0" applyFill="0" applyBorder="0" applyAlignment="0" applyProtection="0"/>
    <xf numFmtId="0" fontId="5" fillId="0" borderId="0"/>
  </cellStyleXfs>
  <cellXfs count="137">
    <xf numFmtId="0" fontId="0" fillId="0" borderId="0" xfId="0"/>
    <xf numFmtId="0" fontId="2" fillId="0" borderId="0" xfId="0" applyFont="1"/>
    <xf numFmtId="0" fontId="0" fillId="0" borderId="0" xfId="0" applyAlignment="1">
      <alignment wrapText="1"/>
    </xf>
    <xf numFmtId="164" fontId="0" fillId="0" borderId="0" xfId="1" applyNumberFormat="1" applyFont="1"/>
    <xf numFmtId="9" fontId="0" fillId="0" borderId="0" xfId="2" applyFont="1"/>
    <xf numFmtId="0" fontId="3" fillId="0" borderId="0" xfId="3"/>
    <xf numFmtId="43" fontId="0" fillId="0" borderId="0" xfId="0" applyNumberFormat="1"/>
    <xf numFmtId="0" fontId="0" fillId="0" borderId="0" xfId="0" applyFont="1" applyBorder="1" applyAlignment="1">
      <alignment horizontal="left"/>
    </xf>
    <xf numFmtId="0" fontId="0" fillId="0" borderId="0" xfId="0" applyFont="1" applyBorder="1" applyAlignment="1">
      <alignment horizontal="right"/>
    </xf>
    <xf numFmtId="0" fontId="0" fillId="0" borderId="0" xfId="0" applyAlignment="1">
      <alignment vertical="center"/>
    </xf>
    <xf numFmtId="9" fontId="0" fillId="0" borderId="0" xfId="0" applyNumberFormat="1"/>
    <xf numFmtId="9" fontId="0" fillId="0" borderId="0" xfId="0" applyNumberFormat="1" applyFont="1" applyBorder="1" applyAlignment="1">
      <alignment horizontal="right"/>
    </xf>
    <xf numFmtId="0" fontId="0" fillId="0" borderId="0" xfId="0" applyFont="1" applyBorder="1" applyAlignment="1">
      <alignment horizontal="left" wrapText="1"/>
    </xf>
    <xf numFmtId="0" fontId="0" fillId="0" borderId="0" xfId="0" applyFont="1" applyFill="1" applyBorder="1" applyAlignment="1">
      <alignment horizontal="left"/>
    </xf>
    <xf numFmtId="10" fontId="0" fillId="0" borderId="0" xfId="0" applyNumberFormat="1"/>
    <xf numFmtId="0" fontId="24" fillId="0" borderId="0" xfId="0" applyFont="1"/>
    <xf numFmtId="0" fontId="0" fillId="0" borderId="2" xfId="0" applyBorder="1"/>
    <xf numFmtId="0" fontId="0" fillId="0" borderId="3" xfId="0" applyBorder="1"/>
    <xf numFmtId="0" fontId="0" fillId="0" borderId="4" xfId="0" applyBorder="1"/>
    <xf numFmtId="0" fontId="0" fillId="0" borderId="0" xfId="0" applyAlignment="1">
      <alignment horizontal="left"/>
    </xf>
    <xf numFmtId="1" fontId="0" fillId="0" borderId="0" xfId="0" applyNumberFormat="1"/>
    <xf numFmtId="0" fontId="0" fillId="0" borderId="0" xfId="0" applyFill="1" applyBorder="1" applyAlignment="1">
      <alignment wrapText="1"/>
    </xf>
    <xf numFmtId="1" fontId="0" fillId="0" borderId="0" xfId="1" applyNumberFormat="1" applyFont="1" applyBorder="1" applyAlignment="1">
      <alignment horizontal="right"/>
    </xf>
    <xf numFmtId="0" fontId="0" fillId="0" borderId="3" xfId="0" applyFont="1" applyBorder="1" applyAlignment="1">
      <alignment horizontal="left"/>
    </xf>
    <xf numFmtId="0" fontId="0" fillId="0" borderId="0" xfId="0" applyBorder="1"/>
    <xf numFmtId="0" fontId="0" fillId="0" borderId="5" xfId="0" applyFont="1" applyBorder="1"/>
    <xf numFmtId="9" fontId="0" fillId="0" borderId="0" xfId="2" applyFont="1" applyBorder="1" applyAlignment="1">
      <alignment horizontal="left"/>
    </xf>
    <xf numFmtId="168" fontId="0" fillId="0" borderId="0" xfId="2" applyNumberFormat="1" applyFont="1" applyBorder="1" applyAlignment="1">
      <alignment horizontal="left"/>
    </xf>
    <xf numFmtId="0" fontId="0" fillId="0" borderId="5" xfId="0" applyBorder="1"/>
    <xf numFmtId="0" fontId="0" fillId="0" borderId="2" xfId="0" applyFont="1" applyBorder="1" applyAlignment="1">
      <alignment horizontal="left"/>
    </xf>
    <xf numFmtId="0" fontId="0" fillId="0" borderId="6" xfId="0" applyBorder="1"/>
    <xf numFmtId="0" fontId="0" fillId="0" borderId="3" xfId="0" applyFont="1" applyBorder="1"/>
    <xf numFmtId="0" fontId="23" fillId="0" borderId="3" xfId="3" applyFont="1" applyBorder="1" applyAlignment="1" applyProtection="1"/>
    <xf numFmtId="0" fontId="0" fillId="0" borderId="0" xfId="0" applyFont="1" applyBorder="1"/>
    <xf numFmtId="0" fontId="23" fillId="0" borderId="0" xfId="3" applyFont="1" applyBorder="1" applyAlignment="1" applyProtection="1"/>
    <xf numFmtId="0" fontId="0" fillId="0" borderId="0" xfId="0" applyFont="1" applyBorder="1" applyAlignment="1">
      <alignment wrapText="1"/>
    </xf>
    <xf numFmtId="0" fontId="23" fillId="0" borderId="0" xfId="3" applyFont="1" applyBorder="1" applyAlignment="1" applyProtection="1">
      <alignment wrapText="1"/>
    </xf>
    <xf numFmtId="0" fontId="0" fillId="0" borderId="5" xfId="0" applyFont="1" applyFill="1" applyBorder="1" applyAlignment="1">
      <alignment horizontal="left" wrapText="1"/>
    </xf>
    <xf numFmtId="9" fontId="0" fillId="0" borderId="0" xfId="2" applyFont="1" applyBorder="1"/>
    <xf numFmtId="9" fontId="23" fillId="0" borderId="0" xfId="2" applyFont="1" applyBorder="1" applyAlignment="1" applyProtection="1"/>
    <xf numFmtId="0" fontId="23" fillId="0" borderId="0" xfId="2" applyNumberFormat="1" applyFont="1" applyBorder="1" applyAlignment="1" applyProtection="1"/>
    <xf numFmtId="1" fontId="0" fillId="0" borderId="0" xfId="0" applyNumberFormat="1" applyBorder="1"/>
    <xf numFmtId="1" fontId="0" fillId="0" borderId="5" xfId="0" applyNumberFormat="1" applyBorder="1"/>
    <xf numFmtId="0" fontId="0" fillId="0" borderId="7" xfId="0" applyFont="1" applyBorder="1"/>
    <xf numFmtId="9" fontId="23" fillId="0" borderId="7" xfId="2" applyFont="1" applyBorder="1" applyAlignment="1" applyProtection="1"/>
    <xf numFmtId="0" fontId="23" fillId="0" borderId="7" xfId="0" applyFont="1" applyBorder="1"/>
    <xf numFmtId="1" fontId="0" fillId="0" borderId="7" xfId="0" applyNumberFormat="1" applyBorder="1"/>
    <xf numFmtId="0" fontId="0" fillId="0" borderId="8" xfId="0" applyBorder="1"/>
    <xf numFmtId="0" fontId="0" fillId="0" borderId="3" xfId="0" applyFill="1" applyBorder="1" applyAlignment="1">
      <alignment wrapText="1"/>
    </xf>
    <xf numFmtId="0" fontId="0" fillId="0" borderId="4" xfId="0" applyFill="1" applyBorder="1" applyAlignment="1">
      <alignment wrapText="1"/>
    </xf>
    <xf numFmtId="10" fontId="0" fillId="0" borderId="0" xfId="0" applyNumberFormat="1" applyBorder="1"/>
    <xf numFmtId="0" fontId="2" fillId="0" borderId="6" xfId="0" applyFont="1" applyBorder="1" applyAlignment="1">
      <alignment horizontal="left"/>
    </xf>
    <xf numFmtId="0" fontId="26" fillId="0" borderId="0" xfId="0" applyFont="1"/>
    <xf numFmtId="9" fontId="0" fillId="2" borderId="0" xfId="2" applyFont="1" applyFill="1" applyBorder="1"/>
    <xf numFmtId="0" fontId="2" fillId="0" borderId="0" xfId="0" applyFont="1" applyAlignment="1"/>
    <xf numFmtId="0" fontId="0" fillId="0" borderId="3" xfId="0" applyBorder="1" applyAlignment="1">
      <alignment wrapText="1"/>
    </xf>
    <xf numFmtId="0" fontId="0" fillId="0" borderId="0" xfId="0" applyFont="1"/>
    <xf numFmtId="0" fontId="0" fillId="0" borderId="0" xfId="0" applyFont="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0" fillId="0" borderId="6" xfId="0" applyBorder="1" applyAlignment="1">
      <alignment wrapText="1"/>
    </xf>
    <xf numFmtId="0" fontId="0" fillId="0" borderId="5" xfId="0" applyBorder="1" applyAlignment="1">
      <alignment vertical="center"/>
    </xf>
    <xf numFmtId="0" fontId="23" fillId="0" borderId="5" xfId="3" applyFont="1" applyBorder="1" applyAlignment="1">
      <alignment wrapText="1"/>
    </xf>
    <xf numFmtId="1" fontId="0" fillId="0" borderId="0" xfId="1" applyNumberFormat="1" applyFont="1" applyBorder="1"/>
    <xf numFmtId="0" fontId="0" fillId="0" borderId="6"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0" borderId="0" xfId="0" applyBorder="1" applyAlignment="1">
      <alignment wrapText="1"/>
    </xf>
    <xf numFmtId="0" fontId="0" fillId="0" borderId="5" xfId="0" applyBorder="1" applyAlignment="1">
      <alignment wrapText="1"/>
    </xf>
    <xf numFmtId="164" fontId="0" fillId="0" borderId="5" xfId="0" applyNumberFormat="1" applyBorder="1"/>
    <xf numFmtId="10" fontId="0" fillId="0" borderId="0" xfId="2" applyNumberFormat="1" applyFont="1" applyBorder="1"/>
    <xf numFmtId="0" fontId="0" fillId="0" borderId="0" xfId="0" applyNumberFormat="1" applyBorder="1"/>
    <xf numFmtId="0" fontId="3" fillId="0" borderId="5" xfId="3" applyBorder="1"/>
    <xf numFmtId="0" fontId="0" fillId="0" borderId="9" xfId="0" applyBorder="1" applyAlignment="1">
      <alignment wrapText="1"/>
    </xf>
    <xf numFmtId="0" fontId="0" fillId="0" borderId="7" xfId="0" applyBorder="1"/>
    <xf numFmtId="0" fontId="0" fillId="0" borderId="0" xfId="0" applyFill="1" applyBorder="1"/>
    <xf numFmtId="0" fontId="0" fillId="0" borderId="5" xfId="0" applyFill="1" applyBorder="1"/>
    <xf numFmtId="10" fontId="0" fillId="0" borderId="0" xfId="2" applyNumberFormat="1" applyFont="1" applyFill="1" applyBorder="1"/>
    <xf numFmtId="1" fontId="0" fillId="0" borderId="5" xfId="0" applyNumberFormat="1" applyFill="1" applyBorder="1"/>
    <xf numFmtId="10" fontId="0" fillId="0" borderId="0" xfId="0" applyNumberFormat="1" applyFill="1" applyBorder="1"/>
    <xf numFmtId="0" fontId="0" fillId="0" borderId="5" xfId="0" applyBorder="1" applyAlignment="1">
      <alignment vertical="center" wrapText="1"/>
    </xf>
    <xf numFmtId="9" fontId="0" fillId="0" borderId="0" xfId="0" applyNumberFormat="1" applyBorder="1"/>
    <xf numFmtId="164" fontId="0" fillId="0" borderId="5" xfId="1" applyNumberFormat="1" applyFont="1" applyBorder="1"/>
    <xf numFmtId="164" fontId="0" fillId="0" borderId="0" xfId="1" applyNumberFormat="1" applyFont="1" applyBorder="1"/>
    <xf numFmtId="0" fontId="0" fillId="0" borderId="8" xfId="0" applyBorder="1" applyAlignment="1">
      <alignment vertical="center"/>
    </xf>
    <xf numFmtId="43" fontId="0" fillId="0" borderId="0" xfId="0" applyNumberFormat="1" applyBorder="1"/>
    <xf numFmtId="164" fontId="0" fillId="0" borderId="0" xfId="0" applyNumberFormat="1" applyBorder="1"/>
    <xf numFmtId="166" fontId="23" fillId="0" borderId="0" xfId="46" applyNumberFormat="1" applyFont="1" applyBorder="1" applyAlignment="1">
      <alignment horizontal="right"/>
    </xf>
    <xf numFmtId="0" fontId="0" fillId="0" borderId="5" xfId="0" applyFill="1" applyBorder="1" applyAlignment="1">
      <alignment wrapText="1"/>
    </xf>
    <xf numFmtId="0" fontId="0" fillId="0" borderId="6" xfId="0" applyBorder="1" applyAlignment="1">
      <alignment horizontal="left"/>
    </xf>
    <xf numFmtId="0" fontId="0" fillId="0" borderId="9" xfId="0" applyBorder="1"/>
    <xf numFmtId="9" fontId="0" fillId="0" borderId="7" xfId="0" applyNumberFormat="1" applyBorder="1"/>
    <xf numFmtId="0" fontId="0" fillId="0" borderId="6" xfId="0" applyBorder="1" applyAlignment="1">
      <alignment horizontal="left" wrapText="1"/>
    </xf>
    <xf numFmtId="164" fontId="0" fillId="0" borderId="0" xfId="1" applyNumberFormat="1" applyFont="1" applyBorder="1" applyAlignment="1">
      <alignment wrapText="1"/>
    </xf>
    <xf numFmtId="0" fontId="0" fillId="0" borderId="0" xfId="0" applyBorder="1" applyAlignment="1">
      <alignment vertical="center"/>
    </xf>
    <xf numFmtId="43" fontId="0" fillId="0" borderId="0" xfId="1" applyNumberFormat="1" applyFont="1" applyBorder="1"/>
    <xf numFmtId="0" fontId="23" fillId="0" borderId="0" xfId="3" applyFont="1" applyBorder="1"/>
    <xf numFmtId="0" fontId="0" fillId="0" borderId="5" xfId="0" applyBorder="1" applyAlignment="1">
      <alignment horizontal="left" vertical="center" wrapText="1"/>
    </xf>
    <xf numFmtId="0" fontId="3" fillId="0" borderId="0" xfId="3" applyBorder="1" applyAlignment="1">
      <alignment vertical="center"/>
    </xf>
    <xf numFmtId="0" fontId="0" fillId="0" borderId="0" xfId="0" applyBorder="1" applyAlignment="1">
      <alignment horizontal="left"/>
    </xf>
    <xf numFmtId="0" fontId="0" fillId="0" borderId="0" xfId="0" applyFont="1" applyBorder="1" applyAlignment="1">
      <alignment horizontal="left" wrapText="1"/>
    </xf>
    <xf numFmtId="0" fontId="0" fillId="0" borderId="6" xfId="0" applyFont="1" applyBorder="1" applyAlignment="1">
      <alignment horizontal="left"/>
    </xf>
    <xf numFmtId="0" fontId="0" fillId="0" borderId="6" xfId="0" applyFont="1" applyBorder="1" applyAlignment="1">
      <alignment horizontal="left" wrapText="1"/>
    </xf>
    <xf numFmtId="0" fontId="0" fillId="0" borderId="5" xfId="0" applyBorder="1" applyAlignment="1">
      <alignment horizontal="left"/>
    </xf>
    <xf numFmtId="0" fontId="0" fillId="0" borderId="6" xfId="0" applyFont="1" applyFill="1" applyBorder="1" applyAlignment="1">
      <alignment horizontal="left" wrapText="1"/>
    </xf>
    <xf numFmtId="0" fontId="0" fillId="0" borderId="6" xfId="0" applyFont="1" applyFill="1" applyBorder="1" applyAlignment="1">
      <alignment horizontal="left"/>
    </xf>
    <xf numFmtId="0" fontId="0" fillId="0" borderId="5" xfId="0" applyFont="1" applyBorder="1" applyAlignment="1">
      <alignment horizontal="left" wrapText="1"/>
    </xf>
    <xf numFmtId="0" fontId="0" fillId="0" borderId="5" xfId="0" applyFont="1" applyFill="1" applyBorder="1" applyAlignment="1">
      <alignment wrapText="1"/>
    </xf>
    <xf numFmtId="168" fontId="0" fillId="0" borderId="0" xfId="2" applyNumberFormat="1" applyFont="1" applyFill="1" applyBorder="1"/>
    <xf numFmtId="1" fontId="0" fillId="0" borderId="5" xfId="0" applyNumberFormat="1" applyFont="1" applyFill="1" applyBorder="1"/>
    <xf numFmtId="9" fontId="0" fillId="0" borderId="7" xfId="2" applyFont="1" applyBorder="1"/>
    <xf numFmtId="0" fontId="0" fillId="0" borderId="0" xfId="0" applyFont="1" applyFill="1" applyBorder="1"/>
    <xf numFmtId="1" fontId="0" fillId="0" borderId="0" xfId="0" applyNumberFormat="1" applyFill="1" applyBorder="1"/>
    <xf numFmtId="9" fontId="0" fillId="0" borderId="0" xfId="2" applyFont="1" applyFill="1" applyBorder="1"/>
    <xf numFmtId="0" fontId="0" fillId="0" borderId="0" xfId="0" applyBorder="1" applyAlignment="1">
      <alignment horizontal="left" vertical="center" wrapText="1"/>
    </xf>
    <xf numFmtId="169" fontId="0" fillId="0" borderId="0" xfId="0" applyNumberFormat="1" applyBorder="1"/>
    <xf numFmtId="10" fontId="0" fillId="0" borderId="7" xfId="0" applyNumberFormat="1" applyBorder="1"/>
    <xf numFmtId="0" fontId="0" fillId="0" borderId="0" xfId="0" applyFill="1"/>
    <xf numFmtId="0" fontId="0" fillId="0" borderId="0" xfId="0" applyBorder="1" applyAlignment="1">
      <alignment horizontal="left" wrapText="1"/>
    </xf>
    <xf numFmtId="1" fontId="25" fillId="0" borderId="0" xfId="0" applyNumberFormat="1" applyFont="1" applyBorder="1" applyAlignment="1">
      <alignment vertical="center"/>
    </xf>
    <xf numFmtId="1" fontId="25" fillId="0" borderId="0" xfId="0" applyNumberFormat="1" applyFont="1" applyFill="1" applyBorder="1" applyAlignment="1">
      <alignment vertical="center"/>
    </xf>
    <xf numFmtId="0" fontId="0" fillId="0" borderId="7" xfId="0" applyBorder="1" applyAlignment="1">
      <alignment horizontal="left"/>
    </xf>
    <xf numFmtId="1" fontId="25" fillId="0" borderId="7" xfId="0" applyNumberFormat="1" applyFont="1" applyFill="1" applyBorder="1" applyAlignment="1">
      <alignment vertical="center"/>
    </xf>
    <xf numFmtId="0" fontId="0" fillId="0" borderId="7" xfId="0" applyFill="1" applyBorder="1"/>
    <xf numFmtId="0" fontId="0" fillId="0" borderId="8" xfId="0" applyFill="1" applyBorder="1"/>
    <xf numFmtId="169" fontId="0" fillId="0" borderId="0" xfId="2" applyNumberFormat="1" applyFont="1" applyBorder="1"/>
    <xf numFmtId="171" fontId="0" fillId="0" borderId="0" xfId="2" applyNumberFormat="1" applyFont="1" applyBorder="1"/>
    <xf numFmtId="170" fontId="0" fillId="0" borderId="0" xfId="2" applyNumberFormat="1" applyFont="1" applyBorder="1"/>
    <xf numFmtId="168" fontId="0" fillId="0" borderId="0" xfId="0" applyNumberFormat="1" applyBorder="1"/>
    <xf numFmtId="1" fontId="0" fillId="0" borderId="0" xfId="1" applyNumberFormat="1" applyFont="1" applyFill="1" applyBorder="1"/>
    <xf numFmtId="1" fontId="0" fillId="0" borderId="5" xfId="2" applyNumberFormat="1" applyFont="1" applyFill="1" applyBorder="1"/>
    <xf numFmtId="1" fontId="0" fillId="0" borderId="7" xfId="1" applyNumberFormat="1" applyFont="1" applyFill="1" applyBorder="1"/>
    <xf numFmtId="1" fontId="25" fillId="0" borderId="7" xfId="0" applyNumberFormat="1" applyFont="1" applyBorder="1" applyAlignment="1">
      <alignment vertical="center"/>
    </xf>
    <xf numFmtId="9" fontId="0" fillId="0" borderId="7" xfId="2" applyFont="1" applyFill="1" applyBorder="1"/>
    <xf numFmtId="164" fontId="25" fillId="0" borderId="0" xfId="1" applyNumberFormat="1" applyFont="1" applyBorder="1" applyAlignment="1">
      <alignment vertical="center"/>
    </xf>
    <xf numFmtId="1" fontId="23" fillId="0" borderId="7" xfId="0" applyNumberFormat="1" applyFont="1" applyBorder="1"/>
    <xf numFmtId="1" fontId="0" fillId="0" borderId="5" xfId="2" applyNumberFormat="1" applyFont="1" applyBorder="1"/>
  </cellXfs>
  <cellStyles count="54">
    <cellStyle name="C01_Main head" xfId="32"/>
    <cellStyle name="C02_Column heads" xfId="24"/>
    <cellStyle name="C03_Sub head bold" xfId="22"/>
    <cellStyle name="C04_Total text white bold" xfId="38"/>
    <cellStyle name="C04a_Total text black with rule" xfId="37"/>
    <cellStyle name="C05_Main text" xfId="25"/>
    <cellStyle name="C06_Figs" xfId="28"/>
    <cellStyle name="C07_Figs 1 dec percent" xfId="27"/>
    <cellStyle name="C08_Figs 1 decimal" xfId="26"/>
    <cellStyle name="C09_Notes" xfId="21"/>
    <cellStyle name="Comma 2" xfId="14"/>
    <cellStyle name="Comma 3" xfId="40"/>
    <cellStyle name="Comma 4" xfId="44"/>
    <cellStyle name="Comma 5" xfId="16"/>
    <cellStyle name="Comma 6" xfId="48"/>
    <cellStyle name="Hyperlink 2" xfId="18"/>
    <cellStyle name="Hyperlink 3" xfId="35"/>
    <cellStyle name="Komma" xfId="1" builtinId="3"/>
    <cellStyle name="Link" xfId="3" builtinId="8"/>
    <cellStyle name="Link 2" xfId="5"/>
    <cellStyle name="Normal 10" xfId="46"/>
    <cellStyle name="Normal 11" xfId="51"/>
    <cellStyle name="Normal 12" xfId="53"/>
    <cellStyle name="Normal 2" xfId="6"/>
    <cellStyle name="Normal 2 2" xfId="9"/>
    <cellStyle name="Normal 2 2 2" xfId="33"/>
    <cellStyle name="Normal 2 2 3" xfId="39"/>
    <cellStyle name="Normal 2 2 4" xfId="43"/>
    <cellStyle name="Normal 2 2 5" xfId="47"/>
    <cellStyle name="Normal 2 3" xfId="10"/>
    <cellStyle name="Normal 3" xfId="7"/>
    <cellStyle name="Normal 33" xfId="19"/>
    <cellStyle name="Normal 4" xfId="8"/>
    <cellStyle name="Normal 4 2" xfId="34"/>
    <cellStyle name="Normal 5" xfId="12"/>
    <cellStyle name="Normal 6" xfId="17"/>
    <cellStyle name="Normal 7" xfId="36"/>
    <cellStyle name="Normal 8" xfId="20"/>
    <cellStyle name="Normal 8 2" xfId="31"/>
    <cellStyle name="Normal 8 7" xfId="29"/>
    <cellStyle name="Normal 9" xfId="42"/>
    <cellStyle name="Normal 9 10" xfId="23"/>
    <cellStyle name="Normal_GIIGNL 11 Adj" xfId="15"/>
    <cellStyle name="Percent 2" xfId="11"/>
    <cellStyle name="Percent 3" xfId="13"/>
    <cellStyle name="Percent 4" xfId="41"/>
    <cellStyle name="Percent 5" xfId="45"/>
    <cellStyle name="Percent 6" xfId="49"/>
    <cellStyle name="Percent 7" xfId="52"/>
    <cellStyle name="Percent 8" xfId="30"/>
    <cellStyle name="Prozent" xfId="2" builtinId="5"/>
    <cellStyle name="Prozent 2" xfId="50"/>
    <cellStyle name="Standard" xfId="0" builtinId="0"/>
    <cellStyle name="Standard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1_AC%20generator/Generator%20global%20price_production.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2_PbAcB_cells_cases/PbAcBcc_productio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3_Al_plate/Al_plate_production.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3_Al_foil/Al_foil_global_production.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obility/04_V%20alloys/V%20alloys%20global%20price%20and%20country%20production%20shar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Antimony/Sb%20global%20price%20and%20country%20production%20share.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Beryllium/Beryllium%20powder%20global%20price%20and%20country%20production%20shar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Borates/Borates%20global%20price%20and%20country%20production%20share.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Cobalt/Cobalt%20price%20and%20country%20production%20share.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Fluorspar/Fluorcarbons%20fluoride%20global%20price%20and%20country%20prodcution%20shar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Gallium/Gallium%20global%20pric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1_Nuclear/Nuclear_equipment_global%20price.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Hafnium/Hafnium%20powder%20global%20price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Indium/Indium%20powder%20global%20price.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Lithium/Lithium%20carbonate%20global%20price%20and%20country%20production%20share.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Magnesium/Magnesium%20global%20price%20and%20country%20production%20share.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Rare%20Earth%20Elements/REE%20global%20price%20and%20country%20production%20share.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Scandium/Scandium%20global%20price%20and%20country%20production%20share.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Silicon%20metal/Silicon%20metal%20global%20price%20and%20country%20production%20share.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Titanium/Titanium%20global%20price%20and%20country%20production%20shar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Vanadium/Vanadium%20global%20price%20and%20country%20production%20share.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Materials/Aluminium/Al%20global%20price%20and%20country%20production%20sh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1_Hydropower/Hydro_power_global%20product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1_Battery_storage/PbAcB_storage%20global%20producti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ma/Desktop/BW2%203.%20Paper/Flowchart/Data_Sankey_Energ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2_Solar_glass/Solar_glass_global%20production.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2_Semiconductor/Semiconductor_global%20prodcutio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2_Glass_fiber/Glass_fiber_global%20productio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bma/Desktop/BW2%203.%20Paper/Inventory%20model/Global_price_data/Energy/data_02_Hydropower_equipment/Hydropower_equipment_global%20produ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Production"/>
    </sheetNames>
    <sheetDataSet>
      <sheetData sheetId="0">
        <row r="12">
          <cell r="B12">
            <v>757252345.99999976</v>
          </cell>
        </row>
        <row r="13">
          <cell r="B13">
            <v>5291060980.9999981</v>
          </cell>
        </row>
      </sheetData>
      <sheetData sheetId="1">
        <row r="3">
          <cell r="M3">
            <v>1.5644203761898942E-2</v>
          </cell>
          <cell r="AT3">
            <v>0.1311833241913786</v>
          </cell>
          <cell r="BG3">
            <v>3.2495282622736175E-2</v>
          </cell>
          <cell r="BI3">
            <v>1.1569814271661562E-2</v>
          </cell>
          <cell r="BV3">
            <v>1.2331889163932679E-2</v>
          </cell>
          <cell r="BW3">
            <v>4.098087535010423E-2</v>
          </cell>
          <cell r="CE3">
            <v>4.6087660453415086E-2</v>
          </cell>
          <cell r="DB3">
            <v>3.6208706575601685E-2</v>
          </cell>
          <cell r="DE3">
            <v>1.3874050117502045E-2</v>
          </cell>
          <cell r="DX3">
            <v>1.9964309229092835E-2</v>
          </cell>
          <cell r="ED3">
            <v>0.35139651980688613</v>
          </cell>
          <cell r="FT3">
            <v>2.486002598663458E-2</v>
          </cell>
          <cell r="GH3">
            <v>2.5327889839247855E-2</v>
          </cell>
          <cell r="GK3">
            <v>2.3570413606879732E-2</v>
          </cell>
          <cell r="GN3">
            <v>1.9892598655613804E-2</v>
          </cell>
          <cell r="GS3">
            <v>4.3176418234562988E-2</v>
          </cell>
          <cell r="HR3">
            <v>2.0995019802817486E-2</v>
          </cell>
          <cell r="HT3">
            <v>5.5104788014747198E-2</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
          <cell r="M3">
            <v>1.4541749076611668E-2</v>
          </cell>
          <cell r="Z3">
            <v>1.1230177376067579E-2</v>
          </cell>
          <cell r="AG3">
            <v>1.7731893791991912E-2</v>
          </cell>
          <cell r="AT3">
            <v>0.16161007918995293</v>
          </cell>
          <cell r="BG3">
            <v>0.12340972819459303</v>
          </cell>
          <cell r="BW3">
            <v>1.9166726767663931E-2</v>
          </cell>
          <cell r="CE3">
            <v>5.5675338024273775E-2</v>
          </cell>
          <cell r="CW3">
            <v>1.1008731711940127E-2</v>
          </cell>
          <cell r="DB3">
            <v>8.1760600387803001E-2</v>
          </cell>
          <cell r="DE3">
            <v>5.3942439157344153E-2</v>
          </cell>
          <cell r="DJ3">
            <v>7.8331184268035342E-2</v>
          </cell>
          <cell r="DT3">
            <v>1.5645106980451937E-2</v>
          </cell>
          <cell r="ED3">
            <v>5.8922086572642397E-2</v>
          </cell>
          <cell r="FO3">
            <v>2.4747061452123447E-2</v>
          </cell>
          <cell r="GK3">
            <v>1.126819799319051E-2</v>
          </cell>
          <cell r="HC3">
            <v>1.9951754282464033E-2</v>
          </cell>
          <cell r="HH3">
            <v>1.20478935582155E-2</v>
          </cell>
          <cell r="HJ3">
            <v>2.4374770799704678E-2</v>
          </cell>
          <cell r="HR3">
            <v>5.3205449064415204E-2</v>
          </cell>
          <cell r="HT3">
            <v>7.0356918059692602E-2</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s>
    <sheetDataSet>
      <sheetData sheetId="0">
        <row r="3">
          <cell r="M3">
            <v>1.81061602906341E-2</v>
          </cell>
          <cell r="S3">
            <v>2.2485881528850178E-2</v>
          </cell>
          <cell r="AM3">
            <v>1.7041045343013792E-2</v>
          </cell>
          <cell r="AT3">
            <v>0.23716088773089769</v>
          </cell>
          <cell r="BW3">
            <v>5.2215940784860276E-2</v>
          </cell>
          <cell r="CE3">
            <v>0.16243924331100859</v>
          </cell>
          <cell r="CI3">
            <v>1.939286845114346E-2</v>
          </cell>
          <cell r="DB3">
            <v>3.0903721484363714E-2</v>
          </cell>
          <cell r="DE3">
            <v>1.8045801135606145E-2</v>
          </cell>
          <cell r="DJ3">
            <v>7.5279604873439238E-2</v>
          </cell>
          <cell r="FB3">
            <v>1.3364958655314316E-2</v>
          </cell>
          <cell r="FU3">
            <v>1.5875993900377076E-2</v>
          </cell>
          <cell r="GF3">
            <v>2.3342881144235557E-2</v>
          </cell>
          <cell r="GQ3">
            <v>1.2248134325748566E-2</v>
          </cell>
          <cell r="GS3">
            <v>2.5357592249743106E-2</v>
          </cell>
          <cell r="GZ3">
            <v>3.0628576930149778E-2</v>
          </cell>
          <cell r="HC3">
            <v>1.8975942856246104E-2</v>
          </cell>
          <cell r="HJ3">
            <v>1.5229202154343348E-2</v>
          </cell>
          <cell r="HT3">
            <v>6.6602715949043281E-2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
          <cell r="M3">
            <v>7.2739286267501271E-2</v>
          </cell>
          <cell r="AT3">
            <v>0.37620659031306231</v>
          </cell>
          <cell r="BD3">
            <v>2.0069112270487431E-2</v>
          </cell>
          <cell r="BW3">
            <v>1.4204944723089708E-2</v>
          </cell>
          <cell r="CE3">
            <v>7.9042630863031399E-2</v>
          </cell>
          <cell r="CI3">
            <v>1.4980800371942098E-2</v>
          </cell>
          <cell r="DB3">
            <v>6.6399709991414133E-2</v>
          </cell>
          <cell r="DE3">
            <v>2.6264588278567612E-2</v>
          </cell>
          <cell r="DJ3">
            <v>2.3806932725370409E-2</v>
          </cell>
          <cell r="DX3">
            <v>2.269182486835513E-2</v>
          </cell>
          <cell r="FM3">
            <v>2.9637175776911689E-2</v>
          </cell>
          <cell r="FO3">
            <v>2.0950290085340988E-2</v>
          </cell>
          <cell r="GK3">
            <v>1.8024109297164317E-2</v>
          </cell>
          <cell r="GZ3">
            <v>1.8242806120623543E-2</v>
          </cell>
          <cell r="HC3">
            <v>5.1621354655649251E-2</v>
          </cell>
          <cell r="HH3">
            <v>1.0972916063919194E-2</v>
          </cell>
          <cell r="HJ3">
            <v>1.8475556290640672E-2</v>
          </cell>
          <cell r="HT3">
            <v>2.5221766167504808E-2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M3">
            <v>0.18388863781689474</v>
          </cell>
          <cell r="AM3">
            <v>2.8683420101097055E-2</v>
          </cell>
          <cell r="AT3">
            <v>0.11980247113574231</v>
          </cell>
          <cell r="BG3">
            <v>0.138820909521119</v>
          </cell>
          <cell r="CE3">
            <v>2.4438726986534286E-2</v>
          </cell>
          <cell r="DE3">
            <v>2.0852822824271974E-2</v>
          </cell>
          <cell r="DJ3">
            <v>5.5284308681190039E-2</v>
          </cell>
          <cell r="DP3">
            <v>1.0764339560196377E-2</v>
          </cell>
          <cell r="EO3">
            <v>6.2719122407173963E-2</v>
          </cell>
          <cell r="EV3">
            <v>0.11921576475572462</v>
          </cell>
          <cell r="FU3">
            <v>2.3014721438727119E-2</v>
          </cell>
          <cell r="GO3">
            <v>1.8851630739995583E-2</v>
          </cell>
          <cell r="GQ3">
            <v>0.12344993870614544</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AH3">
            <v>7.7886727849415333E-2</v>
          </cell>
          <cell r="AT3">
            <v>0.31289045106443986</v>
          </cell>
          <cell r="BW3">
            <v>1.1584544008819461E-2</v>
          </cell>
          <cell r="DJ3">
            <v>4.1921909157624976E-2</v>
          </cell>
          <cell r="EK3">
            <v>1.3246014817910958E-2</v>
          </cell>
          <cell r="FL3">
            <v>1.1541685315778698E-2</v>
          </cell>
          <cell r="GK3">
            <v>5.2379751699769071E-2</v>
          </cell>
          <cell r="GL3">
            <v>1.1607125182715314E-2</v>
          </cell>
          <cell r="GN3">
            <v>0.16748470071895188</v>
          </cell>
          <cell r="HB3">
            <v>0.18781215024125561</v>
          </cell>
          <cell r="HC3">
            <v>3.0186395402569427E-2</v>
          </cell>
          <cell r="HT3">
            <v>1.2408288089062936E-2</v>
          </cell>
        </row>
        <row r="6">
          <cell r="S6">
            <v>0.15565111109725258</v>
          </cell>
          <cell r="V6">
            <v>3.4147493751454497E-2</v>
          </cell>
          <cell r="AH6">
            <v>4.5934389686706267E-2</v>
          </cell>
          <cell r="AT6">
            <v>0.46388400947731928</v>
          </cell>
          <cell r="BW6">
            <v>0.10607534735783873</v>
          </cell>
          <cell r="DB6">
            <v>1.2127030482754585E-2</v>
          </cell>
          <cell r="DE6">
            <v>2.5709893830670138E-2</v>
          </cell>
          <cell r="DJ6">
            <v>2.1395587554600082E-2</v>
          </cell>
          <cell r="GS6">
            <v>3.0384045442099709E-2</v>
          </cell>
          <cell r="HC6">
            <v>3.2830102010452389E-2</v>
          </cell>
          <cell r="HT6">
            <v>2.7029373758216839E-2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DF3">
            <v>0.59435872887285046</v>
          </cell>
          <cell r="HR3">
            <v>0.15322016423021689</v>
          </cell>
          <cell r="HT3">
            <v>0.2441727731339986</v>
          </cell>
        </row>
        <row r="6">
          <cell r="W6">
            <v>5.7849851643122396E-2</v>
          </cell>
          <cell r="DT6">
            <v>6.7056064592780587E-2</v>
          </cell>
          <cell r="FM6">
            <v>0.1052058646064655</v>
          </cell>
          <cell r="GZ6">
            <v>0.70302498740366137</v>
          </cell>
          <cell r="HC6">
            <v>2.9770902146664925E-2</v>
          </cell>
          <cell r="HT6">
            <v>2.5267322298318622E-2</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DT5">
            <v>2.2664427324801957E-2</v>
          </cell>
          <cell r="FO5">
            <v>1.0328643324423898E-2</v>
          </cell>
          <cell r="HJ5">
            <v>0.54705618810566581</v>
          </cell>
          <cell r="HT5">
            <v>0.35762554512301242</v>
          </cell>
        </row>
        <row r="8">
          <cell r="K8">
            <v>2.6431215030201689E-2</v>
          </cell>
          <cell r="AS8">
            <v>0.13312753392016688</v>
          </cell>
          <cell r="DT8">
            <v>2.6784077332891509E-2</v>
          </cell>
          <cell r="EO8">
            <v>2.2245827373682702E-2</v>
          </cell>
          <cell r="FL8">
            <v>4.2798235092148022E-2</v>
          </cell>
          <cell r="FU8">
            <v>0.11145165105755893</v>
          </cell>
          <cell r="HJ8">
            <v>0.31529253847055727</v>
          </cell>
          <cell r="HT8">
            <v>0.26905190524151401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L3">
            <v>9.0876059069349341E-2</v>
          </cell>
          <cell r="S3">
            <v>9.6189028713574376E-2</v>
          </cell>
          <cell r="AM3">
            <v>0.11499897996134403</v>
          </cell>
          <cell r="AT3">
            <v>6.4800747197154354E-2</v>
          </cell>
          <cell r="DE3">
            <v>1.2257727118217479E-2</v>
          </cell>
          <cell r="DV3">
            <v>0.15978080061183139</v>
          </cell>
          <cell r="EO3">
            <v>2.1309285722212714E-2</v>
          </cell>
          <cell r="ET3">
            <v>4.5646353077509375E-2</v>
          </cell>
          <cell r="GQ3">
            <v>4.3818367080468511E-2</v>
          </cell>
          <cell r="HJ3">
            <v>2.4633419754607061E-2</v>
          </cell>
          <cell r="HR3">
            <v>5.0987683769657323E-2</v>
          </cell>
          <cell r="HT3">
            <v>5.6554943775935118E-2</v>
          </cell>
          <cell r="IB3">
            <v>0.21029854044730717</v>
          </cell>
        </row>
        <row r="12">
          <cell r="M12">
            <v>1.8156550443914295E-2</v>
          </cell>
          <cell r="AM12">
            <v>1.7441288483740186E-2</v>
          </cell>
          <cell r="BW12">
            <v>4.9971376610727328E-2</v>
          </cell>
          <cell r="CE12">
            <v>0.16917714146719595</v>
          </cell>
          <cell r="CW12">
            <v>3.2956017586664832E-2</v>
          </cell>
          <cell r="CZ12">
            <v>4.4077953741401041E-2</v>
          </cell>
          <cell r="DB12">
            <v>1.0377882964035235E-2</v>
          </cell>
          <cell r="DE12">
            <v>0.13916505947906724</v>
          </cell>
          <cell r="DJ12">
            <v>0.11263465064617592</v>
          </cell>
          <cell r="EO12">
            <v>2.0221514305110096E-2</v>
          </cell>
          <cell r="FU12">
            <v>1.0669410311701866E-2</v>
          </cell>
          <cell r="GL12">
            <v>1.773539800454824E-2</v>
          </cell>
          <cell r="HI12">
            <v>1.0906066480113264E-2</v>
          </cell>
          <cell r="HR12">
            <v>0.10611079020437125</v>
          </cell>
          <cell r="HT12">
            <v>0.16475723570102258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S5">
            <v>1.1406834942510149E-2</v>
          </cell>
        </row>
        <row r="8">
          <cell r="AT8">
            <v>0.50517011091718356</v>
          </cell>
          <cell r="BW8">
            <v>1.0867572498939009E-2</v>
          </cell>
          <cell r="CE8">
            <v>0.11272189672069584</v>
          </cell>
          <cell r="DB8">
            <v>2.1395842381908892E-2</v>
          </cell>
          <cell r="DE8">
            <v>1.9604332973660966E-2</v>
          </cell>
          <cell r="DJ8">
            <v>1.3056162497941819E-2</v>
          </cell>
          <cell r="ED8">
            <v>0.22303425813234451</v>
          </cell>
          <cell r="GS8">
            <v>5.0349807235401084E-2</v>
          </cell>
          <cell r="HT8">
            <v>1.6352924715480943E-2</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AM3">
            <v>0.42274765593151248</v>
          </cell>
          <cell r="CE3">
            <v>9.2947411333061558E-2</v>
          </cell>
          <cell r="DJ3">
            <v>0.30819404810436202</v>
          </cell>
          <cell r="EO3">
            <v>0.15002038320423972</v>
          </cell>
          <cell r="HR3">
            <v>1.4268242967794538E-2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Production"/>
    </sheetNames>
    <sheetDataSet>
      <sheetData sheetId="0"/>
      <sheetData sheetId="1">
        <row r="3">
          <cell r="AT3">
            <v>3.748953255398417E-2</v>
          </cell>
          <cell r="BW3">
            <v>6.745219185140737E-2</v>
          </cell>
          <cell r="CE3">
            <v>5.541452297207046E-2</v>
          </cell>
          <cell r="DE3">
            <v>0.11099931034441</v>
          </cell>
          <cell r="DJ3">
            <v>3.3791065236332678E-2</v>
          </cell>
          <cell r="FU3">
            <v>0.26108713698473374</v>
          </cell>
          <cell r="GS3">
            <v>3.3244184701755747E-2</v>
          </cell>
          <cell r="GY3">
            <v>0.118372994080103</v>
          </cell>
          <cell r="HO3">
            <v>0.16409794683657586</v>
          </cell>
          <cell r="HT3">
            <v>7.5379174338757127E-2</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S3">
            <v>0.29815534597566917</v>
          </cell>
          <cell r="BW3">
            <v>2.3767234996055729E-2</v>
          </cell>
          <cell r="CT3">
            <v>0.52968466727687835</v>
          </cell>
          <cell r="FO3">
            <v>4.6533269535349212E-2</v>
          </cell>
          <cell r="HR3">
            <v>3.735982340726457E-2</v>
          </cell>
          <cell r="HT3">
            <v>6.0775672308546337E-2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N3">
            <v>1.7550246849402242E-2</v>
          </cell>
          <cell r="S3">
            <v>0.32230616571060444</v>
          </cell>
          <cell r="AT3">
            <v>1.2385035558751485E-2</v>
          </cell>
          <cell r="BW3">
            <v>0.1093720660784786</v>
          </cell>
          <cell r="DB3">
            <v>2.3702010477741287E-2</v>
          </cell>
          <cell r="DE3">
            <v>9.8956512603900426E-2</v>
          </cell>
          <cell r="DJ3">
            <v>3.0296937763279359E-2</v>
          </cell>
          <cell r="FU3">
            <v>0.29318657008838517</v>
          </cell>
          <cell r="GL3">
            <v>1.1447991967507769E-2</v>
          </cell>
          <cell r="HT3">
            <v>5.8958275598286022E-2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K5">
            <v>0.10930144184740619</v>
          </cell>
          <cell r="S5">
            <v>1.4776903564388532E-2</v>
          </cell>
          <cell r="AS5">
            <v>0.4547250977180029</v>
          </cell>
          <cell r="AT5">
            <v>0.26004764648756634</v>
          </cell>
          <cell r="CE5">
            <v>1.13471666246977E-2</v>
          </cell>
          <cell r="EO5">
            <v>5.202298662266315E-2</v>
          </cell>
          <cell r="FU5">
            <v>3.6686964696762671E-2</v>
          </cell>
          <cell r="HT5">
            <v>2.9524511272074571E-2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M3">
            <v>4.7803506181348737E-2</v>
          </cell>
          <cell r="AT3">
            <v>0.74679786570042106</v>
          </cell>
          <cell r="CE3">
            <v>4.4481931934810655E-2</v>
          </cell>
          <cell r="EO3">
            <v>1.4807060979248887E-2</v>
          </cell>
          <cell r="FT3">
            <v>1.447665628409437E-2</v>
          </cell>
          <cell r="FU3">
            <v>1.5881139256386938E-2</v>
          </cell>
          <cell r="GM3">
            <v>1.2668947912078879E-2</v>
          </cell>
          <cell r="HJ3">
            <v>3.4670930947631316E-2</v>
          </cell>
          <cell r="HT3">
            <v>1.8593379695559346E-2</v>
          </cell>
        </row>
        <row r="11">
          <cell r="M11">
            <v>4.3291342081859814E-2</v>
          </cell>
          <cell r="AM11">
            <v>0.12172224382110139</v>
          </cell>
          <cell r="AT11">
            <v>7.7634986013017437E-2</v>
          </cell>
          <cell r="CE11">
            <v>7.1219089463745874E-2</v>
          </cell>
          <cell r="DB11">
            <v>1.791939423076409E-2</v>
          </cell>
          <cell r="DJ11">
            <v>1.0279322528427184E-2</v>
          </cell>
          <cell r="ED11">
            <v>5.7595177525852255E-2</v>
          </cell>
          <cell r="EO11">
            <v>1.7202210429887808E-2</v>
          </cell>
          <cell r="EV11">
            <v>0.35071243769228422</v>
          </cell>
          <cell r="FO11">
            <v>2.3496539752603407E-2</v>
          </cell>
          <cell r="FT11">
            <v>1.0691351600815635E-2</v>
          </cell>
          <cell r="GK11">
            <v>1.3811430019898896E-2</v>
          </cell>
          <cell r="GS11">
            <v>2.6161205655971031E-2</v>
          </cell>
          <cell r="GZ11">
            <v>3.014745557776051E-2</v>
          </cell>
          <cell r="HT11">
            <v>2.6183505681693604E-2</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L3">
            <v>0.68069069929711234</v>
          </cell>
          <cell r="AT3">
            <v>0.16179190588742143</v>
          </cell>
          <cell r="GN3">
            <v>8.0493148441535503E-2</v>
          </cell>
          <cell r="HC3">
            <v>3.0334806507866848E-2</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AT5">
            <v>2.3317757629965071E-2</v>
          </cell>
          <cell r="BQ5">
            <v>3.5493002382839887E-2</v>
          </cell>
          <cell r="DE5">
            <v>2.1022848792024287E-2</v>
          </cell>
          <cell r="DX5">
            <v>2.9333249066076063E-2</v>
          </cell>
          <cell r="GN5">
            <v>0.63387525423294122</v>
          </cell>
          <cell r="HC5">
            <v>0.2388715698303068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5">
          <cell r="L5">
            <v>2.6894398335594771E-2</v>
          </cell>
          <cell r="Z5">
            <v>0.11876503288440385</v>
          </cell>
          <cell r="AM5">
            <v>1.4586561577749128E-2</v>
          </cell>
          <cell r="AT5">
            <v>0.37806438274209836</v>
          </cell>
          <cell r="BW5">
            <v>5.257083344338391E-2</v>
          </cell>
          <cell r="CE5">
            <v>5.4323876618742231E-2</v>
          </cell>
          <cell r="CV5">
            <v>1.2462915862716126E-2</v>
          </cell>
          <cell r="DJ5">
            <v>1.1698937823172034E-2</v>
          </cell>
          <cell r="DX5">
            <v>3.7603506886013889E-2</v>
          </cell>
          <cell r="EO5">
            <v>5.2987008386638668E-2</v>
          </cell>
          <cell r="FB5">
            <v>0.14980886661484616</v>
          </cell>
          <cell r="HT5">
            <v>1.7960366975117679E-2</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AM3">
            <v>1.6276315843921314E-2</v>
          </cell>
          <cell r="AT3">
            <v>3.9806480509998098E-2</v>
          </cell>
          <cell r="BG3">
            <v>1.7923675794424887E-2</v>
          </cell>
          <cell r="BQ3">
            <v>1.0029917883137469E-2</v>
          </cell>
          <cell r="BW3">
            <v>1.0920505357808152E-2</v>
          </cell>
          <cell r="CE3">
            <v>2.4860095690994372E-2</v>
          </cell>
          <cell r="DB3">
            <v>1.8216233794123241E-2</v>
          </cell>
          <cell r="DE3">
            <v>0.31556314953533604</v>
          </cell>
          <cell r="DF3">
            <v>0.18381546258138523</v>
          </cell>
          <cell r="EO3">
            <v>1.2302661046379639E-2</v>
          </cell>
          <cell r="FU3">
            <v>0.13297065730161442</v>
          </cell>
          <cell r="HO3">
            <v>6.9633498440323266E-2</v>
          </cell>
          <cell r="HR3">
            <v>1.990441745028633E-2</v>
          </cell>
          <cell r="HT3">
            <v>8.228790543854235E-2</v>
          </cell>
        </row>
        <row r="6">
          <cell r="L6">
            <v>1.2457546172480056E-2</v>
          </cell>
          <cell r="S6">
            <v>2.8764036922467262E-2</v>
          </cell>
          <cell r="AM6">
            <v>2.5129739846842608E-2</v>
          </cell>
          <cell r="AT6">
            <v>0.41862088881756837</v>
          </cell>
          <cell r="BG6">
            <v>2.1058293097808135E-2</v>
          </cell>
          <cell r="BW6">
            <v>7.8600070493052537E-2</v>
          </cell>
          <cell r="CE6">
            <v>0.10481710441847793</v>
          </cell>
          <cell r="DE6">
            <v>4.1096389769985184E-2</v>
          </cell>
          <cell r="DJ6">
            <v>7.625076206943604E-2</v>
          </cell>
          <cell r="EO6">
            <v>1.4143484018390903E-2</v>
          </cell>
          <cell r="FB6">
            <v>1.5972811706888471E-2</v>
          </cell>
          <cell r="GK6">
            <v>2.2784214341241976E-2</v>
          </cell>
          <cell r="GN6">
            <v>1.6551349445483188E-2</v>
          </cell>
          <cell r="HR6">
            <v>2.3859469674368101E-2</v>
          </cell>
          <cell r="HT6">
            <v>2.8309613394363557E-2</v>
          </cell>
        </row>
        <row r="9">
          <cell r="S9">
            <v>1.1101754357089185E-2</v>
          </cell>
          <cell r="AM9">
            <v>2.6410202276808972E-2</v>
          </cell>
          <cell r="BQ9">
            <v>4.973230117486787E-2</v>
          </cell>
          <cell r="BW9">
            <v>6.977434168087325E-2</v>
          </cell>
          <cell r="CE9">
            <v>0.13131512844162727</v>
          </cell>
          <cell r="DA9">
            <v>1.3668925159543118E-2</v>
          </cell>
          <cell r="DB9">
            <v>3.7902149630270179E-2</v>
          </cell>
          <cell r="DE9">
            <v>8.8039520354606382E-2</v>
          </cell>
          <cell r="DJ9">
            <v>2.8423680433914238E-2</v>
          </cell>
          <cell r="ED9">
            <v>1.2909350515013608E-2</v>
          </cell>
          <cell r="EO9">
            <v>1.2154935185706862E-2</v>
          </cell>
          <cell r="FO9">
            <v>2.7713594067610453E-2</v>
          </cell>
          <cell r="FU9">
            <v>1.2374997388690148E-2</v>
          </cell>
          <cell r="GL9">
            <v>2.208110949966037E-2</v>
          </cell>
          <cell r="GM9">
            <v>1.3307329962580721E-2</v>
          </cell>
          <cell r="GS9">
            <v>2.2675950057828645E-2</v>
          </cell>
          <cell r="GY9">
            <v>1.0399422789739862E-2</v>
          </cell>
          <cell r="GZ9">
            <v>1.9706463450841222E-2</v>
          </cell>
          <cell r="HR9">
            <v>6.9885077044718913E-2</v>
          </cell>
          <cell r="HT9">
            <v>0.23897630006830553</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3">
          <cell r="Z3">
            <v>7.5961126435226206E-2</v>
          </cell>
          <cell r="AT3">
            <v>2.3853510610089921E-2</v>
          </cell>
          <cell r="BQ3">
            <v>1.4460214383637118E-2</v>
          </cell>
          <cell r="CE3">
            <v>3.2716942446720486E-2</v>
          </cell>
          <cell r="CZ3">
            <v>0.70424021027043249</v>
          </cell>
          <cell r="DJ3">
            <v>1.2033195399150782E-2</v>
          </cell>
          <cell r="FM3">
            <v>3.3292820142774966E-2</v>
          </cell>
          <cell r="FU3">
            <v>3.9605539510650448E-2</v>
          </cell>
          <cell r="HT3">
            <v>1.4365950452958427E-2</v>
          </cell>
        </row>
        <row r="6">
          <cell r="M6">
            <v>1.6641100918404421E-2</v>
          </cell>
          <cell r="Z6">
            <v>0.30253912434660152</v>
          </cell>
          <cell r="AT6">
            <v>0.12270739682868032</v>
          </cell>
          <cell r="CE6">
            <v>3.2834589078333559E-2</v>
          </cell>
          <cell r="DJ6">
            <v>2.3458960874327375E-2</v>
          </cell>
          <cell r="EO6">
            <v>1.9643193384730036E-2</v>
          </cell>
          <cell r="FU6">
            <v>0.288493159040701</v>
          </cell>
          <cell r="GK6">
            <v>1.0298753271964929E-2</v>
          </cell>
          <cell r="GQ6">
            <v>0.13489369263287426</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data(price volatility)"/>
      <sheetName val="Production"/>
    </sheetNames>
    <sheetDataSet>
      <sheetData sheetId="0"/>
      <sheetData sheetId="1"/>
      <sheetData sheetId="2">
        <row r="11">
          <cell r="L11">
            <v>2.5532204241762578E-2</v>
          </cell>
          <cell r="M11">
            <v>1.7694640733066445E-2</v>
          </cell>
          <cell r="S11">
            <v>2.8929553924792743E-2</v>
          </cell>
          <cell r="AM11">
            <v>5.2342653714016772E-2</v>
          </cell>
          <cell r="BI11">
            <v>1.3432602565140214E-2</v>
          </cell>
          <cell r="BW11">
            <v>5.1023392662757107E-2</v>
          </cell>
          <cell r="CE11">
            <v>0.11284180018185373</v>
          </cell>
          <cell r="CT11">
            <v>2.031875350631385E-2</v>
          </cell>
          <cell r="DB11">
            <v>1.405989900462443E-2</v>
          </cell>
          <cell r="DE11">
            <v>3.100149687836817E-2</v>
          </cell>
          <cell r="DX11">
            <v>1.6334250021547276E-2</v>
          </cell>
          <cell r="ED11">
            <v>2.691285176538695E-2</v>
          </cell>
          <cell r="EO11">
            <v>5.2216585317632985E-2</v>
          </cell>
          <cell r="FO11">
            <v>2.5607197893740115E-2</v>
          </cell>
          <cell r="GF11">
            <v>1.6696022102710876E-2</v>
          </cell>
          <cell r="GS11">
            <v>1.6162069600167861E-2</v>
          </cell>
          <cell r="GY11">
            <v>1.8024395276316101E-2</v>
          </cell>
          <cell r="GZ11">
            <v>1.5872864663093209E-2</v>
          </cell>
          <cell r="HC11">
            <v>1.1863803280694354E-2</v>
          </cell>
          <cell r="HH11">
            <v>2.0121966487574201E-2</v>
          </cell>
          <cell r="HR11">
            <v>4.8344665367637714E-2</v>
          </cell>
          <cell r="HT11">
            <v>0.18038162348199213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
          <cell r="M3">
            <v>6.9940034876933732E-2</v>
          </cell>
          <cell r="Z3">
            <v>4.3675383483125295E-2</v>
          </cell>
          <cell r="AG3">
            <v>3.1922847775356776E-2</v>
          </cell>
          <cell r="AT3">
            <v>0.315512561617729</v>
          </cell>
          <cell r="BG3">
            <v>2.7057660538429281E-2</v>
          </cell>
          <cell r="BW3">
            <v>0.10018598614348849</v>
          </cell>
          <cell r="CE3">
            <v>0.13689299210495467</v>
          </cell>
          <cell r="DB3">
            <v>6.8932519296515574E-2</v>
          </cell>
          <cell r="GK3">
            <v>3.9905025009637683E-2</v>
          </cell>
          <cell r="GL3">
            <v>1.3019513438979264E-2</v>
          </cell>
          <cell r="GO3">
            <v>1.7213809138820105E-2</v>
          </cell>
          <cell r="HT3">
            <v>4.8068354439558134E-2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
          <cell r="AT3">
            <v>0.25859982690805527</v>
          </cell>
          <cell r="BW3">
            <v>4.1809380446149562E-2</v>
          </cell>
          <cell r="CE3">
            <v>7.0190458410556641E-2</v>
          </cell>
          <cell r="CI3">
            <v>3.2861033783788615E-2</v>
          </cell>
          <cell r="DB3">
            <v>4.1731594514619413E-2</v>
          </cell>
          <cell r="DJ3">
            <v>1.7896974329197429E-2</v>
          </cell>
          <cell r="ED3">
            <v>3.9555048195284395E-2</v>
          </cell>
          <cell r="EO3">
            <v>1.9963237948346958E-2</v>
          </cell>
          <cell r="FM3">
            <v>1.6515901804842359E-2</v>
          </cell>
          <cell r="FO3">
            <v>3.2947498009381328E-2</v>
          </cell>
          <cell r="FP3">
            <v>2.4119929138602652E-2</v>
          </cell>
          <cell r="GK3">
            <v>2.3020609826813608E-2</v>
          </cell>
          <cell r="GN3">
            <v>0.12357012514859116</v>
          </cell>
          <cell r="GO3">
            <v>2.4957034780631923E-2</v>
          </cell>
          <cell r="GS3">
            <v>2.1112172797111396E-2</v>
          </cell>
          <cell r="HC3">
            <v>1.1463621980498037E-2</v>
          </cell>
          <cell r="HH3">
            <v>2.4414818398047641E-2</v>
          </cell>
          <cell r="HR3">
            <v>2.7350206355332491E-2</v>
          </cell>
          <cell r="HT3">
            <v>6.2172549803128752E-2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
      <sheetName val="Flow_amounts"/>
    </sheetNames>
    <sheetDataSet>
      <sheetData sheetId="0">
        <row r="16">
          <cell r="B16">
            <v>3.3750000000000002E-2</v>
          </cell>
        </row>
        <row r="17">
          <cell r="B17">
            <v>5.2500000000000003E-3</v>
          </cell>
        </row>
        <row r="23">
          <cell r="B23">
            <v>0.68253552279922136</v>
          </cell>
        </row>
        <row r="24">
          <cell r="B24">
            <v>4.2996091231695878E-2</v>
          </cell>
        </row>
        <row r="25">
          <cell r="B25">
            <v>0.15739979716713529</v>
          </cell>
        </row>
        <row r="26">
          <cell r="B26">
            <v>2.0512034198645158E-2</v>
          </cell>
        </row>
        <row r="27">
          <cell r="B27">
            <v>0.30199999999999999</v>
          </cell>
        </row>
        <row r="28">
          <cell r="B28">
            <v>1</v>
          </cell>
        </row>
        <row r="29">
          <cell r="B29">
            <v>2.0512034198645158E-2</v>
          </cell>
        </row>
        <row r="30">
          <cell r="B30">
            <v>0.625</v>
          </cell>
        </row>
        <row r="31">
          <cell r="B31">
            <v>0.375</v>
          </cell>
        </row>
        <row r="32">
          <cell r="B32">
            <v>0.68</v>
          </cell>
        </row>
        <row r="33">
          <cell r="B33">
            <v>0.32</v>
          </cell>
        </row>
        <row r="35">
          <cell r="B35">
            <v>1.4358423939051609E-2</v>
          </cell>
        </row>
        <row r="36">
          <cell r="B36">
            <v>0.24845843924546623</v>
          </cell>
        </row>
        <row r="37">
          <cell r="B37">
            <v>0.14838226238435459</v>
          </cell>
        </row>
        <row r="38">
          <cell r="B38">
            <v>0.58149805529003806</v>
          </cell>
        </row>
        <row r="39">
          <cell r="B39">
            <v>0.14070731777826728</v>
          </cell>
        </row>
        <row r="40">
          <cell r="B40">
            <v>1.4499999999999999E-3</v>
          </cell>
        </row>
        <row r="41">
          <cell r="B41">
            <v>8.1232492997198886E-4</v>
          </cell>
        </row>
        <row r="42">
          <cell r="B42">
            <v>1.1662443425233366E-3</v>
          </cell>
        </row>
        <row r="44">
          <cell r="B44">
            <v>5.0000000000000001E-3</v>
          </cell>
        </row>
        <row r="45">
          <cell r="B45">
            <v>1.2500000000000001E-2</v>
          </cell>
        </row>
        <row r="46">
          <cell r="B46">
            <v>0.89857999999999993</v>
          </cell>
        </row>
        <row r="47">
          <cell r="B47">
            <v>9.5000000000000001E-2</v>
          </cell>
        </row>
        <row r="48">
          <cell r="B48">
            <v>0.64500000000000002</v>
          </cell>
        </row>
        <row r="49">
          <cell r="B49">
            <v>1.4678678446108248E-4</v>
          </cell>
        </row>
        <row r="50">
          <cell r="B50">
            <v>1.704E-2</v>
          </cell>
        </row>
        <row r="51">
          <cell r="B51">
            <v>4.2920808508055365E-4</v>
          </cell>
        </row>
        <row r="52">
          <cell r="B52">
            <v>1.4175E-2</v>
          </cell>
        </row>
        <row r="53">
          <cell r="B53">
            <v>0.1</v>
          </cell>
        </row>
        <row r="54">
          <cell r="B54">
            <v>7.0000000000000007E-2</v>
          </cell>
        </row>
        <row r="55">
          <cell r="B55">
            <v>1.4999999999999999E-2</v>
          </cell>
        </row>
        <row r="56">
          <cell r="B56">
            <v>0.11643999999999997</v>
          </cell>
        </row>
        <row r="57">
          <cell r="B57">
            <v>1.8938174435737088E-6</v>
          </cell>
        </row>
        <row r="58">
          <cell r="B58">
            <v>0.49964000000000003</v>
          </cell>
        </row>
        <row r="59">
          <cell r="B59">
            <v>3.7876348871474176E-6</v>
          </cell>
        </row>
        <row r="60">
          <cell r="B60">
            <v>7.0000000000000007E-2</v>
          </cell>
        </row>
        <row r="61">
          <cell r="B61">
            <v>3.3250000000000002E-2</v>
          </cell>
        </row>
        <row r="62">
          <cell r="B62">
            <v>6.7500000000000008E-3</v>
          </cell>
        </row>
        <row r="63">
          <cell r="B63">
            <v>4.3999999999999997E-2</v>
          </cell>
        </row>
        <row r="64">
          <cell r="B64">
            <v>0.16</v>
          </cell>
        </row>
        <row r="65">
          <cell r="B65">
            <v>0.3</v>
          </cell>
        </row>
        <row r="66">
          <cell r="B66">
            <v>3.0000000000000001E-3</v>
          </cell>
        </row>
        <row r="67">
          <cell r="B67">
            <v>4.2920808508055366E-2</v>
          </cell>
        </row>
        <row r="68">
          <cell r="B68">
            <v>4.0000000000000001E-3</v>
          </cell>
        </row>
        <row r="69">
          <cell r="B69">
            <v>0.64049999999999996</v>
          </cell>
        </row>
        <row r="70">
          <cell r="B70">
            <v>1.035E-2</v>
          </cell>
        </row>
        <row r="71">
          <cell r="B71">
            <v>0.14995724999999999</v>
          </cell>
        </row>
        <row r="72">
          <cell r="B72">
            <v>7.0000000000000007E-2</v>
          </cell>
        </row>
        <row r="75">
          <cell r="B75">
            <v>0.8</v>
          </cell>
        </row>
        <row r="77">
          <cell r="B77">
            <v>0.65</v>
          </cell>
        </row>
        <row r="78">
          <cell r="B78">
            <v>0.35</v>
          </cell>
        </row>
        <row r="79">
          <cell r="B79">
            <v>0.17499999999999999</v>
          </cell>
        </row>
        <row r="80">
          <cell r="B80">
            <v>1</v>
          </cell>
        </row>
        <row r="81">
          <cell r="B81">
            <v>0.67999999999999994</v>
          </cell>
        </row>
        <row r="82">
          <cell r="B82">
            <v>0.32</v>
          </cell>
        </row>
        <row r="83">
          <cell r="B83">
            <v>0.66999999999999993</v>
          </cell>
        </row>
        <row r="84">
          <cell r="B84">
            <v>0.33</v>
          </cell>
        </row>
        <row r="85">
          <cell r="B85">
            <v>0.48</v>
          </cell>
        </row>
        <row r="86">
          <cell r="B86">
            <v>0.52</v>
          </cell>
        </row>
        <row r="87">
          <cell r="B87">
            <v>1</v>
          </cell>
        </row>
        <row r="90">
          <cell r="B90">
            <v>1</v>
          </cell>
        </row>
        <row r="91">
          <cell r="B91">
            <v>1</v>
          </cell>
        </row>
        <row r="92">
          <cell r="B92">
            <v>0.82499999999999996</v>
          </cell>
        </row>
        <row r="93">
          <cell r="B93">
            <v>1</v>
          </cell>
        </row>
        <row r="94">
          <cell r="B94">
            <v>1</v>
          </cell>
        </row>
        <row r="95">
          <cell r="B95">
            <v>1</v>
          </cell>
        </row>
        <row r="96">
          <cell r="B96">
            <v>0.625</v>
          </cell>
        </row>
        <row r="97">
          <cell r="B97">
            <v>1</v>
          </cell>
        </row>
        <row r="98">
          <cell r="B98">
            <v>0.625</v>
          </cell>
        </row>
        <row r="99">
          <cell r="B99">
            <v>1</v>
          </cell>
        </row>
        <row r="100">
          <cell r="B100">
            <v>1</v>
          </cell>
        </row>
        <row r="101">
          <cell r="B101">
            <v>0.95</v>
          </cell>
        </row>
        <row r="102">
          <cell r="B102">
            <v>1</v>
          </cell>
        </row>
        <row r="103">
          <cell r="B103">
            <v>1</v>
          </cell>
        </row>
        <row r="104">
          <cell r="B104">
            <v>1</v>
          </cell>
        </row>
        <row r="105">
          <cell r="B105">
            <v>1</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
          <cell r="S3">
            <v>2.5525374487190691E-2</v>
          </cell>
          <cell r="AT3">
            <v>0.48512831849185623</v>
          </cell>
          <cell r="BG3">
            <v>1.8538949192189069E-2</v>
          </cell>
          <cell r="BW3">
            <v>2.1907444532119295E-2</v>
          </cell>
          <cell r="CE3">
            <v>7.6485482248470418E-2</v>
          </cell>
          <cell r="DB3">
            <v>2.4608021230859527E-2</v>
          </cell>
          <cell r="DT3">
            <v>1.9060782368536647E-2</v>
          </cell>
          <cell r="DX3">
            <v>9.2639066168423254E-2</v>
          </cell>
          <cell r="EO3">
            <v>1.7677543015962256E-2</v>
          </cell>
          <cell r="FO3">
            <v>2.8862205465434575E-2</v>
          </cell>
          <cell r="GS3">
            <v>1.3867375172107952E-2</v>
          </cell>
          <cell r="HJ3">
            <v>2.743070534290434E-2</v>
          </cell>
          <cell r="HT3">
            <v>4.2208022941500056E-2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
          <cell r="AT3">
            <v>0.57796903265995181</v>
          </cell>
          <cell r="DX3">
            <v>0.15023126890838875</v>
          </cell>
          <cell r="FM3">
            <v>5.0975632229974546E-2</v>
          </cell>
          <cell r="GL3">
            <v>0.16208152920156629</v>
          </cell>
          <cell r="HT3">
            <v>4.92833946638137E-2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
          <cell r="O3">
            <v>2.4760252435285943E-2</v>
          </cell>
          <cell r="S3">
            <v>9.167298528830585E-2</v>
          </cell>
          <cell r="AT3">
            <v>0.29093350403397356</v>
          </cell>
          <cell r="BG3">
            <v>1.8718680046438473E-2</v>
          </cell>
          <cell r="BW3">
            <v>4.5077311494064055E-2</v>
          </cell>
          <cell r="CE3">
            <v>1.8865901209552803E-2</v>
          </cell>
          <cell r="DE3">
            <v>1.5097533656423528E-2</v>
          </cell>
          <cell r="DJ3">
            <v>1.443181909149968E-2</v>
          </cell>
          <cell r="DX3">
            <v>0.11615697761754298</v>
          </cell>
          <cell r="ED3">
            <v>5.3336426342390691E-2</v>
          </cell>
          <cell r="EO3">
            <v>3.1265809343587317E-2</v>
          </cell>
          <cell r="FB3">
            <v>1.8055909661317503E-2</v>
          </cell>
          <cell r="GM3">
            <v>4.7209736766789814E-2</v>
          </cell>
          <cell r="HQ3">
            <v>8.0446024283882964E-2</v>
          </cell>
          <cell r="HR3">
            <v>2.1885644096462986E-2</v>
          </cell>
          <cell r="HT3">
            <v>3.6244686874634502E-2</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s>
    <sheetDataSet>
      <sheetData sheetId="0">
        <row r="3">
          <cell r="M3">
            <v>7.7649408423138597E-2</v>
          </cell>
          <cell r="Z3">
            <v>6.6267900647095951E-2</v>
          </cell>
          <cell r="AM3">
            <v>2.1283589080512606E-2</v>
          </cell>
          <cell r="AT3">
            <v>0.34837043269321755</v>
          </cell>
          <cell r="BD3">
            <v>1.3402676181412977E-2</v>
          </cell>
          <cell r="BG3">
            <v>5.3908395154526126E-2</v>
          </cell>
          <cell r="BW3">
            <v>1.8808001565763864E-2</v>
          </cell>
          <cell r="CE3">
            <v>6.1326535157761479E-2</v>
          </cell>
          <cell r="DB3">
            <v>7.0210036812427101E-2</v>
          </cell>
          <cell r="FU3">
            <v>1.5431638468008727E-2</v>
          </cell>
          <cell r="GK3">
            <v>6.1876989217411686E-2</v>
          </cell>
          <cell r="GO3">
            <v>3.145780673777001E-2</v>
          </cell>
          <cell r="GS3">
            <v>4.5141779322031325E-2</v>
          </cell>
          <cell r="HJ3">
            <v>3.2135023348385305E-2</v>
          </cell>
          <cell r="HT3">
            <v>1.0355111848802466E-2</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etsavelectricity.com/what-is-the-size-of-a-solar-panel-weight-of-a-solar-panel/%20(determined%20by%20dividing%20the%20solar%20panel%20weight%20by%20the%20watt%20amount)" TargetMode="External"/><Relationship Id="rId1" Type="http://schemas.openxmlformats.org/officeDocument/2006/relationships/hyperlink" Target="https://www.frontiersin.org/articles/10.3389/fenrg.2020.601067/fu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opLeftCell="Z1" workbookViewId="0">
      <selection activeCell="AI37" sqref="AI37:AL49"/>
    </sheetView>
  </sheetViews>
  <sheetFormatPr baseColWidth="10" defaultRowHeight="16"/>
  <cols>
    <col min="1" max="1" width="32.81640625" customWidth="1"/>
    <col min="2" max="2" width="20" customWidth="1"/>
    <col min="3" max="3" width="21.81640625" customWidth="1"/>
    <col min="4" max="4" width="26.81640625" customWidth="1"/>
    <col min="5" max="5" width="21.81640625" customWidth="1"/>
    <col min="6" max="6" width="30" customWidth="1"/>
    <col min="7" max="7" width="27" customWidth="1"/>
    <col min="8" max="8" width="24.1796875" customWidth="1"/>
    <col min="9" max="9" width="47" customWidth="1"/>
    <col min="11" max="11" width="33.81640625" customWidth="1"/>
    <col min="12" max="12" width="30.7265625" customWidth="1"/>
    <col min="13" max="13" width="21.1796875" customWidth="1"/>
    <col min="14" max="14" width="39.26953125" customWidth="1"/>
    <col min="16" max="16" width="40.54296875" customWidth="1"/>
    <col min="17" max="17" width="16.81640625" customWidth="1"/>
    <col min="18" max="18" width="17.453125" customWidth="1"/>
    <col min="19" max="19" width="37.54296875" customWidth="1"/>
    <col min="20" max="20" width="41.26953125" customWidth="1"/>
    <col min="22" max="22" width="38" customWidth="1"/>
    <col min="23" max="23" width="14.453125" customWidth="1"/>
    <col min="24" max="24" width="19.7265625" bestFit="1" customWidth="1"/>
    <col min="25" max="25" width="35.54296875" customWidth="1"/>
    <col min="29" max="29" width="44.453125" customWidth="1"/>
    <col min="30" max="30" width="23.54296875" customWidth="1"/>
    <col min="31" max="31" width="20.81640625" customWidth="1"/>
    <col min="32" max="32" width="21.54296875" customWidth="1"/>
    <col min="33" max="33" width="20.54296875" customWidth="1"/>
    <col min="35" max="35" width="13.1796875" customWidth="1"/>
  </cols>
  <sheetData>
    <row r="1" spans="1:38" ht="17.5">
      <c r="A1" s="15" t="s">
        <v>87</v>
      </c>
    </row>
    <row r="3" spans="1:38">
      <c r="A3" s="1" t="s">
        <v>88</v>
      </c>
      <c r="F3" s="1" t="s">
        <v>110</v>
      </c>
      <c r="K3" s="1" t="s">
        <v>58</v>
      </c>
      <c r="P3" s="1" t="s">
        <v>128</v>
      </c>
      <c r="V3" s="1" t="s">
        <v>33</v>
      </c>
      <c r="AC3" s="1" t="s">
        <v>130</v>
      </c>
    </row>
    <row r="4" spans="1:38">
      <c r="A4" s="16" t="s">
        <v>0</v>
      </c>
      <c r="B4" s="17" t="s">
        <v>1</v>
      </c>
      <c r="C4" s="17" t="s">
        <v>2</v>
      </c>
      <c r="D4" s="18" t="s">
        <v>3</v>
      </c>
      <c r="F4" s="16" t="s">
        <v>0</v>
      </c>
      <c r="G4" s="17" t="s">
        <v>1</v>
      </c>
      <c r="H4" s="17" t="s">
        <v>2</v>
      </c>
      <c r="I4" s="18" t="s">
        <v>3</v>
      </c>
      <c r="K4" s="16" t="s">
        <v>0</v>
      </c>
      <c r="L4" s="17" t="s">
        <v>1</v>
      </c>
      <c r="M4" s="17" t="s">
        <v>2</v>
      </c>
      <c r="N4" s="18" t="s">
        <v>3</v>
      </c>
      <c r="P4" s="16" t="s">
        <v>0</v>
      </c>
      <c r="Q4" s="17" t="s">
        <v>1</v>
      </c>
      <c r="R4" s="17" t="s">
        <v>2</v>
      </c>
      <c r="S4" s="17" t="s">
        <v>3</v>
      </c>
      <c r="T4" s="18" t="s">
        <v>17</v>
      </c>
      <c r="V4" s="16" t="s">
        <v>0</v>
      </c>
      <c r="W4" s="17" t="s">
        <v>1</v>
      </c>
      <c r="X4" s="17" t="s">
        <v>2</v>
      </c>
      <c r="Y4" s="18" t="s">
        <v>3</v>
      </c>
      <c r="AC4" s="16" t="s">
        <v>0</v>
      </c>
      <c r="AD4" s="17" t="s">
        <v>1</v>
      </c>
      <c r="AE4" s="17" t="s">
        <v>2</v>
      </c>
      <c r="AF4" s="17" t="s">
        <v>3</v>
      </c>
      <c r="AG4" s="17"/>
      <c r="AH4" s="17"/>
      <c r="AI4" s="17"/>
      <c r="AJ4" s="17"/>
      <c r="AK4" s="17"/>
      <c r="AL4" s="18"/>
    </row>
    <row r="5" spans="1:38" ht="32">
      <c r="A5" s="60" t="s">
        <v>6</v>
      </c>
      <c r="B5" s="24">
        <v>144</v>
      </c>
      <c r="C5" s="24" t="s">
        <v>4</v>
      </c>
      <c r="D5" s="61" t="s">
        <v>530</v>
      </c>
      <c r="F5" s="60" t="s">
        <v>16</v>
      </c>
      <c r="G5" s="24">
        <f>93000</f>
        <v>93000</v>
      </c>
      <c r="H5" s="24" t="s">
        <v>19</v>
      </c>
      <c r="I5" s="61" t="s">
        <v>534</v>
      </c>
      <c r="K5" s="60" t="s">
        <v>48</v>
      </c>
      <c r="L5" s="24">
        <f>[1]Price!$B$12</f>
        <v>757252345.99999976</v>
      </c>
      <c r="M5" s="24" t="s">
        <v>53</v>
      </c>
      <c r="N5" s="28" t="s">
        <v>55</v>
      </c>
      <c r="P5" s="92" t="s">
        <v>25</v>
      </c>
      <c r="Q5" s="93">
        <v>27000</v>
      </c>
      <c r="R5" s="24" t="s">
        <v>27</v>
      </c>
      <c r="S5" s="94" t="s">
        <v>543</v>
      </c>
      <c r="T5" s="28"/>
      <c r="V5" s="60" t="s">
        <v>34</v>
      </c>
      <c r="W5" s="24">
        <v>6.2</v>
      </c>
      <c r="X5" s="24" t="s">
        <v>19</v>
      </c>
      <c r="Y5" s="61" t="s">
        <v>549</v>
      </c>
      <c r="AC5" s="60" t="s">
        <v>72</v>
      </c>
      <c r="AD5" s="24">
        <v>230000</v>
      </c>
      <c r="AE5" s="24" t="s">
        <v>63</v>
      </c>
      <c r="AF5" s="24" t="s">
        <v>64</v>
      </c>
      <c r="AG5" s="24"/>
      <c r="AH5" s="24"/>
      <c r="AI5" s="24"/>
      <c r="AJ5" s="24"/>
      <c r="AK5" s="24"/>
      <c r="AL5" s="28"/>
    </row>
    <row r="6" spans="1:38" ht="96">
      <c r="A6" s="60" t="s">
        <v>5</v>
      </c>
      <c r="B6" s="24">
        <v>0.08</v>
      </c>
      <c r="C6" s="24" t="s">
        <v>9</v>
      </c>
      <c r="D6" s="62" t="s">
        <v>626</v>
      </c>
      <c r="F6" s="60" t="s">
        <v>118</v>
      </c>
      <c r="G6" s="24">
        <f>22000+52000*0.3</f>
        <v>37600</v>
      </c>
      <c r="H6" s="24" t="s">
        <v>8</v>
      </c>
      <c r="I6" s="80" t="s">
        <v>625</v>
      </c>
      <c r="K6" s="60" t="s">
        <v>49</v>
      </c>
      <c r="L6" s="24">
        <f>[1]Price!$B$13</f>
        <v>5291060980.9999981</v>
      </c>
      <c r="M6" s="24" t="s">
        <v>54</v>
      </c>
      <c r="N6" s="28" t="s">
        <v>55</v>
      </c>
      <c r="P6" s="60" t="s">
        <v>28</v>
      </c>
      <c r="Q6" s="83">
        <v>440</v>
      </c>
      <c r="R6" s="24" t="s">
        <v>26</v>
      </c>
      <c r="S6" s="94" t="s">
        <v>544</v>
      </c>
      <c r="T6" s="28"/>
      <c r="V6" s="60" t="s">
        <v>35</v>
      </c>
      <c r="W6" s="24">
        <v>21000</v>
      </c>
      <c r="X6" s="24" t="s">
        <v>19</v>
      </c>
      <c r="Y6" s="80" t="s">
        <v>550</v>
      </c>
      <c r="AC6" s="60" t="s">
        <v>73</v>
      </c>
      <c r="AD6" s="24">
        <v>410000</v>
      </c>
      <c r="AE6" s="24" t="s">
        <v>63</v>
      </c>
      <c r="AF6" s="24" t="s">
        <v>64</v>
      </c>
      <c r="AG6" s="24"/>
      <c r="AH6" s="24"/>
      <c r="AI6" s="24"/>
      <c r="AJ6" s="24"/>
      <c r="AK6" s="24"/>
      <c r="AL6" s="28"/>
    </row>
    <row r="7" spans="1:38" ht="32">
      <c r="A7" s="60" t="s">
        <v>7</v>
      </c>
      <c r="B7" s="63">
        <f>B5*1000000000*B6</f>
        <v>11520000000</v>
      </c>
      <c r="C7" s="24" t="s">
        <v>8</v>
      </c>
      <c r="D7" s="28"/>
      <c r="F7" s="60" t="s">
        <v>18</v>
      </c>
      <c r="G7" s="24">
        <v>2.75</v>
      </c>
      <c r="H7" s="24" t="s">
        <v>19</v>
      </c>
      <c r="I7" s="28" t="s">
        <v>537</v>
      </c>
      <c r="K7" s="60" t="s">
        <v>51</v>
      </c>
      <c r="L7" s="24">
        <f>L6/L5</f>
        <v>6.9871833464085427</v>
      </c>
      <c r="M7" s="24" t="s">
        <v>52</v>
      </c>
      <c r="N7" s="28"/>
      <c r="P7" s="92" t="s">
        <v>24</v>
      </c>
      <c r="Q7" s="83">
        <f>Q5*Q6</f>
        <v>11880000</v>
      </c>
      <c r="R7" s="24" t="s">
        <v>8</v>
      </c>
      <c r="S7" s="24"/>
      <c r="T7" s="28"/>
      <c r="V7" s="60" t="s">
        <v>37</v>
      </c>
      <c r="W7" s="83">
        <f>W6/W5</f>
        <v>3387.0967741935483</v>
      </c>
      <c r="X7" s="24"/>
      <c r="Y7" s="28"/>
      <c r="AC7" s="101" t="s">
        <v>66</v>
      </c>
      <c r="AD7" s="8">
        <v>160</v>
      </c>
      <c r="AE7" s="7" t="s">
        <v>71</v>
      </c>
      <c r="AF7" s="94" t="s">
        <v>65</v>
      </c>
      <c r="AG7" s="24"/>
      <c r="AH7" s="24"/>
      <c r="AI7" s="24"/>
      <c r="AJ7" s="24"/>
      <c r="AK7" s="24"/>
      <c r="AL7" s="28"/>
    </row>
    <row r="8" spans="1:38" ht="32">
      <c r="A8" s="60" t="s">
        <v>10</v>
      </c>
      <c r="B8" s="41">
        <f>SUM(D15:D25)</f>
        <v>61120000000</v>
      </c>
      <c r="C8" s="24" t="s">
        <v>8</v>
      </c>
      <c r="D8" s="28"/>
      <c r="F8" s="60" t="s">
        <v>535</v>
      </c>
      <c r="G8" s="81">
        <v>0.3</v>
      </c>
      <c r="H8" s="24"/>
      <c r="I8" s="61" t="s">
        <v>536</v>
      </c>
      <c r="K8" s="60" t="s">
        <v>56</v>
      </c>
      <c r="L8" s="83">
        <v>17670000000</v>
      </c>
      <c r="M8" s="24" t="s">
        <v>50</v>
      </c>
      <c r="N8" s="61" t="s">
        <v>541</v>
      </c>
      <c r="P8" s="60" t="s">
        <v>129</v>
      </c>
      <c r="Q8" s="95">
        <v>6</v>
      </c>
      <c r="R8" s="24" t="s">
        <v>12</v>
      </c>
      <c r="S8" s="94" t="s">
        <v>545</v>
      </c>
      <c r="T8" s="28"/>
      <c r="V8" s="60" t="s">
        <v>40</v>
      </c>
      <c r="W8" s="24">
        <v>500</v>
      </c>
      <c r="X8" s="24" t="s">
        <v>8</v>
      </c>
      <c r="Y8" s="61" t="s">
        <v>551</v>
      </c>
      <c r="AC8" s="101" t="s">
        <v>70</v>
      </c>
      <c r="AD8" s="8">
        <v>30</v>
      </c>
      <c r="AE8" s="7" t="s">
        <v>71</v>
      </c>
      <c r="AF8" s="94" t="s">
        <v>554</v>
      </c>
      <c r="AG8" s="24"/>
      <c r="AH8" s="24"/>
      <c r="AI8" s="24"/>
      <c r="AJ8" s="24"/>
      <c r="AK8" s="24"/>
      <c r="AL8" s="28"/>
    </row>
    <row r="9" spans="1:38" ht="64">
      <c r="A9" s="60" t="s">
        <v>11</v>
      </c>
      <c r="B9" s="24">
        <v>25</v>
      </c>
      <c r="C9" s="24" t="s">
        <v>12</v>
      </c>
      <c r="D9" s="61" t="s">
        <v>531</v>
      </c>
      <c r="F9" s="60" t="s">
        <v>119</v>
      </c>
      <c r="G9" s="63">
        <f>G5*(G6*G8)/(G7*G8)</f>
        <v>1271563636.3636365</v>
      </c>
      <c r="H9" s="24" t="s">
        <v>8</v>
      </c>
      <c r="I9" s="28"/>
      <c r="K9" s="60" t="s">
        <v>57</v>
      </c>
      <c r="L9" s="41">
        <f>L8/L7</f>
        <v>2528916034.3963914</v>
      </c>
      <c r="M9" s="24" t="s">
        <v>8</v>
      </c>
      <c r="N9" s="28"/>
      <c r="P9" s="92" t="s">
        <v>29</v>
      </c>
      <c r="Q9" s="83">
        <f>Q7*Q8</f>
        <v>71280000</v>
      </c>
      <c r="R9" s="24" t="s">
        <v>8</v>
      </c>
      <c r="S9" s="67" t="s">
        <v>546</v>
      </c>
      <c r="T9" s="28"/>
      <c r="V9" s="60" t="s">
        <v>41</v>
      </c>
      <c r="W9" s="24">
        <v>834</v>
      </c>
      <c r="X9" s="24" t="s">
        <v>8</v>
      </c>
      <c r="Y9" s="61" t="s">
        <v>551</v>
      </c>
      <c r="AC9" s="60" t="s">
        <v>68</v>
      </c>
      <c r="AD9" s="11">
        <v>0.06</v>
      </c>
      <c r="AE9" s="7"/>
      <c r="AF9" s="94" t="s">
        <v>69</v>
      </c>
      <c r="AG9" s="24"/>
      <c r="AH9" s="24"/>
      <c r="AI9" s="24"/>
      <c r="AJ9" s="24"/>
      <c r="AK9" s="24"/>
      <c r="AL9" s="28"/>
    </row>
    <row r="10" spans="1:38" ht="80">
      <c r="A10" s="30"/>
      <c r="B10" s="24"/>
      <c r="C10" s="24"/>
      <c r="D10" s="28"/>
      <c r="F10" s="60" t="s">
        <v>120</v>
      </c>
      <c r="G10" s="41">
        <f>SUM(I17:I36)</f>
        <v>9832058181.818182</v>
      </c>
      <c r="H10" s="24" t="s">
        <v>8</v>
      </c>
      <c r="I10" s="28"/>
      <c r="K10" s="60" t="s">
        <v>61</v>
      </c>
      <c r="L10" s="85">
        <f>(30+30+40+45)/4</f>
        <v>36.25</v>
      </c>
      <c r="M10" s="24" t="s">
        <v>12</v>
      </c>
      <c r="N10" s="68" t="s">
        <v>542</v>
      </c>
      <c r="P10" s="30"/>
      <c r="Q10" s="24"/>
      <c r="R10" s="24"/>
      <c r="S10" s="24"/>
      <c r="T10" s="28"/>
      <c r="V10" s="60" t="s">
        <v>42</v>
      </c>
      <c r="W10" s="85">
        <f>W7*W8</f>
        <v>1693548.3870967741</v>
      </c>
      <c r="X10" s="24" t="s">
        <v>43</v>
      </c>
      <c r="Y10" s="28"/>
      <c r="AC10" s="60" t="s">
        <v>67</v>
      </c>
      <c r="AD10" s="81">
        <v>7.0000000000000007E-2</v>
      </c>
      <c r="AE10" s="24"/>
      <c r="AF10" s="24" t="s">
        <v>64</v>
      </c>
      <c r="AG10" s="24"/>
      <c r="AH10" s="24"/>
      <c r="AI10" s="24"/>
      <c r="AJ10" s="24"/>
      <c r="AK10" s="24"/>
      <c r="AL10" s="28"/>
    </row>
    <row r="11" spans="1:38" ht="80">
      <c r="A11" s="30"/>
      <c r="B11" s="24"/>
      <c r="C11" s="24"/>
      <c r="D11" s="28"/>
      <c r="F11" s="60" t="s">
        <v>20</v>
      </c>
      <c r="G11" s="24">
        <v>20</v>
      </c>
      <c r="H11" s="24" t="s">
        <v>12</v>
      </c>
      <c r="I11" s="61" t="s">
        <v>538</v>
      </c>
      <c r="K11" s="60" t="s">
        <v>62</v>
      </c>
      <c r="L11" s="41">
        <f>SUM(N20:N55)</f>
        <v>81203988575.702393</v>
      </c>
      <c r="M11" s="24" t="s">
        <v>8</v>
      </c>
      <c r="N11" s="28"/>
      <c r="P11" s="60" t="s">
        <v>31</v>
      </c>
      <c r="Q11" s="83">
        <f>4.2*1000</f>
        <v>4200</v>
      </c>
      <c r="R11" s="24" t="s">
        <v>27</v>
      </c>
      <c r="S11" s="96" t="s">
        <v>547</v>
      </c>
      <c r="T11" s="68" t="s">
        <v>548</v>
      </c>
      <c r="V11" s="60" t="s">
        <v>47</v>
      </c>
      <c r="W11" s="85">
        <f>W7*W9</f>
        <v>2824838.7096774192</v>
      </c>
      <c r="X11" s="24" t="s">
        <v>43</v>
      </c>
      <c r="Y11" s="28"/>
      <c r="AC11" s="102" t="s">
        <v>74</v>
      </c>
      <c r="AD11" s="22">
        <f>((AD5*1000000)/AD7)*AD9</f>
        <v>86250000</v>
      </c>
      <c r="AE11" s="7" t="s">
        <v>8</v>
      </c>
      <c r="AF11" s="98"/>
      <c r="AG11" s="24"/>
      <c r="AH11" s="24"/>
      <c r="AI11" s="24"/>
      <c r="AJ11" s="24"/>
      <c r="AK11" s="24"/>
      <c r="AL11" s="28"/>
    </row>
    <row r="12" spans="1:38">
      <c r="A12" s="30"/>
      <c r="B12" s="24"/>
      <c r="C12" s="24"/>
      <c r="D12" s="28"/>
      <c r="F12" s="60"/>
      <c r="G12" s="24"/>
      <c r="H12" s="24"/>
      <c r="I12" s="28"/>
      <c r="K12" s="60"/>
      <c r="L12" s="86"/>
      <c r="M12" s="24"/>
      <c r="N12" s="28"/>
      <c r="P12" s="60" t="s">
        <v>30</v>
      </c>
      <c r="Q12" s="86">
        <f>Q11*Q6</f>
        <v>1848000</v>
      </c>
      <c r="R12" s="24" t="s">
        <v>8</v>
      </c>
      <c r="S12" s="24"/>
      <c r="T12" s="28"/>
      <c r="V12" s="30" t="s">
        <v>46</v>
      </c>
      <c r="W12" s="24">
        <f>((30+60)/2+(40+70)/2+(25+40)/2+(25+40)/2)/4</f>
        <v>41.25</v>
      </c>
      <c r="X12" s="24" t="s">
        <v>12</v>
      </c>
      <c r="Y12" s="61" t="s">
        <v>552</v>
      </c>
      <c r="AC12" s="102" t="s">
        <v>75</v>
      </c>
      <c r="AD12" s="22">
        <f>((AD6*1000000)/AD8)*AD10</f>
        <v>956666666.66666675</v>
      </c>
      <c r="AE12" s="7" t="s">
        <v>8</v>
      </c>
      <c r="AF12" s="98"/>
      <c r="AG12" s="24"/>
      <c r="AH12" s="24"/>
      <c r="AI12" s="24"/>
      <c r="AJ12" s="24"/>
      <c r="AK12" s="24"/>
      <c r="AL12" s="28"/>
    </row>
    <row r="13" spans="1:38" s="19" customFormat="1" ht="32">
      <c r="A13" s="64" t="s">
        <v>627</v>
      </c>
      <c r="B13" s="65"/>
      <c r="C13" s="65"/>
      <c r="D13" s="66"/>
      <c r="F13" s="60"/>
      <c r="G13" s="24"/>
      <c r="H13" s="24"/>
      <c r="I13" s="28"/>
      <c r="K13" s="64" t="s">
        <v>633</v>
      </c>
      <c r="L13" s="65"/>
      <c r="M13" s="65"/>
      <c r="N13" s="66"/>
      <c r="P13" s="60" t="s">
        <v>32</v>
      </c>
      <c r="Q13" s="83">
        <f>Q12*Q8</f>
        <v>11088000</v>
      </c>
      <c r="R13" s="24" t="s">
        <v>8</v>
      </c>
      <c r="S13" s="24"/>
      <c r="T13" s="28"/>
      <c r="V13" s="30" t="s">
        <v>36</v>
      </c>
      <c r="W13" s="24">
        <f>(30+60)/2</f>
        <v>45</v>
      </c>
      <c r="X13" s="24" t="s">
        <v>12</v>
      </c>
      <c r="Y13" s="61" t="s">
        <v>552</v>
      </c>
      <c r="AC13" s="102"/>
      <c r="AD13" s="86"/>
      <c r="AE13" s="13"/>
      <c r="AF13" s="24"/>
      <c r="AG13" s="99"/>
      <c r="AH13" s="99"/>
      <c r="AI13" s="99"/>
      <c r="AJ13" s="99"/>
      <c r="AK13" s="99"/>
      <c r="AL13" s="103"/>
    </row>
    <row r="14" spans="1:38" ht="64" customHeight="1">
      <c r="A14" s="30" t="s">
        <v>13</v>
      </c>
      <c r="B14" s="67" t="s">
        <v>22</v>
      </c>
      <c r="C14" s="67" t="s">
        <v>14</v>
      </c>
      <c r="D14" s="68" t="s">
        <v>15</v>
      </c>
      <c r="F14" s="64" t="s">
        <v>632</v>
      </c>
      <c r="G14" s="65"/>
      <c r="H14" s="65"/>
      <c r="I14" s="66"/>
      <c r="K14" s="60" t="s">
        <v>13</v>
      </c>
      <c r="L14" s="67" t="s">
        <v>59</v>
      </c>
      <c r="M14" s="67" t="s">
        <v>60</v>
      </c>
      <c r="N14" s="68" t="s">
        <v>78</v>
      </c>
      <c r="P14" s="30"/>
      <c r="Q14" s="24"/>
      <c r="R14" s="24"/>
      <c r="S14" s="24"/>
      <c r="T14" s="28"/>
      <c r="V14" s="60" t="s">
        <v>44</v>
      </c>
      <c r="W14" s="85">
        <f>W10*W12</f>
        <v>69858870.967741936</v>
      </c>
      <c r="X14" s="24" t="s">
        <v>8</v>
      </c>
      <c r="Y14" s="97" t="s">
        <v>553</v>
      </c>
      <c r="AC14" s="102"/>
      <c r="AD14" s="86"/>
      <c r="AE14" s="13"/>
      <c r="AF14" s="24"/>
      <c r="AG14" s="24"/>
      <c r="AH14" s="24"/>
      <c r="AI14" s="24"/>
      <c r="AJ14" s="24"/>
      <c r="AK14" s="24"/>
      <c r="AL14" s="28"/>
    </row>
    <row r="15" spans="1:38" ht="64" customHeight="1">
      <c r="A15" s="30">
        <v>2010</v>
      </c>
      <c r="B15" s="24">
        <v>18</v>
      </c>
      <c r="C15" s="24"/>
      <c r="D15" s="69">
        <f>D16/C16</f>
        <v>1439999999.9999998</v>
      </c>
      <c r="F15" s="30" t="s">
        <v>13</v>
      </c>
      <c r="G15" s="67" t="s">
        <v>21</v>
      </c>
      <c r="H15" s="67" t="s">
        <v>23</v>
      </c>
      <c r="I15" s="68" t="s">
        <v>121</v>
      </c>
      <c r="K15" s="30">
        <v>1980</v>
      </c>
      <c r="L15" s="87">
        <v>1.081092985</v>
      </c>
      <c r="M15" s="24"/>
      <c r="N15" s="82">
        <f t="shared" ref="N15:N53" si="0">N16*M16</f>
        <v>2521482451.518126</v>
      </c>
      <c r="P15" s="60" t="s">
        <v>286</v>
      </c>
      <c r="Q15" s="41">
        <f>Q7+Q12</f>
        <v>13728000</v>
      </c>
      <c r="R15" s="24" t="s">
        <v>8</v>
      </c>
      <c r="S15" s="24"/>
      <c r="T15" s="28"/>
      <c r="V15" s="60" t="s">
        <v>45</v>
      </c>
      <c r="W15" s="85">
        <f>W11*W13</f>
        <v>127117741.93548386</v>
      </c>
      <c r="X15" s="24" t="s">
        <v>8</v>
      </c>
      <c r="Y15" s="97"/>
      <c r="AC15" s="104" t="s">
        <v>76</v>
      </c>
      <c r="AD15" s="24">
        <v>10</v>
      </c>
      <c r="AE15" s="13" t="s">
        <v>12</v>
      </c>
      <c r="AF15" s="24" t="s">
        <v>555</v>
      </c>
      <c r="AG15" s="24"/>
      <c r="AH15" s="24"/>
      <c r="AI15" s="24"/>
      <c r="AJ15" s="24"/>
      <c r="AK15" s="24"/>
      <c r="AL15" s="28"/>
    </row>
    <row r="16" spans="1:38" ht="32">
      <c r="A16" s="30">
        <v>2011</v>
      </c>
      <c r="B16" s="24">
        <v>29</v>
      </c>
      <c r="C16" s="38">
        <f t="shared" ref="C16:C24" si="1">B16/B15</f>
        <v>1.6111111111111112</v>
      </c>
      <c r="D16" s="69">
        <f t="shared" ref="D16:D23" si="2">D17/C17</f>
        <v>2319999999.9999995</v>
      </c>
      <c r="F16" s="30">
        <v>2001</v>
      </c>
      <c r="G16" s="24">
        <f>23.9-17.4</f>
        <v>6.5</v>
      </c>
      <c r="H16" s="24"/>
      <c r="I16" s="82">
        <f t="shared" ref="I16:I33" si="3">I17/H17</f>
        <v>88872727.272727281</v>
      </c>
      <c r="K16" s="30">
        <v>1981</v>
      </c>
      <c r="L16" s="87">
        <v>1.0783745499999999</v>
      </c>
      <c r="M16" s="38">
        <f t="shared" ref="M16:M54" si="4">L16/L15</f>
        <v>0.99748547531274567</v>
      </c>
      <c r="N16" s="82">
        <f t="shared" si="0"/>
        <v>2527838764.4968519</v>
      </c>
      <c r="P16" s="60" t="s">
        <v>287</v>
      </c>
      <c r="Q16" s="41">
        <f>Q9+Q13</f>
        <v>82368000</v>
      </c>
      <c r="R16" s="24" t="s">
        <v>8</v>
      </c>
      <c r="S16" s="24"/>
      <c r="T16" s="28"/>
      <c r="V16" s="60" t="s">
        <v>38</v>
      </c>
      <c r="W16" s="41">
        <f>W10+W11</f>
        <v>4518387.0967741935</v>
      </c>
      <c r="X16" s="24" t="s">
        <v>43</v>
      </c>
      <c r="Y16" s="28"/>
      <c r="AC16" s="104" t="s">
        <v>77</v>
      </c>
      <c r="AD16" s="24">
        <v>6</v>
      </c>
      <c r="AE16" s="13" t="s">
        <v>12</v>
      </c>
      <c r="AF16" s="24" t="s">
        <v>556</v>
      </c>
      <c r="AG16" s="24"/>
      <c r="AH16" s="24"/>
      <c r="AI16" s="24"/>
      <c r="AJ16" s="24"/>
      <c r="AK16" s="24"/>
      <c r="AL16" s="28"/>
    </row>
    <row r="17" spans="1:38">
      <c r="A17" s="30">
        <v>2012</v>
      </c>
      <c r="B17" s="24">
        <v>31</v>
      </c>
      <c r="C17" s="38">
        <f t="shared" si="1"/>
        <v>1.0689655172413792</v>
      </c>
      <c r="D17" s="69">
        <f t="shared" si="2"/>
        <v>2479999999.9999995</v>
      </c>
      <c r="F17" s="30">
        <v>2002</v>
      </c>
      <c r="G17" s="24">
        <f>31.1-23.9</f>
        <v>7.2000000000000028</v>
      </c>
      <c r="H17" s="38">
        <f t="shared" ref="H17:H34" si="5">G17/G16</f>
        <v>1.1076923076923082</v>
      </c>
      <c r="I17" s="82">
        <f t="shared" si="3"/>
        <v>98443636.363636419</v>
      </c>
      <c r="K17" s="30">
        <v>1982</v>
      </c>
      <c r="L17" s="87">
        <v>1.0556275740000003</v>
      </c>
      <c r="M17" s="38">
        <f t="shared" si="4"/>
        <v>0.97890623809695843</v>
      </c>
      <c r="N17" s="82">
        <f t="shared" si="0"/>
        <v>2582309383.7986917</v>
      </c>
      <c r="P17" s="30"/>
      <c r="Q17" s="24"/>
      <c r="R17" s="24"/>
      <c r="S17" s="24"/>
      <c r="T17" s="28"/>
      <c r="V17" s="60" t="s">
        <v>39</v>
      </c>
      <c r="W17" s="41">
        <f>W14+W15</f>
        <v>196976612.90322578</v>
      </c>
      <c r="X17" s="24" t="s">
        <v>8</v>
      </c>
      <c r="Y17" s="28"/>
      <c r="AC17" s="102" t="s">
        <v>85</v>
      </c>
      <c r="AD17" s="41">
        <f>SUM(AH23:AH32)</f>
        <v>458973214.28571427</v>
      </c>
      <c r="AE17" s="13" t="s">
        <v>8</v>
      </c>
      <c r="AF17" s="24"/>
      <c r="AG17" s="24"/>
      <c r="AH17" s="24"/>
      <c r="AI17" s="24"/>
      <c r="AJ17" s="24"/>
      <c r="AK17" s="24"/>
      <c r="AL17" s="28"/>
    </row>
    <row r="18" spans="1:38" ht="32">
      <c r="A18" s="30">
        <v>2013</v>
      </c>
      <c r="B18" s="24">
        <v>41</v>
      </c>
      <c r="C18" s="38">
        <f t="shared" si="1"/>
        <v>1.3225806451612903</v>
      </c>
      <c r="D18" s="69">
        <f t="shared" si="2"/>
        <v>3279999999.9999995</v>
      </c>
      <c r="F18" s="30">
        <v>2003</v>
      </c>
      <c r="G18" s="24">
        <f>39.4-31.1</f>
        <v>8.2999999999999972</v>
      </c>
      <c r="H18" s="38">
        <f t="shared" si="5"/>
        <v>1.152777777777777</v>
      </c>
      <c r="I18" s="82">
        <f t="shared" si="3"/>
        <v>113483636.36363634</v>
      </c>
      <c r="K18" s="30">
        <v>1983</v>
      </c>
      <c r="L18" s="87">
        <v>1.0993280520000002</v>
      </c>
      <c r="M18" s="38">
        <f t="shared" si="4"/>
        <v>1.0413976283647171</v>
      </c>
      <c r="N18" s="82">
        <f t="shared" si="0"/>
        <v>2479657446.3623786</v>
      </c>
      <c r="P18" s="30" t="s">
        <v>285</v>
      </c>
      <c r="Q18" s="21" t="s">
        <v>143</v>
      </c>
      <c r="R18" s="21" t="s">
        <v>116</v>
      </c>
      <c r="S18" s="21" t="s">
        <v>117</v>
      </c>
      <c r="T18" s="28"/>
      <c r="V18" s="30"/>
      <c r="W18" s="24"/>
      <c r="X18" s="24"/>
      <c r="Y18" s="28"/>
      <c r="AC18" s="102" t="s">
        <v>86</v>
      </c>
      <c r="AD18" s="41">
        <f>SUM(AI27:AI32)</f>
        <v>4305000000</v>
      </c>
      <c r="AE18" s="13" t="s">
        <v>8</v>
      </c>
      <c r="AF18" s="24"/>
      <c r="AG18" s="24"/>
      <c r="AH18" s="24"/>
      <c r="AI18" s="24"/>
      <c r="AJ18" s="24"/>
      <c r="AK18" s="24"/>
      <c r="AL18" s="28"/>
    </row>
    <row r="19" spans="1:38" ht="32">
      <c r="A19" s="30">
        <v>2014</v>
      </c>
      <c r="B19" s="24">
        <v>45</v>
      </c>
      <c r="C19" s="38">
        <f t="shared" si="1"/>
        <v>1.0975609756097562</v>
      </c>
      <c r="D19" s="69">
        <f t="shared" si="2"/>
        <v>3600000000</v>
      </c>
      <c r="F19" s="30">
        <v>2004</v>
      </c>
      <c r="G19" s="24">
        <f>47.6-39.4</f>
        <v>8.2000000000000028</v>
      </c>
      <c r="H19" s="38">
        <f t="shared" si="5"/>
        <v>0.98795180722891629</v>
      </c>
      <c r="I19" s="82">
        <f t="shared" si="3"/>
        <v>112116363.63636369</v>
      </c>
      <c r="K19" s="30">
        <v>1984</v>
      </c>
      <c r="L19" s="87">
        <v>1.0670915980000002</v>
      </c>
      <c r="M19" s="38">
        <f t="shared" si="4"/>
        <v>0.97067621994967523</v>
      </c>
      <c r="N19" s="82">
        <f t="shared" si="0"/>
        <v>2554567007.4115305</v>
      </c>
      <c r="P19" s="89">
        <v>156</v>
      </c>
      <c r="Q19" s="81">
        <f>[2]Production!$AT$3</f>
        <v>3.748953255398417E-2</v>
      </c>
      <c r="R19" s="38">
        <f>Q19/$Q$29</f>
        <v>3.9160590945067603E-2</v>
      </c>
      <c r="S19" s="41">
        <f>R19*$Q$15</f>
        <v>537596.59249388799</v>
      </c>
      <c r="T19" s="28"/>
      <c r="V19" s="30" t="s">
        <v>285</v>
      </c>
      <c r="W19" s="21" t="s">
        <v>143</v>
      </c>
      <c r="X19" s="21" t="s">
        <v>116</v>
      </c>
      <c r="Y19" s="88" t="s">
        <v>117</v>
      </c>
      <c r="AC19" s="102"/>
      <c r="AD19" s="86"/>
      <c r="AE19" s="13"/>
      <c r="AF19" s="24"/>
      <c r="AG19" s="24"/>
      <c r="AH19" s="24"/>
      <c r="AI19" s="24"/>
      <c r="AJ19" s="24"/>
      <c r="AK19" s="24"/>
      <c r="AL19" s="28"/>
    </row>
    <row r="20" spans="1:38">
      <c r="A20" s="30">
        <v>2015</v>
      </c>
      <c r="B20" s="24">
        <v>56</v>
      </c>
      <c r="C20" s="38">
        <f t="shared" si="1"/>
        <v>1.2444444444444445</v>
      </c>
      <c r="D20" s="69">
        <f t="shared" si="2"/>
        <v>4480000000</v>
      </c>
      <c r="F20" s="30">
        <v>2005</v>
      </c>
      <c r="G20" s="24">
        <f>59.1-47.6</f>
        <v>11.5</v>
      </c>
      <c r="H20" s="38">
        <f t="shared" si="5"/>
        <v>1.4024390243902434</v>
      </c>
      <c r="I20" s="82">
        <f t="shared" si="3"/>
        <v>157236363.63636366</v>
      </c>
      <c r="K20" s="30">
        <v>1985</v>
      </c>
      <c r="L20" s="87">
        <v>1.1395550063864965</v>
      </c>
      <c r="M20" s="38">
        <f t="shared" si="4"/>
        <v>1.0679073928820273</v>
      </c>
      <c r="N20" s="82">
        <f t="shared" si="0"/>
        <v>2392124096.5636201</v>
      </c>
      <c r="P20" s="89">
        <v>251</v>
      </c>
      <c r="Q20" s="81">
        <f>[2]Production!$BW$3</f>
        <v>6.745219185140737E-2</v>
      </c>
      <c r="R20" s="38">
        <f t="shared" ref="R20:R28" si="6">Q20/$Q$29</f>
        <v>7.0458805791657336E-2</v>
      </c>
      <c r="S20" s="41">
        <f t="shared" ref="S20:S28" si="7">R20*$Q$15</f>
        <v>967258.48590787186</v>
      </c>
      <c r="T20" s="28"/>
      <c r="V20" s="89">
        <v>40</v>
      </c>
      <c r="W20" s="81">
        <f>[3]Tabelle1!$M$3</f>
        <v>6.9940034876933732E-2</v>
      </c>
      <c r="X20" s="38">
        <f>W20/$W$32</f>
        <v>7.6661173905498911E-2</v>
      </c>
      <c r="Y20" s="42">
        <f>$W$16*X20</f>
        <v>346384.85899816878</v>
      </c>
      <c r="AC20" s="30"/>
      <c r="AD20" s="24"/>
      <c r="AE20" s="24"/>
      <c r="AF20" s="24"/>
      <c r="AG20" s="24"/>
      <c r="AH20" s="24"/>
      <c r="AI20" s="24"/>
      <c r="AJ20" s="24"/>
      <c r="AK20" s="24"/>
      <c r="AL20" s="28"/>
    </row>
    <row r="21" spans="1:38">
      <c r="A21" s="30">
        <v>2016</v>
      </c>
      <c r="B21" s="24">
        <v>75</v>
      </c>
      <c r="C21" s="38">
        <f t="shared" si="1"/>
        <v>1.3392857142857142</v>
      </c>
      <c r="D21" s="69">
        <f t="shared" si="2"/>
        <v>6000000000</v>
      </c>
      <c r="F21" s="30">
        <v>2006</v>
      </c>
      <c r="G21" s="24">
        <f>74-59.1</f>
        <v>14.899999999999999</v>
      </c>
      <c r="H21" s="38">
        <f t="shared" si="5"/>
        <v>1.2956521739130433</v>
      </c>
      <c r="I21" s="82">
        <f t="shared" si="3"/>
        <v>203723636.36363637</v>
      </c>
      <c r="K21" s="30">
        <v>1986</v>
      </c>
      <c r="L21" s="87">
        <v>1.1967733615459863</v>
      </c>
      <c r="M21" s="38">
        <f t="shared" si="4"/>
        <v>1.0502111392945637</v>
      </c>
      <c r="N21" s="82">
        <f t="shared" si="0"/>
        <v>2277755402.7568507</v>
      </c>
      <c r="P21" s="89">
        <v>276</v>
      </c>
      <c r="Q21" s="81">
        <f>[2]Production!$CE$3</f>
        <v>5.541452297207046E-2</v>
      </c>
      <c r="R21" s="38">
        <f t="shared" si="6"/>
        <v>5.7884569870281857E-2</v>
      </c>
      <c r="S21" s="41">
        <f t="shared" si="7"/>
        <v>794639.3751792293</v>
      </c>
      <c r="T21" s="28"/>
      <c r="V21" s="89">
        <v>76</v>
      </c>
      <c r="W21" s="81">
        <f>[3]Tabelle1!$Z$3</f>
        <v>4.3675383483125295E-2</v>
      </c>
      <c r="X21" s="38">
        <f t="shared" ref="X21:X31" si="8">W21/$W$32</f>
        <v>4.7872526436120832E-2</v>
      </c>
      <c r="Y21" s="42">
        <f t="shared" ref="Y21:Y31" si="9">$W$16*X21</f>
        <v>216306.60573894985</v>
      </c>
      <c r="AC21" s="105" t="s">
        <v>557</v>
      </c>
      <c r="AD21" s="24"/>
      <c r="AE21" s="24"/>
      <c r="AF21" s="24"/>
      <c r="AG21" s="24"/>
      <c r="AH21" s="24"/>
      <c r="AI21" s="24"/>
      <c r="AJ21" s="24"/>
      <c r="AK21" s="24"/>
      <c r="AL21" s="28"/>
    </row>
    <row r="22" spans="1:38" ht="48">
      <c r="A22" s="30">
        <v>2017</v>
      </c>
      <c r="B22" s="24">
        <v>99</v>
      </c>
      <c r="C22" s="38">
        <f t="shared" si="1"/>
        <v>1.32</v>
      </c>
      <c r="D22" s="69">
        <f t="shared" si="2"/>
        <v>7920000000.000001</v>
      </c>
      <c r="F22" s="30">
        <v>2007</v>
      </c>
      <c r="G22" s="24">
        <f>93.9-74</f>
        <v>19.900000000000006</v>
      </c>
      <c r="H22" s="38">
        <f t="shared" si="5"/>
        <v>1.3355704697986581</v>
      </c>
      <c r="I22" s="82">
        <f t="shared" si="3"/>
        <v>272087272.72727281</v>
      </c>
      <c r="K22" s="30">
        <v>1987</v>
      </c>
      <c r="L22" s="87">
        <v>1.1882544386443381</v>
      </c>
      <c r="M22" s="38">
        <f t="shared" si="4"/>
        <v>0.9928817575863792</v>
      </c>
      <c r="N22" s="82">
        <f t="shared" si="0"/>
        <v>2294085257.7389503</v>
      </c>
      <c r="P22" s="89">
        <v>392</v>
      </c>
      <c r="Q22" s="81">
        <f>[2]Production!$DE$3</f>
        <v>0.11099931034441</v>
      </c>
      <c r="R22" s="38">
        <f t="shared" si="6"/>
        <v>0.11594699350606062</v>
      </c>
      <c r="S22" s="41">
        <f t="shared" si="7"/>
        <v>1591720.3268512003</v>
      </c>
      <c r="T22" s="28"/>
      <c r="V22" s="89">
        <v>100</v>
      </c>
      <c r="W22" s="81">
        <f>[3]Tabelle1!$AG$3</f>
        <v>3.1922847775356776E-2</v>
      </c>
      <c r="X22" s="38">
        <f t="shared" si="8"/>
        <v>3.4990588568786903E-2</v>
      </c>
      <c r="Y22" s="42">
        <f t="shared" si="9"/>
        <v>158101.02389774134</v>
      </c>
      <c r="AC22" s="60" t="s">
        <v>13</v>
      </c>
      <c r="AD22" s="67" t="s">
        <v>79</v>
      </c>
      <c r="AE22" s="67" t="s">
        <v>81</v>
      </c>
      <c r="AF22" s="67" t="s">
        <v>80</v>
      </c>
      <c r="AG22" s="67" t="s">
        <v>84</v>
      </c>
      <c r="AH22" s="67" t="s">
        <v>82</v>
      </c>
      <c r="AI22" s="67" t="s">
        <v>83</v>
      </c>
      <c r="AJ22" s="24"/>
      <c r="AK22" s="24"/>
      <c r="AL22" s="28"/>
    </row>
    <row r="23" spans="1:38">
      <c r="A23" s="30">
        <v>2018</v>
      </c>
      <c r="B23" s="24">
        <v>108</v>
      </c>
      <c r="C23" s="38">
        <f t="shared" si="1"/>
        <v>1.0909090909090908</v>
      </c>
      <c r="D23" s="69">
        <f t="shared" si="2"/>
        <v>8640000000</v>
      </c>
      <c r="F23" s="30">
        <v>2008</v>
      </c>
      <c r="G23" s="24">
        <f>120.7-93.9</f>
        <v>26.799999999999997</v>
      </c>
      <c r="H23" s="38">
        <f t="shared" si="5"/>
        <v>1.3467336683417079</v>
      </c>
      <c r="I23" s="82">
        <f t="shared" si="3"/>
        <v>366429090.90909088</v>
      </c>
      <c r="K23" s="30">
        <v>1988</v>
      </c>
      <c r="L23" s="87">
        <v>1.1968490301759707</v>
      </c>
      <c r="M23" s="38">
        <f t="shared" si="4"/>
        <v>1.0072329555456472</v>
      </c>
      <c r="N23" s="82">
        <f t="shared" si="0"/>
        <v>2277611395.7631359</v>
      </c>
      <c r="P23" s="89">
        <v>410</v>
      </c>
      <c r="Q23" s="81">
        <f>[2]Production!$DJ$3</f>
        <v>3.3791065236332678E-2</v>
      </c>
      <c r="R23" s="38">
        <f t="shared" si="6"/>
        <v>3.5297268148452486E-2</v>
      </c>
      <c r="S23" s="41">
        <f t="shared" si="7"/>
        <v>484560.89714195573</v>
      </c>
      <c r="T23" s="28"/>
      <c r="V23" s="89">
        <v>156</v>
      </c>
      <c r="W23" s="81">
        <f>[3]Tabelle1!$AT$3</f>
        <v>0.315512561617729</v>
      </c>
      <c r="X23" s="38">
        <f t="shared" si="8"/>
        <v>0.34583287523528583</v>
      </c>
      <c r="Y23" s="42">
        <f t="shared" si="9"/>
        <v>1562606.801103435</v>
      </c>
      <c r="AC23" s="30">
        <v>2011</v>
      </c>
      <c r="AD23" s="24">
        <v>75</v>
      </c>
      <c r="AE23" s="24"/>
      <c r="AF23" s="24"/>
      <c r="AG23" s="24"/>
      <c r="AH23" s="86">
        <f t="shared" ref="AH23:AH30" si="10">AH24/AE24</f>
        <v>9241071.4285714291</v>
      </c>
      <c r="AI23" s="85"/>
      <c r="AJ23" s="24"/>
      <c r="AK23" s="24"/>
      <c r="AL23" s="28"/>
    </row>
    <row r="24" spans="1:38">
      <c r="A24" s="30">
        <v>2019</v>
      </c>
      <c r="B24" s="24">
        <v>118</v>
      </c>
      <c r="C24" s="38">
        <f t="shared" si="1"/>
        <v>1.0925925925925926</v>
      </c>
      <c r="D24" s="69">
        <f>D25/C25</f>
        <v>9440000000</v>
      </c>
      <c r="F24" s="30">
        <v>2009</v>
      </c>
      <c r="G24" s="24">
        <f>159.1-120.7</f>
        <v>38.399999999999991</v>
      </c>
      <c r="H24" s="38">
        <f t="shared" si="5"/>
        <v>1.4328358208955223</v>
      </c>
      <c r="I24" s="82">
        <f t="shared" si="3"/>
        <v>525032727.27272719</v>
      </c>
      <c r="K24" s="30">
        <v>1989</v>
      </c>
      <c r="L24" s="87">
        <v>1.1205108179819243</v>
      </c>
      <c r="M24" s="38">
        <f t="shared" si="4"/>
        <v>0.93621734214646735</v>
      </c>
      <c r="N24" s="82">
        <f t="shared" si="0"/>
        <v>2432780608.9783082</v>
      </c>
      <c r="P24" s="89">
        <v>643</v>
      </c>
      <c r="Q24" s="81">
        <f>[2]Production!$FU$3</f>
        <v>0.26108713698473374</v>
      </c>
      <c r="R24" s="38">
        <f t="shared" si="6"/>
        <v>0.2727248347990246</v>
      </c>
      <c r="S24" s="41">
        <f t="shared" si="7"/>
        <v>3743966.5321210097</v>
      </c>
      <c r="T24" s="28"/>
      <c r="V24" s="89">
        <v>203</v>
      </c>
      <c r="W24" s="81">
        <f>[3]Tabelle1!$BG$3</f>
        <v>2.7057660538429281E-2</v>
      </c>
      <c r="X24" s="38">
        <f t="shared" si="8"/>
        <v>2.9657863677968778E-2</v>
      </c>
      <c r="Y24" s="42">
        <f t="shared" si="9"/>
        <v>134005.70856042215</v>
      </c>
      <c r="AC24" s="30">
        <v>2012</v>
      </c>
      <c r="AD24" s="24">
        <v>150</v>
      </c>
      <c r="AE24" s="38">
        <f t="shared" ref="AE24:AE31" si="11">AD24/AD23</f>
        <v>2</v>
      </c>
      <c r="AF24" s="24"/>
      <c r="AG24" s="24"/>
      <c r="AH24" s="86">
        <f t="shared" si="10"/>
        <v>18482142.857142858</v>
      </c>
      <c r="AI24" s="85"/>
      <c r="AJ24" s="24"/>
      <c r="AK24" s="24"/>
      <c r="AL24" s="28"/>
    </row>
    <row r="25" spans="1:38">
      <c r="A25" s="30">
        <v>2020</v>
      </c>
      <c r="B25" s="24">
        <v>144</v>
      </c>
      <c r="C25" s="38">
        <f>B25/B24</f>
        <v>1.2203389830508475</v>
      </c>
      <c r="D25" s="69">
        <f>B7</f>
        <v>11520000000</v>
      </c>
      <c r="F25" s="30">
        <v>2010</v>
      </c>
      <c r="G25" s="24">
        <f>198-159.1</f>
        <v>38.900000000000006</v>
      </c>
      <c r="H25" s="38">
        <f t="shared" si="5"/>
        <v>1.0130208333333337</v>
      </c>
      <c r="I25" s="82">
        <f t="shared" si="3"/>
        <v>531869090.909091</v>
      </c>
      <c r="K25" s="30">
        <v>1990</v>
      </c>
      <c r="L25" s="87">
        <v>1.1689252003221693</v>
      </c>
      <c r="M25" s="38">
        <f t="shared" si="4"/>
        <v>1.0432074207257016</v>
      </c>
      <c r="N25" s="82">
        <f t="shared" si="0"/>
        <v>2332020038.0533695</v>
      </c>
      <c r="P25" s="89">
        <v>724</v>
      </c>
      <c r="Q25" s="81">
        <f>[2]Production!$GS$3</f>
        <v>3.3244184701755747E-2</v>
      </c>
      <c r="R25" s="38">
        <f t="shared" si="6"/>
        <v>3.4726010961408392E-2</v>
      </c>
      <c r="S25" s="41">
        <f t="shared" si="7"/>
        <v>476718.67847821442</v>
      </c>
      <c r="T25" s="28"/>
      <c r="V25" s="89">
        <v>251</v>
      </c>
      <c r="W25" s="81">
        <f>[3]Tabelle1!$BW$3</f>
        <v>0.10018598614348849</v>
      </c>
      <c r="X25" s="38">
        <f t="shared" si="8"/>
        <v>0.10981371856840277</v>
      </c>
      <c r="Y25" s="42">
        <f t="shared" si="9"/>
        <v>496180.88902826374</v>
      </c>
      <c r="AC25" s="30">
        <v>2013</v>
      </c>
      <c r="AD25" s="24">
        <v>200</v>
      </c>
      <c r="AE25" s="38">
        <f t="shared" si="11"/>
        <v>1.3333333333333333</v>
      </c>
      <c r="AF25" s="24"/>
      <c r="AG25" s="24"/>
      <c r="AH25" s="86">
        <f t="shared" si="10"/>
        <v>24642857.142857142</v>
      </c>
      <c r="AI25" s="85"/>
      <c r="AJ25" s="24"/>
      <c r="AK25" s="24"/>
      <c r="AL25" s="28"/>
    </row>
    <row r="26" spans="1:38">
      <c r="A26" s="30"/>
      <c r="B26" s="24"/>
      <c r="C26" s="24"/>
      <c r="D26" s="28"/>
      <c r="F26" s="30">
        <v>2011</v>
      </c>
      <c r="G26" s="24">
        <f>238.1-198</f>
        <v>40.099999999999994</v>
      </c>
      <c r="H26" s="38">
        <f t="shared" si="5"/>
        <v>1.0308483290488428</v>
      </c>
      <c r="I26" s="82">
        <f t="shared" si="3"/>
        <v>548276363.63636351</v>
      </c>
      <c r="K26" s="30">
        <v>1991</v>
      </c>
      <c r="L26" s="87">
        <v>1.199809388266879</v>
      </c>
      <c r="M26" s="38">
        <f t="shared" si="4"/>
        <v>1.0264210130264946</v>
      </c>
      <c r="N26" s="82">
        <f t="shared" si="0"/>
        <v>2271991715.3461218</v>
      </c>
      <c r="P26" s="89">
        <v>752</v>
      </c>
      <c r="Q26" s="81">
        <f>[2]Production!$GY$3</f>
        <v>0.118372994080103</v>
      </c>
      <c r="R26" s="38">
        <f t="shared" si="6"/>
        <v>0.1236493518141021</v>
      </c>
      <c r="S26" s="41">
        <f t="shared" si="7"/>
        <v>1697458.3017039935</v>
      </c>
      <c r="T26" s="28"/>
      <c r="V26" s="89">
        <v>276</v>
      </c>
      <c r="W26" s="81">
        <f>[3]Tabelle1!$CE$3</f>
        <v>0.13689299210495467</v>
      </c>
      <c r="X26" s="38">
        <f t="shared" si="8"/>
        <v>0.15004821619931838</v>
      </c>
      <c r="Y26" s="42">
        <f t="shared" si="9"/>
        <v>677975.92396898463</v>
      </c>
      <c r="AC26" s="30">
        <v>2014</v>
      </c>
      <c r="AD26" s="24">
        <v>250</v>
      </c>
      <c r="AE26" s="38">
        <f t="shared" si="11"/>
        <v>1.25</v>
      </c>
      <c r="AF26" s="24"/>
      <c r="AG26" s="24"/>
      <c r="AH26" s="86">
        <f t="shared" si="10"/>
        <v>30803571.428571425</v>
      </c>
      <c r="AI26" s="85"/>
      <c r="AJ26" s="24"/>
      <c r="AK26" s="24"/>
      <c r="AL26" s="28"/>
    </row>
    <row r="27" spans="1:38">
      <c r="A27" s="30"/>
      <c r="B27" s="24"/>
      <c r="C27" s="24"/>
      <c r="D27" s="28"/>
      <c r="F27" s="30">
        <v>2012</v>
      </c>
      <c r="G27" s="24">
        <f>282.9-238.1</f>
        <v>44.799999999999983</v>
      </c>
      <c r="H27" s="38">
        <f t="shared" si="5"/>
        <v>1.1172069825436406</v>
      </c>
      <c r="I27" s="82">
        <f t="shared" si="3"/>
        <v>612538181.81818151</v>
      </c>
      <c r="K27" s="30">
        <v>1992</v>
      </c>
      <c r="L27" s="87">
        <v>1.2189662352355133</v>
      </c>
      <c r="M27" s="38">
        <f t="shared" si="4"/>
        <v>1.0159665753210236</v>
      </c>
      <c r="N27" s="82">
        <f t="shared" si="0"/>
        <v>2236285888.2716894</v>
      </c>
      <c r="P27" s="89">
        <v>804</v>
      </c>
      <c r="Q27" s="81">
        <f>[2]Production!$HO$3</f>
        <v>0.16409794683657586</v>
      </c>
      <c r="R27" s="38">
        <f t="shared" si="6"/>
        <v>0.17141244857451979</v>
      </c>
      <c r="S27" s="41">
        <f t="shared" si="7"/>
        <v>2353150.0940310075</v>
      </c>
      <c r="T27" s="28"/>
      <c r="V27" s="89">
        <v>381</v>
      </c>
      <c r="W27" s="81">
        <f>[3]Tabelle1!$DB$3</f>
        <v>6.8932519296515574E-2</v>
      </c>
      <c r="X27" s="38">
        <f t="shared" si="8"/>
        <v>7.5556837494188234E-2</v>
      </c>
      <c r="Y27" s="42">
        <f t="shared" si="9"/>
        <v>341395.03960680473</v>
      </c>
      <c r="AC27" s="30">
        <v>2015</v>
      </c>
      <c r="AD27" s="24">
        <v>300</v>
      </c>
      <c r="AE27" s="38">
        <f t="shared" si="11"/>
        <v>1.2</v>
      </c>
      <c r="AF27" s="24">
        <v>150</v>
      </c>
      <c r="AG27" s="24"/>
      <c r="AH27" s="86">
        <f t="shared" si="10"/>
        <v>36964285.714285709</v>
      </c>
      <c r="AI27" s="86">
        <f>AI28/AG28</f>
        <v>478333333.33333331</v>
      </c>
      <c r="AJ27" s="24"/>
      <c r="AK27" s="24"/>
      <c r="AL27" s="28"/>
    </row>
    <row r="28" spans="1:38">
      <c r="A28" s="30" t="s">
        <v>89</v>
      </c>
      <c r="B28" s="24"/>
      <c r="C28" s="24"/>
      <c r="D28" s="28"/>
      <c r="F28" s="30">
        <v>2013</v>
      </c>
      <c r="G28" s="24">
        <f>318.7-282.9</f>
        <v>35.800000000000011</v>
      </c>
      <c r="H28" s="38">
        <f t="shared" si="5"/>
        <v>0.79910714285714346</v>
      </c>
      <c r="I28" s="82">
        <f t="shared" si="3"/>
        <v>489483636.36363649</v>
      </c>
      <c r="K28" s="30">
        <v>1993</v>
      </c>
      <c r="L28" s="87">
        <v>1.2148997887182349</v>
      </c>
      <c r="M28" s="38">
        <f t="shared" si="4"/>
        <v>0.9966640203807674</v>
      </c>
      <c r="N28" s="82">
        <f t="shared" si="0"/>
        <v>2243771062.8074389</v>
      </c>
      <c r="P28" s="89">
        <v>842</v>
      </c>
      <c r="Q28" s="81">
        <f>[2]Production!$HT$3</f>
        <v>7.5379174338757127E-2</v>
      </c>
      <c r="R28" s="38">
        <f t="shared" si="6"/>
        <v>7.873912558942521E-2</v>
      </c>
      <c r="S28" s="41">
        <f t="shared" si="7"/>
        <v>1080930.7160916294</v>
      </c>
      <c r="T28" s="28"/>
      <c r="V28" s="89">
        <v>699</v>
      </c>
      <c r="W28" s="81">
        <f>[3]Tabelle1!$GK$3</f>
        <v>3.9905025009637683E-2</v>
      </c>
      <c r="X28" s="38">
        <f t="shared" si="8"/>
        <v>4.3739841813776853E-2</v>
      </c>
      <c r="Y28" s="42">
        <f t="shared" si="9"/>
        <v>197633.53686631366</v>
      </c>
      <c r="AC28" s="30">
        <v>2016</v>
      </c>
      <c r="AD28" s="24">
        <v>400</v>
      </c>
      <c r="AE28" s="38">
        <f t="shared" si="11"/>
        <v>1.3333333333333333</v>
      </c>
      <c r="AF28" s="24">
        <v>175</v>
      </c>
      <c r="AG28" s="38">
        <f>AF28/AF27</f>
        <v>1.1666666666666667</v>
      </c>
      <c r="AH28" s="86">
        <f t="shared" si="10"/>
        <v>49285714.285714276</v>
      </c>
      <c r="AI28" s="86">
        <f>AI29/AG29</f>
        <v>558055555.55555558</v>
      </c>
      <c r="AJ28" s="24"/>
      <c r="AK28" s="24"/>
      <c r="AL28" s="28"/>
    </row>
    <row r="29" spans="1:38">
      <c r="A29" s="30" t="s">
        <v>540</v>
      </c>
      <c r="B29" s="24"/>
      <c r="C29" s="24"/>
      <c r="D29" s="28"/>
      <c r="F29" s="30">
        <v>2014</v>
      </c>
      <c r="G29" s="24">
        <f>369.9-318.7</f>
        <v>51.199999999999989</v>
      </c>
      <c r="H29" s="38">
        <f t="shared" si="5"/>
        <v>1.4301675977653623</v>
      </c>
      <c r="I29" s="82">
        <f t="shared" si="3"/>
        <v>700043636.36363614</v>
      </c>
      <c r="K29" s="30">
        <v>1994</v>
      </c>
      <c r="L29" s="87">
        <v>1.2754772286608187</v>
      </c>
      <c r="M29" s="38">
        <f t="shared" si="4"/>
        <v>1.0498620878076663</v>
      </c>
      <c r="N29" s="82">
        <f t="shared" si="0"/>
        <v>2137205532.8647084</v>
      </c>
      <c r="P29" s="90" t="s">
        <v>107</v>
      </c>
      <c r="Q29" s="91">
        <f>SUM(Q19:Q28)</f>
        <v>0.95732805990013015</v>
      </c>
      <c r="R29" s="74"/>
      <c r="S29" s="74"/>
      <c r="T29" s="47"/>
      <c r="V29" s="89">
        <v>702</v>
      </c>
      <c r="W29" s="81">
        <f>[3]Tabelle1!$GL$3</f>
        <v>1.3019513438979264E-2</v>
      </c>
      <c r="X29" s="38">
        <f t="shared" si="8"/>
        <v>1.4270670377371239E-2</v>
      </c>
      <c r="Y29" s="42">
        <f t="shared" si="9"/>
        <v>64480.412895431917</v>
      </c>
      <c r="AC29" s="30">
        <v>2017</v>
      </c>
      <c r="AD29" s="24">
        <v>450</v>
      </c>
      <c r="AE29" s="38">
        <f t="shared" si="11"/>
        <v>1.125</v>
      </c>
      <c r="AF29" s="24">
        <v>200</v>
      </c>
      <c r="AG29" s="38">
        <f>AF29/AF28</f>
        <v>1.1428571428571428</v>
      </c>
      <c r="AH29" s="86">
        <f t="shared" si="10"/>
        <v>55446428.57142856</v>
      </c>
      <c r="AI29" s="86">
        <f>AI30/AG30</f>
        <v>637777777.77777779</v>
      </c>
      <c r="AJ29" s="24"/>
      <c r="AK29" s="24"/>
      <c r="AL29" s="28"/>
    </row>
    <row r="30" spans="1:38" ht="79" customHeight="1">
      <c r="A30" s="64" t="s">
        <v>532</v>
      </c>
      <c r="B30" s="65"/>
      <c r="C30" s="65"/>
      <c r="D30" s="66"/>
      <c r="F30" s="30">
        <v>2015</v>
      </c>
      <c r="G30" s="24">
        <f>432.7-369.9</f>
        <v>62.800000000000011</v>
      </c>
      <c r="H30" s="38">
        <f t="shared" si="5"/>
        <v>1.2265625000000004</v>
      </c>
      <c r="I30" s="82">
        <f t="shared" si="3"/>
        <v>858647272.72727275</v>
      </c>
      <c r="K30" s="30">
        <v>1995</v>
      </c>
      <c r="L30" s="87">
        <v>1.2095150511972355</v>
      </c>
      <c r="M30" s="38">
        <f t="shared" si="4"/>
        <v>0.94828431587693662</v>
      </c>
      <c r="N30" s="82">
        <f t="shared" si="0"/>
        <v>2253760288.0084581</v>
      </c>
      <c r="V30" s="89">
        <v>705</v>
      </c>
      <c r="W30" s="81">
        <f>[3]Tabelle1!$GO$3</f>
        <v>1.7213809138820105E-2</v>
      </c>
      <c r="X30" s="38">
        <f t="shared" si="8"/>
        <v>1.8868031997541505E-2</v>
      </c>
      <c r="Y30" s="42">
        <f t="shared" si="9"/>
        <v>85253.072319214145</v>
      </c>
      <c r="AC30" s="30">
        <v>2018</v>
      </c>
      <c r="AD30" s="24">
        <v>550</v>
      </c>
      <c r="AE30" s="38">
        <f t="shared" si="11"/>
        <v>1.2222222222222223</v>
      </c>
      <c r="AF30" s="24">
        <v>250</v>
      </c>
      <c r="AG30" s="38">
        <f>AF30/AF29</f>
        <v>1.25</v>
      </c>
      <c r="AH30" s="86">
        <f t="shared" si="10"/>
        <v>67767857.142857134</v>
      </c>
      <c r="AI30" s="86">
        <f>AI31/AG31</f>
        <v>797222222.22222221</v>
      </c>
      <c r="AJ30" s="24"/>
      <c r="AK30" s="24"/>
      <c r="AL30" s="28"/>
    </row>
    <row r="31" spans="1:38">
      <c r="A31" s="30" t="s">
        <v>90</v>
      </c>
      <c r="B31" s="75" t="s">
        <v>91</v>
      </c>
      <c r="C31" s="75" t="s">
        <v>108</v>
      </c>
      <c r="D31" s="76" t="s">
        <v>109</v>
      </c>
      <c r="F31" s="30">
        <v>2016</v>
      </c>
      <c r="G31" s="24">
        <f>487.3-432.7</f>
        <v>54.600000000000023</v>
      </c>
      <c r="H31" s="38">
        <f t="shared" si="5"/>
        <v>0.86942675159235694</v>
      </c>
      <c r="I31" s="82">
        <f t="shared" si="3"/>
        <v>746530909.09090936</v>
      </c>
      <c r="K31" s="30">
        <v>1996</v>
      </c>
      <c r="L31" s="87">
        <v>1.1714099431903247</v>
      </c>
      <c r="M31" s="38">
        <f t="shared" si="4"/>
        <v>0.96849554871665922</v>
      </c>
      <c r="N31" s="82">
        <f t="shared" si="0"/>
        <v>2327073460.4768047</v>
      </c>
      <c r="V31" s="89">
        <v>842</v>
      </c>
      <c r="W31" s="81">
        <f>[3]Tabelle1!$HT$3</f>
        <v>4.8068354439558134E-2</v>
      </c>
      <c r="X31" s="38">
        <f t="shared" si="8"/>
        <v>5.2687655725739913E-2</v>
      </c>
      <c r="Y31" s="42">
        <f t="shared" si="9"/>
        <v>238063.22379046417</v>
      </c>
      <c r="AC31" s="30">
        <v>2019</v>
      </c>
      <c r="AD31" s="24">
        <v>650</v>
      </c>
      <c r="AE31" s="38">
        <f t="shared" si="11"/>
        <v>1.1818181818181819</v>
      </c>
      <c r="AF31" s="24">
        <v>275</v>
      </c>
      <c r="AG31" s="38">
        <f>AF31/AF30</f>
        <v>1.1000000000000001</v>
      </c>
      <c r="AH31" s="86">
        <f>AH32/AE32</f>
        <v>80089285.714285716</v>
      </c>
      <c r="AI31" s="86">
        <f>AI32/AG32</f>
        <v>876944444.44444454</v>
      </c>
      <c r="AJ31" s="24"/>
      <c r="AK31" s="24"/>
      <c r="AL31" s="28"/>
    </row>
    <row r="32" spans="1:38">
      <c r="A32" s="30" t="s">
        <v>97</v>
      </c>
      <c r="B32" s="77">
        <f>69.8%+1.2%</f>
        <v>0.71</v>
      </c>
      <c r="C32" s="77">
        <f>B32/($B$46-$B$45)</f>
        <v>0.72783188108662222</v>
      </c>
      <c r="D32" s="78">
        <f>$B$7*C32</f>
        <v>8384623270.1178885</v>
      </c>
      <c r="F32" s="30">
        <v>2017</v>
      </c>
      <c r="G32" s="24">
        <f>539.1-487.3</f>
        <v>51.800000000000011</v>
      </c>
      <c r="H32" s="38">
        <f t="shared" si="5"/>
        <v>0.94871794871794857</v>
      </c>
      <c r="I32" s="82">
        <f t="shared" si="3"/>
        <v>708247272.72727287</v>
      </c>
      <c r="K32" s="30">
        <v>1997</v>
      </c>
      <c r="L32" s="87">
        <v>1.2507591412440193</v>
      </c>
      <c r="M32" s="38">
        <f t="shared" si="4"/>
        <v>1.067738197473028</v>
      </c>
      <c r="N32" s="82">
        <f t="shared" si="0"/>
        <v>2179441988.6674409</v>
      </c>
      <c r="V32" s="90" t="s">
        <v>107</v>
      </c>
      <c r="W32" s="91">
        <f>SUM(W20:W31)</f>
        <v>0.91232668786352789</v>
      </c>
      <c r="X32" s="74"/>
      <c r="Y32" s="47"/>
      <c r="AC32" s="30">
        <v>2020</v>
      </c>
      <c r="AD32" s="24">
        <v>700</v>
      </c>
      <c r="AE32" s="38">
        <f>AD32/AD31</f>
        <v>1.0769230769230769</v>
      </c>
      <c r="AF32" s="24">
        <v>300</v>
      </c>
      <c r="AG32" s="38">
        <f>AF32/AF31</f>
        <v>1.0909090909090908</v>
      </c>
      <c r="AH32" s="86">
        <f>AD11</f>
        <v>86250000</v>
      </c>
      <c r="AI32" s="86">
        <f>AD12</f>
        <v>956666666.66666675</v>
      </c>
      <c r="AJ32" s="24"/>
      <c r="AK32" s="24"/>
      <c r="AL32" s="28"/>
    </row>
    <row r="33" spans="1:38">
      <c r="A33" s="30" t="s">
        <v>93</v>
      </c>
      <c r="B33" s="79">
        <v>7.9000000000000001E-2</v>
      </c>
      <c r="C33" s="77">
        <f t="shared" ref="C33:C44" si="12">B33/($B$46-$B$45)</f>
        <v>8.0984110712455148E-2</v>
      </c>
      <c r="D33" s="78">
        <f t="shared" ref="D33:D44" si="13">$B$7*C33</f>
        <v>932936955.40748334</v>
      </c>
      <c r="F33" s="30">
        <v>2018</v>
      </c>
      <c r="G33" s="24">
        <f>591-539.1</f>
        <v>51.899999999999977</v>
      </c>
      <c r="H33" s="38">
        <f t="shared" si="5"/>
        <v>1.0019305019305014</v>
      </c>
      <c r="I33" s="82">
        <f t="shared" si="3"/>
        <v>709614545.45454514</v>
      </c>
      <c r="K33" s="30">
        <v>1998</v>
      </c>
      <c r="L33" s="87">
        <v>1.2582238795720364</v>
      </c>
      <c r="M33" s="38">
        <f t="shared" si="4"/>
        <v>1.0059681661175728</v>
      </c>
      <c r="N33" s="82">
        <f t="shared" si="0"/>
        <v>2166511885.8370695</v>
      </c>
      <c r="AC33" s="30"/>
      <c r="AD33" s="24"/>
      <c r="AE33" s="24"/>
      <c r="AF33" s="24"/>
      <c r="AG33" s="24"/>
      <c r="AH33" s="24"/>
      <c r="AI33" s="24"/>
      <c r="AJ33" s="24"/>
      <c r="AK33" s="24"/>
      <c r="AL33" s="28"/>
    </row>
    <row r="34" spans="1:38">
      <c r="A34" s="30" t="s">
        <v>94</v>
      </c>
      <c r="B34" s="79">
        <v>5.1999999999999998E-2</v>
      </c>
      <c r="C34" s="77">
        <f t="shared" si="12"/>
        <v>5.3305996924654021E-2</v>
      </c>
      <c r="D34" s="78">
        <f t="shared" si="13"/>
        <v>614085084.57201433</v>
      </c>
      <c r="F34" s="30">
        <v>2019</v>
      </c>
      <c r="G34" s="24">
        <f>650-591</f>
        <v>59</v>
      </c>
      <c r="H34" s="38">
        <f t="shared" si="5"/>
        <v>1.1368015414258195</v>
      </c>
      <c r="I34" s="82">
        <f>I35/H35</f>
        <v>806690909.09090912</v>
      </c>
      <c r="K34" s="30">
        <v>1999</v>
      </c>
      <c r="L34" s="87">
        <v>1.3120706955784158</v>
      </c>
      <c r="M34" s="38">
        <f t="shared" si="4"/>
        <v>1.0427958941811648</v>
      </c>
      <c r="N34" s="82">
        <f t="shared" si="0"/>
        <v>2077599171.5409284</v>
      </c>
      <c r="AC34" s="30"/>
      <c r="AD34" s="24"/>
      <c r="AE34" s="24"/>
      <c r="AF34" s="24"/>
      <c r="AG34" s="24"/>
      <c r="AH34" s="24"/>
      <c r="AI34" s="24"/>
      <c r="AJ34" s="24"/>
      <c r="AK34" s="24"/>
      <c r="AL34" s="28"/>
    </row>
    <row r="35" spans="1:38" ht="36" customHeight="1">
      <c r="A35" s="30" t="s">
        <v>95</v>
      </c>
      <c r="B35" s="79">
        <v>4.2000000000000003E-2</v>
      </c>
      <c r="C35" s="77">
        <f t="shared" si="12"/>
        <v>4.3054843669912864E-2</v>
      </c>
      <c r="D35" s="78">
        <f t="shared" si="13"/>
        <v>495991799.07739621</v>
      </c>
      <c r="F35" s="30">
        <v>2020</v>
      </c>
      <c r="G35" s="24">
        <v>93</v>
      </c>
      <c r="H35" s="38">
        <f>G35/G34</f>
        <v>1.576271186440678</v>
      </c>
      <c r="I35" s="82">
        <f>G9</f>
        <v>1271563636.3636365</v>
      </c>
      <c r="K35" s="30">
        <v>2000</v>
      </c>
      <c r="L35" s="87">
        <v>1.2809449749649124</v>
      </c>
      <c r="M35" s="38">
        <f t="shared" si="4"/>
        <v>0.97627740584528344</v>
      </c>
      <c r="N35" s="82">
        <f t="shared" si="0"/>
        <v>2128082816.5249765</v>
      </c>
      <c r="AC35" s="101" t="s">
        <v>484</v>
      </c>
      <c r="AD35" s="7"/>
      <c r="AE35" s="7"/>
      <c r="AF35" s="7" t="s">
        <v>485</v>
      </c>
      <c r="AG35" s="7"/>
      <c r="AH35" s="24"/>
      <c r="AI35" s="100" t="s">
        <v>486</v>
      </c>
      <c r="AJ35" s="100"/>
      <c r="AK35" s="100"/>
      <c r="AL35" s="106"/>
    </row>
    <row r="36" spans="1:38">
      <c r="A36" s="30" t="s">
        <v>96</v>
      </c>
      <c r="B36" s="79">
        <v>3.2000000000000001E-2</v>
      </c>
      <c r="C36" s="77">
        <f t="shared" si="12"/>
        <v>3.2803690415171706E-2</v>
      </c>
      <c r="D36" s="78">
        <f t="shared" si="13"/>
        <v>377898513.58277804</v>
      </c>
      <c r="F36" s="30"/>
      <c r="G36" s="24"/>
      <c r="H36" s="24"/>
      <c r="I36" s="28"/>
      <c r="K36" s="30">
        <v>2001</v>
      </c>
      <c r="L36" s="87">
        <v>1.3673056404721928</v>
      </c>
      <c r="M36" s="38">
        <f t="shared" si="4"/>
        <v>1.067419496695903</v>
      </c>
      <c r="N36" s="82">
        <f t="shared" si="0"/>
        <v>1993670551.3739045</v>
      </c>
      <c r="AC36" s="101" t="s">
        <v>131</v>
      </c>
      <c r="AD36" s="7"/>
      <c r="AE36" s="7"/>
      <c r="AF36" s="7" t="s">
        <v>132</v>
      </c>
      <c r="AG36" s="7"/>
      <c r="AH36" s="24"/>
      <c r="AI36" s="24"/>
      <c r="AJ36" s="7"/>
      <c r="AK36" s="24"/>
      <c r="AL36" s="25"/>
    </row>
    <row r="37" spans="1:38" ht="32">
      <c r="A37" s="30" t="s">
        <v>98</v>
      </c>
      <c r="B37" s="77">
        <f>1.8%/3</f>
        <v>6.000000000000001E-3</v>
      </c>
      <c r="C37" s="77">
        <f t="shared" si="12"/>
        <v>6.1506919528446962E-3</v>
      </c>
      <c r="D37" s="78">
        <f t="shared" si="13"/>
        <v>70855971.2967709</v>
      </c>
      <c r="F37" s="30" t="s">
        <v>122</v>
      </c>
      <c r="G37" s="24"/>
      <c r="H37" s="24"/>
      <c r="I37" s="28"/>
      <c r="K37" s="30">
        <v>2002</v>
      </c>
      <c r="L37" s="87">
        <v>1.2744539454415806</v>
      </c>
      <c r="M37" s="38">
        <f t="shared" si="4"/>
        <v>0.93209148541320563</v>
      </c>
      <c r="N37" s="82">
        <f t="shared" si="0"/>
        <v>2138921535.6796119</v>
      </c>
      <c r="AC37" s="101" t="s">
        <v>133</v>
      </c>
      <c r="AD37" s="7" t="s">
        <v>134</v>
      </c>
      <c r="AE37" s="7" t="s">
        <v>135</v>
      </c>
      <c r="AF37" s="7" t="s">
        <v>133</v>
      </c>
      <c r="AG37" s="7" t="s">
        <v>136</v>
      </c>
      <c r="AH37" s="7" t="s">
        <v>135</v>
      </c>
      <c r="AI37" s="13" t="s">
        <v>133</v>
      </c>
      <c r="AJ37" s="13" t="s">
        <v>134</v>
      </c>
      <c r="AK37" s="13" t="s">
        <v>135</v>
      </c>
      <c r="AL37" s="107" t="s">
        <v>127</v>
      </c>
    </row>
    <row r="38" spans="1:38">
      <c r="A38" s="30" t="s">
        <v>99</v>
      </c>
      <c r="B38" s="77">
        <f>1.8%/3</f>
        <v>6.000000000000001E-3</v>
      </c>
      <c r="C38" s="77">
        <f t="shared" si="12"/>
        <v>6.1506919528446962E-3</v>
      </c>
      <c r="D38" s="78">
        <f t="shared" si="13"/>
        <v>70855971.2967709</v>
      </c>
      <c r="F38" s="30" t="s">
        <v>539</v>
      </c>
      <c r="G38" s="24"/>
      <c r="H38" s="24"/>
      <c r="I38" s="28"/>
      <c r="K38" s="30">
        <v>2003</v>
      </c>
      <c r="L38" s="87">
        <v>1.2607561915629983</v>
      </c>
      <c r="M38" s="38">
        <f t="shared" si="4"/>
        <v>0.98925206051770176</v>
      </c>
      <c r="N38" s="82">
        <f t="shared" si="0"/>
        <v>2162160303.77562</v>
      </c>
      <c r="AC38" s="101" t="s">
        <v>92</v>
      </c>
      <c r="AD38" s="7">
        <v>268000</v>
      </c>
      <c r="AE38" s="26">
        <f>AD38/$AD$45</f>
        <v>0.72043010752688175</v>
      </c>
      <c r="AF38" s="7" t="s">
        <v>92</v>
      </c>
      <c r="AG38" s="7">
        <f>44710+5960+82320</f>
        <v>132990</v>
      </c>
      <c r="AH38" s="27">
        <f>AG38/$AG$50</f>
        <v>0.56226852243324144</v>
      </c>
      <c r="AI38" s="13" t="s">
        <v>92</v>
      </c>
      <c r="AJ38" s="13">
        <v>268000</v>
      </c>
      <c r="AK38" s="108">
        <f>AJ38/$AJ$50</f>
        <v>0.71341106319544267</v>
      </c>
      <c r="AL38" s="109">
        <f>$AD$11*AK38</f>
        <v>61531704.200606927</v>
      </c>
    </row>
    <row r="39" spans="1:38">
      <c r="A39" s="30" t="s">
        <v>100</v>
      </c>
      <c r="B39" s="77">
        <f>1.8%/3</f>
        <v>6.000000000000001E-3</v>
      </c>
      <c r="C39" s="77">
        <f t="shared" si="12"/>
        <v>6.1506919528446962E-3</v>
      </c>
      <c r="D39" s="78">
        <f t="shared" si="13"/>
        <v>70855971.2967709</v>
      </c>
      <c r="F39" s="30" t="s">
        <v>90</v>
      </c>
      <c r="G39" s="24" t="s">
        <v>123</v>
      </c>
      <c r="H39" s="24" t="s">
        <v>126</v>
      </c>
      <c r="I39" s="28" t="s">
        <v>127</v>
      </c>
      <c r="K39" s="30">
        <v>2004</v>
      </c>
      <c r="L39" s="87">
        <v>1.2428349455979952</v>
      </c>
      <c r="M39" s="38">
        <f t="shared" si="4"/>
        <v>0.98578531988584917</v>
      </c>
      <c r="N39" s="82">
        <f t="shared" si="0"/>
        <v>2193337900.4122229</v>
      </c>
      <c r="AC39" s="101" t="s">
        <v>105</v>
      </c>
      <c r="AD39" s="7">
        <v>27000</v>
      </c>
      <c r="AE39" s="26">
        <f t="shared" ref="AE39:AE44" si="14">AD39/$AD$45</f>
        <v>7.2580645161290328E-2</v>
      </c>
      <c r="AF39" s="7" t="s">
        <v>105</v>
      </c>
      <c r="AG39" s="7">
        <v>19414</v>
      </c>
      <c r="AH39" s="27">
        <f t="shared" ref="AH39:AH49" si="15">AG39/$AG$50</f>
        <v>8.2080465407315964E-2</v>
      </c>
      <c r="AI39" s="13" t="s">
        <v>137</v>
      </c>
      <c r="AJ39" s="13">
        <v>1000</v>
      </c>
      <c r="AK39" s="108">
        <f t="shared" ref="AK39:AK49" si="16">AJ39/$AJ$50</f>
        <v>2.6619815790874727E-3</v>
      </c>
      <c r="AL39" s="109">
        <f t="shared" ref="AL39:AL49" si="17">$AD$11*AK39</f>
        <v>229595.91119629453</v>
      </c>
    </row>
    <row r="40" spans="1:38">
      <c r="A40" s="30" t="s">
        <v>101</v>
      </c>
      <c r="B40" s="79">
        <v>1.7999999999999999E-2</v>
      </c>
      <c r="C40" s="77">
        <f t="shared" si="12"/>
        <v>1.8452075858534082E-2</v>
      </c>
      <c r="D40" s="78">
        <f t="shared" si="13"/>
        <v>212567913.89031264</v>
      </c>
      <c r="F40" s="30" t="s">
        <v>124</v>
      </c>
      <c r="G40" s="24">
        <v>9.6</v>
      </c>
      <c r="H40" s="38">
        <f>G40/$G$45</f>
        <v>0.18648018648018647</v>
      </c>
      <c r="I40" s="42">
        <f>H40*$G$9</f>
        <v>237121424.03051496</v>
      </c>
      <c r="K40" s="30">
        <v>2005</v>
      </c>
      <c r="L40" s="87">
        <v>1.1934287039373868</v>
      </c>
      <c r="M40" s="38">
        <f t="shared" si="4"/>
        <v>0.96024714155680868</v>
      </c>
      <c r="N40" s="82">
        <f t="shared" si="0"/>
        <v>2284138952.8702531</v>
      </c>
      <c r="AC40" s="101" t="s">
        <v>138</v>
      </c>
      <c r="AD40" s="7">
        <v>18000</v>
      </c>
      <c r="AE40" s="26">
        <f t="shared" si="14"/>
        <v>4.8387096774193547E-2</v>
      </c>
      <c r="AF40" s="7" t="s">
        <v>138</v>
      </c>
      <c r="AG40" s="7">
        <f>17874+6870</f>
        <v>24744</v>
      </c>
      <c r="AH40" s="27">
        <f t="shared" si="15"/>
        <v>0.10461517647257784</v>
      </c>
      <c r="AI40" s="13" t="s">
        <v>139</v>
      </c>
      <c r="AJ40" s="13">
        <v>300</v>
      </c>
      <c r="AK40" s="108">
        <f t="shared" si="16"/>
        <v>7.9859447372624185E-4</v>
      </c>
      <c r="AL40" s="109">
        <f t="shared" si="17"/>
        <v>68878.773358888357</v>
      </c>
    </row>
    <row r="41" spans="1:38">
      <c r="A41" s="30" t="s">
        <v>102</v>
      </c>
      <c r="B41" s="79">
        <v>8.0000000000000002E-3</v>
      </c>
      <c r="C41" s="77">
        <f t="shared" si="12"/>
        <v>8.2009226037929265E-3</v>
      </c>
      <c r="D41" s="78">
        <f t="shared" si="13"/>
        <v>94474628.395694509</v>
      </c>
      <c r="F41" s="30" t="s">
        <v>125</v>
      </c>
      <c r="G41" s="24">
        <v>8.7899999999999991</v>
      </c>
      <c r="H41" s="38">
        <f>G41/$G$45</f>
        <v>0.17074592074592071</v>
      </c>
      <c r="I41" s="42">
        <f>H41*$G$9</f>
        <v>217114303.87794021</v>
      </c>
      <c r="K41" s="30">
        <v>2006</v>
      </c>
      <c r="L41" s="87">
        <v>1.242050646206718</v>
      </c>
      <c r="M41" s="38">
        <f t="shared" si="4"/>
        <v>1.0407413883283656</v>
      </c>
      <c r="N41" s="82">
        <f t="shared" si="0"/>
        <v>2194722895.12674</v>
      </c>
      <c r="AC41" s="101" t="s">
        <v>96</v>
      </c>
      <c r="AD41" s="7">
        <v>37000</v>
      </c>
      <c r="AE41" s="26">
        <f t="shared" si="14"/>
        <v>9.9462365591397844E-2</v>
      </c>
      <c r="AF41" s="7" t="s">
        <v>96</v>
      </c>
      <c r="AG41" s="7">
        <f>22016+28150</f>
        <v>50166</v>
      </c>
      <c r="AH41" s="27">
        <f t="shared" si="15"/>
        <v>0.21209686966227528</v>
      </c>
      <c r="AI41" s="13" t="s">
        <v>99</v>
      </c>
      <c r="AJ41" s="13">
        <v>1600</v>
      </c>
      <c r="AK41" s="108">
        <f t="shared" si="16"/>
        <v>4.2591705265399562E-3</v>
      </c>
      <c r="AL41" s="109">
        <f t="shared" si="17"/>
        <v>367353.45791407122</v>
      </c>
    </row>
    <row r="42" spans="1:38">
      <c r="A42" s="30" t="s">
        <v>103</v>
      </c>
      <c r="B42" s="79">
        <v>8.5000000000000006E-3</v>
      </c>
      <c r="C42" s="77">
        <f t="shared" si="12"/>
        <v>8.7134802665299847E-3</v>
      </c>
      <c r="D42" s="78">
        <f t="shared" si="13"/>
        <v>100379292.67042543</v>
      </c>
      <c r="F42" s="30" t="s">
        <v>92</v>
      </c>
      <c r="G42" s="24">
        <f>8.25+5.78+4.5+2.06+1.71+1.46</f>
        <v>23.76</v>
      </c>
      <c r="H42" s="38">
        <f>G42/$G$45</f>
        <v>0.46153846153846151</v>
      </c>
      <c r="I42" s="42">
        <f>H42*$G$9</f>
        <v>586875524.47552454</v>
      </c>
      <c r="K42" s="30">
        <v>2007</v>
      </c>
      <c r="L42" s="87">
        <v>1.2251834853686361</v>
      </c>
      <c r="M42" s="38">
        <f t="shared" si="4"/>
        <v>0.98641990897102705</v>
      </c>
      <c r="N42" s="82">
        <f t="shared" si="0"/>
        <v>2224937752.3372788</v>
      </c>
      <c r="AC42" s="101" t="s">
        <v>140</v>
      </c>
      <c r="AD42" s="7">
        <v>14000</v>
      </c>
      <c r="AE42" s="26">
        <f t="shared" si="14"/>
        <v>3.7634408602150539E-2</v>
      </c>
      <c r="AF42" s="7" t="s">
        <v>137</v>
      </c>
      <c r="AG42" s="7">
        <v>1000</v>
      </c>
      <c r="AH42" s="27">
        <f t="shared" si="15"/>
        <v>4.2279007627132976E-3</v>
      </c>
      <c r="AI42" s="13" t="s">
        <v>115</v>
      </c>
      <c r="AJ42" s="13">
        <v>300</v>
      </c>
      <c r="AK42" s="108">
        <f t="shared" si="16"/>
        <v>7.9859447372624185E-4</v>
      </c>
      <c r="AL42" s="109">
        <f t="shared" si="17"/>
        <v>68878.773358888357</v>
      </c>
    </row>
    <row r="43" spans="1:38">
      <c r="A43" s="30" t="s">
        <v>104</v>
      </c>
      <c r="B43" s="79">
        <v>5.0000000000000001E-3</v>
      </c>
      <c r="C43" s="77">
        <f t="shared" si="12"/>
        <v>5.1255766273705788E-3</v>
      </c>
      <c r="D43" s="78">
        <f t="shared" si="13"/>
        <v>59046642.747309066</v>
      </c>
      <c r="F43" s="30" t="s">
        <v>96</v>
      </c>
      <c r="G43" s="24">
        <v>7.37</v>
      </c>
      <c r="H43" s="38">
        <f>G43/$G$45</f>
        <v>0.14316239316239315</v>
      </c>
      <c r="I43" s="42">
        <f>H43*$G$9</f>
        <v>182040093.24009326</v>
      </c>
      <c r="K43" s="30">
        <v>2008</v>
      </c>
      <c r="L43" s="87">
        <v>1.2664850672490868</v>
      </c>
      <c r="M43" s="38">
        <f t="shared" si="4"/>
        <v>1.0337105277484406</v>
      </c>
      <c r="N43" s="82">
        <f t="shared" si="0"/>
        <v>2152379890.3194785</v>
      </c>
      <c r="AC43" s="101" t="s">
        <v>141</v>
      </c>
      <c r="AD43" s="7">
        <v>6000</v>
      </c>
      <c r="AE43" s="26">
        <f t="shared" si="14"/>
        <v>1.6129032258064516E-2</v>
      </c>
      <c r="AF43" s="7" t="s">
        <v>139</v>
      </c>
      <c r="AG43" s="7">
        <v>300</v>
      </c>
      <c r="AH43" s="27">
        <f t="shared" si="15"/>
        <v>1.2683702288139892E-3</v>
      </c>
      <c r="AI43" s="13" t="s">
        <v>140</v>
      </c>
      <c r="AJ43" s="13">
        <v>14000</v>
      </c>
      <c r="AK43" s="108">
        <f t="shared" si="16"/>
        <v>3.7267742107224618E-2</v>
      </c>
      <c r="AL43" s="109">
        <f t="shared" si="17"/>
        <v>3214342.7567481231</v>
      </c>
    </row>
    <row r="44" spans="1:38">
      <c r="A44" s="30" t="s">
        <v>105</v>
      </c>
      <c r="B44" s="79">
        <v>3.0000000000000001E-3</v>
      </c>
      <c r="C44" s="77">
        <f t="shared" si="12"/>
        <v>3.0753459764223477E-3</v>
      </c>
      <c r="D44" s="78">
        <f t="shared" si="13"/>
        <v>35427985.648385443</v>
      </c>
      <c r="F44" s="30" t="s">
        <v>115</v>
      </c>
      <c r="G44" s="24">
        <v>1.96</v>
      </c>
      <c r="H44" s="38">
        <f>G44/$G$45</f>
        <v>3.8073038073038072E-2</v>
      </c>
      <c r="I44" s="42">
        <f>H44*$G$9</f>
        <v>48412290.739563473</v>
      </c>
      <c r="K44" s="30">
        <v>2009</v>
      </c>
      <c r="L44" s="87">
        <v>1.2630477842882062</v>
      </c>
      <c r="M44" s="38">
        <f t="shared" si="4"/>
        <v>0.99728596645174294</v>
      </c>
      <c r="N44" s="82">
        <f t="shared" si="0"/>
        <v>2158237419.0799651</v>
      </c>
      <c r="AC44" s="101" t="s">
        <v>113</v>
      </c>
      <c r="AD44" s="7">
        <v>2000</v>
      </c>
      <c r="AE44" s="26">
        <f t="shared" si="14"/>
        <v>5.3763440860215058E-3</v>
      </c>
      <c r="AF44" s="7" t="s">
        <v>99</v>
      </c>
      <c r="AG44" s="7">
        <f>600+1000</f>
        <v>1600</v>
      </c>
      <c r="AH44" s="27">
        <f t="shared" si="15"/>
        <v>6.7646412203412765E-3</v>
      </c>
      <c r="AI44" s="13" t="s">
        <v>105</v>
      </c>
      <c r="AJ44" s="13">
        <v>27000</v>
      </c>
      <c r="AK44" s="108">
        <f t="shared" si="16"/>
        <v>7.1873502635361769E-2</v>
      </c>
      <c r="AL44" s="109">
        <f t="shared" si="17"/>
        <v>6199089.6022999529</v>
      </c>
    </row>
    <row r="45" spans="1:38">
      <c r="A45" s="30" t="s">
        <v>106</v>
      </c>
      <c r="B45" s="79">
        <v>2.4E-2</v>
      </c>
      <c r="C45" s="75"/>
      <c r="D45" s="76"/>
      <c r="F45" s="30" t="s">
        <v>107</v>
      </c>
      <c r="G45" s="24">
        <f>SUM(G40:G44)</f>
        <v>51.480000000000004</v>
      </c>
      <c r="H45" s="24"/>
      <c r="I45" s="28"/>
      <c r="K45" s="30">
        <v>2010</v>
      </c>
      <c r="L45" s="87">
        <v>1.2292561654034293</v>
      </c>
      <c r="M45" s="38">
        <f t="shared" si="4"/>
        <v>0.97324596954673392</v>
      </c>
      <c r="N45" s="82">
        <f t="shared" si="0"/>
        <v>2217566254.1763339</v>
      </c>
      <c r="AC45" s="101" t="s">
        <v>107</v>
      </c>
      <c r="AD45" s="7">
        <f>SUM(AD38:AD44)</f>
        <v>372000</v>
      </c>
      <c r="AE45" s="7"/>
      <c r="AF45" s="7" t="s">
        <v>115</v>
      </c>
      <c r="AG45" s="7">
        <v>300</v>
      </c>
      <c r="AH45" s="27">
        <f t="shared" si="15"/>
        <v>1.2683702288139892E-3</v>
      </c>
      <c r="AI45" s="13" t="s">
        <v>141</v>
      </c>
      <c r="AJ45" s="13">
        <v>6000</v>
      </c>
      <c r="AK45" s="108">
        <f t="shared" si="16"/>
        <v>1.5971889474524836E-2</v>
      </c>
      <c r="AL45" s="109">
        <f t="shared" si="17"/>
        <v>1377575.4671777671</v>
      </c>
    </row>
    <row r="46" spans="1:38">
      <c r="A46" s="30" t="s">
        <v>107</v>
      </c>
      <c r="B46" s="50">
        <f>SUM(B32:B45)</f>
        <v>0.99950000000000006</v>
      </c>
      <c r="C46" s="24"/>
      <c r="D46" s="28"/>
      <c r="F46" s="30"/>
      <c r="G46" s="24"/>
      <c r="H46" s="24"/>
      <c r="I46" s="28"/>
      <c r="K46" s="30">
        <v>2011</v>
      </c>
      <c r="L46" s="87">
        <v>1.167289037647901</v>
      </c>
      <c r="M46" s="38">
        <f t="shared" si="4"/>
        <v>0.94958973605376118</v>
      </c>
      <c r="N46" s="82">
        <f t="shared" si="0"/>
        <v>2335288777.8588901</v>
      </c>
      <c r="AC46" s="101"/>
      <c r="AD46" s="7"/>
      <c r="AE46" s="7"/>
      <c r="AF46" s="7" t="s">
        <v>140</v>
      </c>
      <c r="AG46" s="7">
        <v>1000</v>
      </c>
      <c r="AH46" s="27">
        <f t="shared" si="15"/>
        <v>4.2279007627132976E-3</v>
      </c>
      <c r="AI46" s="13" t="s">
        <v>138</v>
      </c>
      <c r="AJ46" s="13">
        <v>18000</v>
      </c>
      <c r="AK46" s="108">
        <f t="shared" si="16"/>
        <v>4.791566842357451E-2</v>
      </c>
      <c r="AL46" s="109">
        <f t="shared" si="17"/>
        <v>4132726.4015333015</v>
      </c>
    </row>
    <row r="47" spans="1:38">
      <c r="A47" s="30"/>
      <c r="B47" s="24"/>
      <c r="C47" s="24"/>
      <c r="D47" s="28"/>
      <c r="F47" s="30"/>
      <c r="G47" s="24"/>
      <c r="H47" s="24"/>
      <c r="I47" s="28"/>
      <c r="K47" s="30">
        <v>2012</v>
      </c>
      <c r="L47" s="87">
        <v>1.2315232754940371</v>
      </c>
      <c r="M47" s="38">
        <f t="shared" si="4"/>
        <v>1.0550285625705598</v>
      </c>
      <c r="N47" s="82">
        <f t="shared" si="0"/>
        <v>2213483938.4528103</v>
      </c>
      <c r="AC47" s="101"/>
      <c r="AD47" s="7"/>
      <c r="AE47" s="7"/>
      <c r="AF47" s="7" t="s">
        <v>141</v>
      </c>
      <c r="AG47" s="7">
        <f>300+650+3000</f>
        <v>3950</v>
      </c>
      <c r="AH47" s="27">
        <f t="shared" si="15"/>
        <v>1.6700208012717526E-2</v>
      </c>
      <c r="AI47" s="13" t="s">
        <v>112</v>
      </c>
      <c r="AJ47" s="13">
        <v>460</v>
      </c>
      <c r="AK47" s="108">
        <f t="shared" si="16"/>
        <v>1.2245115263802375E-3</v>
      </c>
      <c r="AL47" s="109">
        <f t="shared" si="17"/>
        <v>105614.11915029549</v>
      </c>
    </row>
    <row r="48" spans="1:38">
      <c r="A48" s="30" t="s">
        <v>628</v>
      </c>
      <c r="B48" s="71"/>
      <c r="C48" s="24"/>
      <c r="D48" s="72"/>
      <c r="F48" s="30"/>
      <c r="G48" s="24"/>
      <c r="H48" s="24"/>
      <c r="I48" s="28"/>
      <c r="K48" s="30">
        <v>2013</v>
      </c>
      <c r="L48" s="87">
        <v>1.2640967989324243</v>
      </c>
      <c r="M48" s="38">
        <f t="shared" si="4"/>
        <v>1.0264497830342021</v>
      </c>
      <c r="N48" s="82">
        <f t="shared" si="0"/>
        <v>2156446399.0724573</v>
      </c>
      <c r="AC48" s="101"/>
      <c r="AD48" s="7"/>
      <c r="AE48" s="7"/>
      <c r="AF48" s="7" t="s">
        <v>113</v>
      </c>
      <c r="AG48" s="7">
        <v>600</v>
      </c>
      <c r="AH48" s="27">
        <f t="shared" si="15"/>
        <v>2.5367404576279785E-3</v>
      </c>
      <c r="AI48" s="13" t="s">
        <v>113</v>
      </c>
      <c r="AJ48" s="13">
        <v>2000</v>
      </c>
      <c r="AK48" s="108">
        <f t="shared" si="16"/>
        <v>5.3239631581749455E-3</v>
      </c>
      <c r="AL48" s="109">
        <f t="shared" si="17"/>
        <v>459191.82239258906</v>
      </c>
    </row>
    <row r="49" spans="1:38" ht="48">
      <c r="A49" s="30" t="s">
        <v>529</v>
      </c>
      <c r="B49" s="24">
        <v>54</v>
      </c>
      <c r="C49" s="24" t="s">
        <v>630</v>
      </c>
      <c r="D49" s="68" t="s">
        <v>622</v>
      </c>
      <c r="F49" s="30" t="s">
        <v>628</v>
      </c>
      <c r="G49" s="24"/>
      <c r="H49" s="24"/>
      <c r="I49" s="28"/>
      <c r="K49" s="30">
        <v>2014</v>
      </c>
      <c r="L49" s="87">
        <v>1.2050169388194167</v>
      </c>
      <c r="M49" s="38">
        <f t="shared" si="4"/>
        <v>0.95326318351339656</v>
      </c>
      <c r="N49" s="82">
        <f t="shared" si="0"/>
        <v>2262173171.4473081</v>
      </c>
      <c r="AC49" s="101"/>
      <c r="AD49" s="7"/>
      <c r="AE49" s="7"/>
      <c r="AF49" s="7" t="s">
        <v>112</v>
      </c>
      <c r="AG49" s="7">
        <v>460</v>
      </c>
      <c r="AH49" s="27">
        <f t="shared" si="15"/>
        <v>1.9448343508481169E-3</v>
      </c>
      <c r="AI49" s="13" t="s">
        <v>96</v>
      </c>
      <c r="AJ49" s="13">
        <v>37000</v>
      </c>
      <c r="AK49" s="108">
        <f t="shared" si="16"/>
        <v>9.8493318426236487E-2</v>
      </c>
      <c r="AL49" s="109">
        <f t="shared" si="17"/>
        <v>8495048.7142628971</v>
      </c>
    </row>
    <row r="50" spans="1:38">
      <c r="A50" s="30" t="s">
        <v>495</v>
      </c>
      <c r="B50" s="24">
        <v>12</v>
      </c>
      <c r="C50" s="24" t="s">
        <v>629</v>
      </c>
      <c r="D50" s="28"/>
      <c r="F50" s="30" t="s">
        <v>497</v>
      </c>
      <c r="G50" s="83">
        <v>6500000</v>
      </c>
      <c r="H50" s="24" t="s">
        <v>631</v>
      </c>
      <c r="I50" s="61" t="s">
        <v>624</v>
      </c>
      <c r="K50" s="30">
        <v>2015</v>
      </c>
      <c r="L50" s="87">
        <v>1.1783726811313957</v>
      </c>
      <c r="M50" s="38">
        <f t="shared" si="4"/>
        <v>0.97788889364980625</v>
      </c>
      <c r="N50" s="82">
        <f t="shared" si="0"/>
        <v>2313323309.1584935</v>
      </c>
      <c r="AC50" s="101"/>
      <c r="AD50" s="7"/>
      <c r="AE50" s="7"/>
      <c r="AF50" s="7" t="s">
        <v>107</v>
      </c>
      <c r="AG50" s="7">
        <f>SUM(AG38:AG49)</f>
        <v>236524</v>
      </c>
      <c r="AH50" s="24"/>
      <c r="AI50" s="7" t="s">
        <v>107</v>
      </c>
      <c r="AJ50" s="7">
        <f>SUM(AJ38:AJ49)</f>
        <v>375660</v>
      </c>
      <c r="AK50" s="24"/>
      <c r="AL50" s="28"/>
    </row>
    <row r="51" spans="1:38" ht="32">
      <c r="A51" s="30" t="s">
        <v>496</v>
      </c>
      <c r="B51" s="41">
        <f>B49*B50</f>
        <v>648</v>
      </c>
      <c r="C51" s="24" t="s">
        <v>631</v>
      </c>
      <c r="D51" s="28"/>
      <c r="F51" s="73" t="s">
        <v>118</v>
      </c>
      <c r="G51" s="74">
        <f>22000+52000*0.3</f>
        <v>37600</v>
      </c>
      <c r="H51" s="74" t="s">
        <v>8</v>
      </c>
      <c r="I51" s="84"/>
      <c r="K51" s="30">
        <v>2016</v>
      </c>
      <c r="L51" s="87">
        <v>1.1086123671068464</v>
      </c>
      <c r="M51" s="38">
        <f t="shared" si="4"/>
        <v>0.94079944728727927</v>
      </c>
      <c r="N51" s="82">
        <f t="shared" si="0"/>
        <v>2458891016.38907</v>
      </c>
      <c r="AC51" s="30"/>
      <c r="AD51" s="24"/>
      <c r="AE51" s="24"/>
      <c r="AF51" s="24"/>
      <c r="AG51" s="24"/>
      <c r="AH51" s="24"/>
      <c r="AI51" s="24"/>
      <c r="AJ51" s="24"/>
      <c r="AK51" s="24"/>
      <c r="AL51" s="28"/>
    </row>
    <row r="52" spans="1:38" ht="32">
      <c r="A52" s="60" t="s">
        <v>498</v>
      </c>
      <c r="B52" s="24">
        <f>(19+25)/2</f>
        <v>22</v>
      </c>
      <c r="C52" s="24" t="s">
        <v>8</v>
      </c>
      <c r="D52" s="61" t="s">
        <v>533</v>
      </c>
      <c r="K52" s="30">
        <v>2017</v>
      </c>
      <c r="L52" s="87">
        <v>1.1112443943302439</v>
      </c>
      <c r="M52" s="38">
        <f t="shared" si="4"/>
        <v>1.0023741636856049</v>
      </c>
      <c r="N52" s="82">
        <f t="shared" si="0"/>
        <v>2453067033.7192593</v>
      </c>
      <c r="AC52" s="30" t="s">
        <v>487</v>
      </c>
      <c r="AD52" s="21" t="s">
        <v>488</v>
      </c>
      <c r="AE52" s="21" t="s">
        <v>489</v>
      </c>
      <c r="AF52" s="21" t="s">
        <v>490</v>
      </c>
      <c r="AG52" s="24"/>
      <c r="AH52" s="24"/>
      <c r="AI52" s="24"/>
      <c r="AJ52" s="24"/>
      <c r="AK52" s="24"/>
      <c r="AL52" s="28"/>
    </row>
    <row r="53" spans="1:38" ht="32">
      <c r="A53" s="73" t="s">
        <v>528</v>
      </c>
      <c r="B53" s="46">
        <f>G50/B51</f>
        <v>10030.864197530864</v>
      </c>
      <c r="C53" s="74"/>
      <c r="D53" s="47"/>
      <c r="G53" s="3"/>
      <c r="K53" s="30">
        <v>2018</v>
      </c>
      <c r="L53" s="87">
        <v>1.1279846162616436</v>
      </c>
      <c r="M53" s="38">
        <f t="shared" si="4"/>
        <v>1.0150643926905829</v>
      </c>
      <c r="N53" s="82">
        <f t="shared" si="0"/>
        <v>2416661495.9441452</v>
      </c>
      <c r="AC53" s="89">
        <v>156</v>
      </c>
      <c r="AD53" s="81">
        <f>[4]Tabelle1!$AT$3</f>
        <v>0.25859982690805527</v>
      </c>
      <c r="AE53" s="38">
        <f>AD53/$AD$74</f>
        <v>0.28285398393604927</v>
      </c>
      <c r="AF53" s="41">
        <f>AE53*$AD$12</f>
        <v>270596977.96548718</v>
      </c>
      <c r="AG53" s="24"/>
      <c r="AH53" s="24"/>
      <c r="AI53" s="24"/>
      <c r="AJ53" s="24"/>
      <c r="AK53" s="24"/>
      <c r="AL53" s="28"/>
    </row>
    <row r="54" spans="1:38">
      <c r="D54" s="6"/>
      <c r="F54" s="20"/>
      <c r="K54" s="30">
        <v>2019</v>
      </c>
      <c r="L54" s="87">
        <v>1.1762168266336588</v>
      </c>
      <c r="M54" s="38">
        <f t="shared" si="4"/>
        <v>1.0427596349069599</v>
      </c>
      <c r="N54" s="82">
        <f>N55*M55</f>
        <v>2317563333.9122987</v>
      </c>
      <c r="AC54" s="89">
        <v>251</v>
      </c>
      <c r="AD54" s="81">
        <f>[4]Tabelle1!$BW$3</f>
        <v>4.1809380446149562E-2</v>
      </c>
      <c r="AE54" s="38">
        <f t="shared" ref="AE54:AE73" si="18">AD54/$AD$74</f>
        <v>4.5730695053001938E-2</v>
      </c>
      <c r="AF54" s="41">
        <f t="shared" ref="AF54:AF73" si="19">AE54*$AD$12</f>
        <v>43749031.600705191</v>
      </c>
      <c r="AG54" s="24"/>
      <c r="AH54" s="24"/>
      <c r="AI54" s="24"/>
      <c r="AJ54" s="24"/>
      <c r="AK54" s="24"/>
      <c r="AL54" s="28"/>
    </row>
    <row r="55" spans="1:38">
      <c r="G55" s="5"/>
      <c r="K55" s="30">
        <v>2020</v>
      </c>
      <c r="L55" s="87">
        <v>1.0779151830509413</v>
      </c>
      <c r="M55" s="38">
        <f>L55/L54</f>
        <v>0.91642557617199072</v>
      </c>
      <c r="N55" s="69">
        <f>L9</f>
        <v>2528916034.3963914</v>
      </c>
      <c r="AC55" s="89">
        <v>276</v>
      </c>
      <c r="AD55" s="81">
        <f>[4]Tabelle1!$CE$3</f>
        <v>7.0190458410556641E-2</v>
      </c>
      <c r="AE55" s="38">
        <f t="shared" si="18"/>
        <v>7.6773643018649251E-2</v>
      </c>
      <c r="AF55" s="41">
        <f t="shared" si="19"/>
        <v>73446785.154507786</v>
      </c>
      <c r="AG55" s="24"/>
      <c r="AH55" s="24"/>
      <c r="AI55" s="24"/>
      <c r="AJ55" s="24"/>
      <c r="AK55" s="24"/>
      <c r="AL55" s="28"/>
    </row>
    <row r="56" spans="1:38">
      <c r="G56" s="20"/>
      <c r="K56" s="30"/>
      <c r="L56" s="24"/>
      <c r="M56" s="24"/>
      <c r="N56" s="28"/>
      <c r="AC56" s="89">
        <v>300</v>
      </c>
      <c r="AD56" s="81">
        <f>[4]Tabelle1!$CI$3</f>
        <v>3.2861033783788615E-2</v>
      </c>
      <c r="AE56" s="38">
        <f t="shared" si="18"/>
        <v>3.5943080214460063E-2</v>
      </c>
      <c r="AF56" s="41">
        <f t="shared" si="19"/>
        <v>34385546.738500133</v>
      </c>
      <c r="AG56" s="24"/>
      <c r="AH56" s="24"/>
      <c r="AI56" s="24"/>
      <c r="AJ56" s="24"/>
      <c r="AK56" s="24"/>
      <c r="AL56" s="28"/>
    </row>
    <row r="57" spans="1:38">
      <c r="K57" s="30"/>
      <c r="L57" s="24"/>
      <c r="M57" s="24"/>
      <c r="N57" s="28"/>
      <c r="AC57" s="89">
        <v>381</v>
      </c>
      <c r="AD57" s="81">
        <f>[4]Tabelle1!$DB$3</f>
        <v>4.1731594514619413E-2</v>
      </c>
      <c r="AE57" s="38">
        <f t="shared" si="18"/>
        <v>4.5645613555111757E-2</v>
      </c>
      <c r="AF57" s="41">
        <f t="shared" si="19"/>
        <v>43667636.967723586</v>
      </c>
      <c r="AG57" s="24"/>
      <c r="AH57" s="24"/>
      <c r="AI57" s="24"/>
      <c r="AJ57" s="24"/>
      <c r="AK57" s="24"/>
      <c r="AL57" s="28"/>
    </row>
    <row r="58" spans="1:38">
      <c r="K58" s="30"/>
      <c r="L58" s="24"/>
      <c r="M58" s="24"/>
      <c r="N58" s="28"/>
      <c r="AC58" s="89"/>
      <c r="AD58" s="81"/>
      <c r="AE58" s="38"/>
      <c r="AF58" s="41"/>
      <c r="AG58" s="24"/>
      <c r="AH58" s="24"/>
      <c r="AI58" s="24"/>
      <c r="AJ58" s="24"/>
      <c r="AK58" s="24"/>
      <c r="AL58" s="28"/>
    </row>
    <row r="59" spans="1:38">
      <c r="K59" s="30"/>
      <c r="L59" s="24"/>
      <c r="M59" s="24"/>
      <c r="N59" s="28"/>
      <c r="AC59" s="89"/>
      <c r="AD59" s="81"/>
      <c r="AE59" s="38"/>
      <c r="AF59" s="41"/>
      <c r="AG59" s="24"/>
      <c r="AH59" s="24"/>
      <c r="AI59" s="24"/>
      <c r="AJ59" s="24"/>
      <c r="AK59" s="24"/>
      <c r="AL59" s="28"/>
    </row>
    <row r="60" spans="1:38" ht="32.5" customHeight="1">
      <c r="K60" s="30" t="s">
        <v>142</v>
      </c>
      <c r="L60" s="21" t="s">
        <v>143</v>
      </c>
      <c r="M60" s="21" t="s">
        <v>116</v>
      </c>
      <c r="N60" s="88" t="s">
        <v>117</v>
      </c>
      <c r="AC60" s="89">
        <v>410</v>
      </c>
      <c r="AD60" s="81">
        <f>[4]Tabelle1!$DJ$3</f>
        <v>1.7896974329197429E-2</v>
      </c>
      <c r="AE60" s="38">
        <f t="shared" si="18"/>
        <v>1.9575537037055186E-2</v>
      </c>
      <c r="AF60" s="41">
        <f t="shared" si="19"/>
        <v>18727263.765449464</v>
      </c>
      <c r="AG60" s="24"/>
      <c r="AH60" s="24"/>
      <c r="AI60" s="24"/>
      <c r="AJ60" s="24"/>
      <c r="AK60" s="24"/>
      <c r="AL60" s="28"/>
    </row>
    <row r="61" spans="1:38">
      <c r="K61" s="89">
        <v>40</v>
      </c>
      <c r="L61" s="81">
        <f>[1]Production!$M$3</f>
        <v>1.5644203761898942E-2</v>
      </c>
      <c r="M61" s="38">
        <f>L61/$L$79</f>
        <v>1.6918802202942555E-2</v>
      </c>
      <c r="N61" s="42">
        <f>$L$9*M61</f>
        <v>42786230.17380242</v>
      </c>
      <c r="AC61" s="89">
        <v>484</v>
      </c>
      <c r="AD61" s="81">
        <f>[4]Tabelle1!$ED$3</f>
        <v>3.9555048195284395E-2</v>
      </c>
      <c r="AE61" s="38">
        <f t="shared" si="18"/>
        <v>4.3264928289362736E-2</v>
      </c>
      <c r="AF61" s="41">
        <f t="shared" si="19"/>
        <v>41390114.730157018</v>
      </c>
      <c r="AG61" s="24"/>
      <c r="AH61" s="24"/>
      <c r="AI61" s="24"/>
      <c r="AJ61" s="24"/>
      <c r="AK61" s="24"/>
      <c r="AL61" s="28"/>
    </row>
    <row r="62" spans="1:38">
      <c r="H62" s="5"/>
      <c r="K62" s="89">
        <v>156</v>
      </c>
      <c r="L62" s="81">
        <f>[1]Production!$AT$3</f>
        <v>0.1311833241913786</v>
      </c>
      <c r="M62" s="38">
        <f t="shared" ref="M62:M78" si="20">L62/$L$79</f>
        <v>0.14187137601236524</v>
      </c>
      <c r="N62" s="42">
        <f t="shared" ref="N62:N78" si="21">$L$9*M62</f>
        <v>358780797.61955005</v>
      </c>
      <c r="AC62" s="89">
        <v>528</v>
      </c>
      <c r="AD62" s="81">
        <f>[4]Tabelle1!$EO$3</f>
        <v>1.9963237948346958E-2</v>
      </c>
      <c r="AE62" s="38">
        <f t="shared" si="18"/>
        <v>2.1835596154366057E-2</v>
      </c>
      <c r="AF62" s="41">
        <f t="shared" si="19"/>
        <v>20889386.987676863</v>
      </c>
      <c r="AG62" s="24"/>
      <c r="AH62" s="24"/>
      <c r="AI62" s="24"/>
      <c r="AJ62" s="24"/>
      <c r="AK62" s="24"/>
      <c r="AL62" s="28"/>
    </row>
    <row r="63" spans="1:38">
      <c r="K63" s="89">
        <v>203</v>
      </c>
      <c r="L63" s="81">
        <f>[1]Production!$BG$3</f>
        <v>3.2495282622736175E-2</v>
      </c>
      <c r="M63" s="38">
        <f t="shared" si="20"/>
        <v>3.5142808645957931E-2</v>
      </c>
      <c r="N63" s="42">
        <f t="shared" si="21"/>
        <v>88873212.278487146</v>
      </c>
      <c r="AC63" s="89">
        <v>608</v>
      </c>
      <c r="AD63" s="81">
        <f>[4]Tabelle1!$FM$3</f>
        <v>1.6515901804842359E-2</v>
      </c>
      <c r="AE63" s="38">
        <f t="shared" si="18"/>
        <v>1.806493329733443E-2</v>
      </c>
      <c r="AF63" s="41">
        <f t="shared" si="19"/>
        <v>17282119.521116607</v>
      </c>
      <c r="AG63" s="24"/>
      <c r="AH63" s="24"/>
      <c r="AI63" s="24"/>
      <c r="AJ63" s="24"/>
      <c r="AK63" s="24"/>
      <c r="AL63" s="28"/>
    </row>
    <row r="64" spans="1:38">
      <c r="F64" s="3"/>
      <c r="K64" s="89">
        <v>208</v>
      </c>
      <c r="L64" s="81">
        <f>[1]Production!$BI$3</f>
        <v>1.1569814271661562E-2</v>
      </c>
      <c r="M64" s="38">
        <f t="shared" si="20"/>
        <v>1.2512455230464438E-2</v>
      </c>
      <c r="N64" s="42">
        <f t="shared" si="21"/>
        <v>31642948.661988512</v>
      </c>
      <c r="AC64" s="89">
        <v>616</v>
      </c>
      <c r="AD64" s="81">
        <f>[4]Tabelle1!$FO$3</f>
        <v>3.2947498009381328E-2</v>
      </c>
      <c r="AE64" s="38">
        <f t="shared" si="18"/>
        <v>3.6037653946272882E-2</v>
      </c>
      <c r="AF64" s="41">
        <f t="shared" si="19"/>
        <v>34476022.275267728</v>
      </c>
      <c r="AG64" s="24"/>
      <c r="AH64" s="24"/>
      <c r="AI64" s="24"/>
      <c r="AJ64" s="24"/>
      <c r="AK64" s="24"/>
      <c r="AL64" s="28"/>
    </row>
    <row r="65" spans="1:38">
      <c r="K65" s="89">
        <v>246</v>
      </c>
      <c r="L65" s="81">
        <f>[1]Production!$BV$3</f>
        <v>1.2331889163932679E-2</v>
      </c>
      <c r="M65" s="38">
        <f t="shared" si="20"/>
        <v>1.3336619538370302E-2</v>
      </c>
      <c r="N65" s="42">
        <f t="shared" si="21"/>
        <v>33727190.995228857</v>
      </c>
      <c r="AC65" s="89">
        <v>620</v>
      </c>
      <c r="AD65" s="81">
        <f>[4]Tabelle1!$FP$3</f>
        <v>2.4119929138602652E-2</v>
      </c>
      <c r="AE65" s="38">
        <f t="shared" si="18"/>
        <v>2.6382144685404837E-2</v>
      </c>
      <c r="AF65" s="41">
        <f t="shared" si="19"/>
        <v>25238918.415703963</v>
      </c>
      <c r="AG65" s="24"/>
      <c r="AH65" s="24"/>
      <c r="AI65" s="24"/>
      <c r="AJ65" s="24"/>
      <c r="AK65" s="24"/>
      <c r="AL65" s="28"/>
    </row>
    <row r="66" spans="1:38">
      <c r="K66" s="89">
        <v>251</v>
      </c>
      <c r="L66" s="81">
        <f>[1]Production!$BW$3</f>
        <v>4.098087535010423E-2</v>
      </c>
      <c r="M66" s="38">
        <f t="shared" si="20"/>
        <v>4.4319757956648928E-2</v>
      </c>
      <c r="N66" s="42">
        <f t="shared" si="21"/>
        <v>112080946.53713652</v>
      </c>
      <c r="AC66" s="89">
        <v>699</v>
      </c>
      <c r="AD66" s="81">
        <f>[4]Tabelle1!$GK$3</f>
        <v>2.3020609826813608E-2</v>
      </c>
      <c r="AE66" s="38">
        <f t="shared" si="18"/>
        <v>2.5179719878415607E-2</v>
      </c>
      <c r="AF66" s="41">
        <f t="shared" si="19"/>
        <v>24088598.683684267</v>
      </c>
      <c r="AG66" s="24"/>
      <c r="AH66" s="24"/>
      <c r="AI66" s="24"/>
      <c r="AJ66" s="24"/>
      <c r="AK66" s="24"/>
      <c r="AL66" s="28"/>
    </row>
    <row r="67" spans="1:38">
      <c r="F67" s="6"/>
      <c r="K67" s="89">
        <v>276</v>
      </c>
      <c r="L67" s="81">
        <f>[1]Production!$CE$3</f>
        <v>4.6087660453415086E-2</v>
      </c>
      <c r="M67" s="38">
        <f t="shared" si="20"/>
        <v>4.9842614112887221E-2</v>
      </c>
      <c r="N67" s="42">
        <f t="shared" si="21"/>
        <v>126047786.02631237</v>
      </c>
      <c r="AC67" s="89">
        <v>704</v>
      </c>
      <c r="AD67" s="81">
        <f>[4]Tabelle1!$GN$3</f>
        <v>0.12357012514859116</v>
      </c>
      <c r="AE67" s="38">
        <f t="shared" si="18"/>
        <v>0.13515980506120923</v>
      </c>
      <c r="AF67" s="41">
        <f t="shared" si="19"/>
        <v>129302880.1752235</v>
      </c>
      <c r="AG67" s="24"/>
      <c r="AH67" s="24"/>
      <c r="AI67" s="24"/>
      <c r="AJ67" s="24"/>
      <c r="AK67" s="24"/>
      <c r="AL67" s="28"/>
    </row>
    <row r="68" spans="1:38">
      <c r="K68" s="89">
        <v>381</v>
      </c>
      <c r="L68" s="81">
        <f>[1]Production!$DB$3</f>
        <v>3.6208706575601685E-2</v>
      </c>
      <c r="M68" s="38">
        <f t="shared" si="20"/>
        <v>3.9158780715256428E-2</v>
      </c>
      <c r="N68" s="42">
        <f t="shared" si="21"/>
        <v>99029268.438224167</v>
      </c>
      <c r="AC68" s="89">
        <v>705</v>
      </c>
      <c r="AD68" s="81">
        <f>[4]Tabelle1!$GO$3</f>
        <v>2.4957034780631923E-2</v>
      </c>
      <c r="AE68" s="38">
        <f t="shared" si="18"/>
        <v>2.7297762722177578E-2</v>
      </c>
      <c r="AF68" s="41">
        <f t="shared" si="19"/>
        <v>26114859.67088322</v>
      </c>
      <c r="AG68" s="24"/>
      <c r="AH68" s="24"/>
      <c r="AI68" s="24"/>
      <c r="AJ68" s="24"/>
      <c r="AK68" s="24"/>
      <c r="AL68" s="28"/>
    </row>
    <row r="69" spans="1:38">
      <c r="K69" s="89">
        <v>392</v>
      </c>
      <c r="L69" s="81">
        <f>[1]Production!$DE$3</f>
        <v>1.3874050117502045E-2</v>
      </c>
      <c r="M69" s="38">
        <f t="shared" si="20"/>
        <v>1.5004426768169151E-2</v>
      </c>
      <c r="N69" s="42">
        <f t="shared" si="21"/>
        <v>37944935.440949395</v>
      </c>
      <c r="AC69" s="89">
        <v>724</v>
      </c>
      <c r="AD69" s="81">
        <f>[4]Tabelle1!$GS$3</f>
        <v>2.1112172797111396E-2</v>
      </c>
      <c r="AE69" s="38">
        <f t="shared" si="18"/>
        <v>2.3092289954751044E-2</v>
      </c>
      <c r="AF69" s="41">
        <f t="shared" si="19"/>
        <v>22091624.056711834</v>
      </c>
      <c r="AG69" s="24"/>
      <c r="AH69" s="24"/>
      <c r="AI69" s="24"/>
      <c r="AJ69" s="24"/>
      <c r="AK69" s="24"/>
      <c r="AL69" s="28"/>
    </row>
    <row r="70" spans="1:38">
      <c r="F70" s="6"/>
      <c r="K70" s="89">
        <v>458</v>
      </c>
      <c r="L70" s="81">
        <f>[1]Production!$DX$3</f>
        <v>1.9964309229092835E-2</v>
      </c>
      <c r="M70" s="38">
        <f t="shared" si="20"/>
        <v>2.1590884656465404E-2</v>
      </c>
      <c r="N70" s="42">
        <f t="shared" si="21"/>
        <v>54601534.404538386</v>
      </c>
      <c r="AC70" s="89">
        <v>764</v>
      </c>
      <c r="AD70" s="81">
        <f>[4]Tabelle1!$HC$3</f>
        <v>1.1463621980498037E-2</v>
      </c>
      <c r="AE70" s="38">
        <f t="shared" si="18"/>
        <v>1.2538798599712945E-2</v>
      </c>
      <c r="AF70" s="41">
        <f t="shared" si="19"/>
        <v>11995450.660392052</v>
      </c>
      <c r="AG70" s="24"/>
      <c r="AH70" s="24"/>
      <c r="AI70" s="24"/>
      <c r="AJ70" s="24"/>
      <c r="AK70" s="24"/>
      <c r="AL70" s="28"/>
    </row>
    <row r="71" spans="1:38">
      <c r="K71" s="89">
        <v>484</v>
      </c>
      <c r="L71" s="81">
        <f>[1]Production!$ED$3</f>
        <v>0.35139651980688613</v>
      </c>
      <c r="M71" s="38">
        <f t="shared" si="20"/>
        <v>0.38002625789715772</v>
      </c>
      <c r="N71" s="42">
        <f t="shared" si="21"/>
        <v>961054497.08778036</v>
      </c>
      <c r="AC71" s="89">
        <v>784</v>
      </c>
      <c r="AD71" s="81">
        <f>[4]Tabelle1!$HH$3</f>
        <v>2.4414818398047641E-2</v>
      </c>
      <c r="AE71" s="38">
        <f t="shared" si="18"/>
        <v>2.6704691698878374E-2</v>
      </c>
      <c r="AF71" s="41">
        <f t="shared" si="19"/>
        <v>25547488.391926982</v>
      </c>
      <c r="AG71" s="24"/>
      <c r="AH71" s="24"/>
      <c r="AI71" s="24"/>
      <c r="AJ71" s="24"/>
      <c r="AK71" s="24"/>
      <c r="AL71" s="28"/>
    </row>
    <row r="72" spans="1:38">
      <c r="K72" s="89">
        <v>642</v>
      </c>
      <c r="L72" s="81">
        <f>[1]Production!$FT$3</f>
        <v>2.486002598663458E-2</v>
      </c>
      <c r="M72" s="38">
        <f t="shared" si="20"/>
        <v>2.6885475849672026E-2</v>
      </c>
      <c r="N72" s="42">
        <f t="shared" si="21"/>
        <v>67991110.968612537</v>
      </c>
      <c r="AC72" s="89">
        <v>826</v>
      </c>
      <c r="AD72" s="81">
        <f>[4]Tabelle1!$HR$3</f>
        <v>2.7350206355332491E-2</v>
      </c>
      <c r="AE72" s="38">
        <f t="shared" si="18"/>
        <v>2.9915390592389731E-2</v>
      </c>
      <c r="AF72" s="41">
        <f t="shared" si="19"/>
        <v>28619057.000052843</v>
      </c>
      <c r="AG72" s="24"/>
      <c r="AH72" s="24"/>
      <c r="AI72" s="24"/>
      <c r="AJ72" s="24"/>
      <c r="AK72" s="24"/>
      <c r="AL72" s="28"/>
    </row>
    <row r="73" spans="1:38">
      <c r="K73" s="89">
        <v>688</v>
      </c>
      <c r="L73" s="81">
        <f>[1]Production!$GH$3</f>
        <v>2.5327889839247855E-2</v>
      </c>
      <c r="M73" s="38">
        <f t="shared" si="20"/>
        <v>2.7391458519084012E-2</v>
      </c>
      <c r="N73" s="42">
        <f t="shared" si="21"/>
        <v>69270698.65441519</v>
      </c>
      <c r="AC73" s="89">
        <v>842</v>
      </c>
      <c r="AD73" s="81">
        <f>[4]Tabelle1!$HT$3</f>
        <v>6.2172549803128752E-2</v>
      </c>
      <c r="AE73" s="38">
        <f t="shared" si="18"/>
        <v>6.8003732305397052E-2</v>
      </c>
      <c r="AF73" s="41">
        <f t="shared" si="19"/>
        <v>65056903.905496515</v>
      </c>
      <c r="AG73" s="24"/>
      <c r="AH73" s="24"/>
      <c r="AI73" s="24"/>
      <c r="AJ73" s="24"/>
      <c r="AK73" s="24"/>
      <c r="AL73" s="28"/>
    </row>
    <row r="74" spans="1:38">
      <c r="K74" s="89">
        <v>699</v>
      </c>
      <c r="L74" s="81">
        <f>[1]Production!$GK$3</f>
        <v>2.3570413606879732E-2</v>
      </c>
      <c r="M74" s="38">
        <f t="shared" si="20"/>
        <v>2.5490793377900778E-2</v>
      </c>
      <c r="N74" s="42">
        <f t="shared" si="21"/>
        <v>64464076.102858633</v>
      </c>
      <c r="AC74" s="90" t="s">
        <v>107</v>
      </c>
      <c r="AD74" s="91">
        <f>SUM(AD53:AD73)</f>
        <v>0.91425202257897964</v>
      </c>
      <c r="AE74" s="74"/>
      <c r="AF74" s="74"/>
      <c r="AG74" s="74"/>
      <c r="AH74" s="74"/>
      <c r="AI74" s="74"/>
      <c r="AJ74" s="74"/>
      <c r="AK74" s="74"/>
      <c r="AL74" s="47"/>
    </row>
    <row r="75" spans="1:38">
      <c r="K75" s="89">
        <v>704</v>
      </c>
      <c r="L75" s="81">
        <f>[1]Production!$GN$3</f>
        <v>1.9892598655613804E-2</v>
      </c>
      <c r="M75" s="38">
        <f t="shared" si="20"/>
        <v>2.1513331523879253E-2</v>
      </c>
      <c r="N75" s="42">
        <f t="shared" si="21"/>
        <v>54405409.044023596</v>
      </c>
    </row>
    <row r="76" spans="1:38">
      <c r="K76" s="89">
        <v>724</v>
      </c>
      <c r="L76" s="81">
        <f>[1]Production!$GS$3</f>
        <v>4.3176418234562988E-2</v>
      </c>
      <c r="M76" s="38">
        <f t="shared" si="20"/>
        <v>4.6694180864684916E-2</v>
      </c>
      <c r="N76" s="42">
        <f t="shared" si="21"/>
        <v>118085662.70170684</v>
      </c>
    </row>
    <row r="77" spans="1:38">
      <c r="K77" s="89">
        <v>826</v>
      </c>
      <c r="L77" s="81">
        <f>[1]Production!$HR$3</f>
        <v>2.0995019802817486E-2</v>
      </c>
      <c r="M77" s="38">
        <f t="shared" si="20"/>
        <v>2.270557151370256E-2</v>
      </c>
      <c r="N77" s="42">
        <f t="shared" si="21"/>
        <v>57420483.871136352</v>
      </c>
    </row>
    <row r="78" spans="1:38">
      <c r="K78" s="89">
        <v>842</v>
      </c>
      <c r="L78" s="81">
        <f>[1]Production!$HT$3</f>
        <v>5.5104788014747198E-2</v>
      </c>
      <c r="M78" s="38">
        <f t="shared" si="20"/>
        <v>5.9594404614391257E-2</v>
      </c>
      <c r="N78" s="42">
        <f t="shared" si="21"/>
        <v>150709245.38964033</v>
      </c>
    </row>
    <row r="79" spans="1:38">
      <c r="K79" s="90" t="s">
        <v>107</v>
      </c>
      <c r="L79" s="91">
        <f>SUM(L61:L78)</f>
        <v>0.92466378968471352</v>
      </c>
      <c r="M79" s="74"/>
      <c r="N79" s="47"/>
    </row>
    <row r="80" spans="1:38">
      <c r="A80" s="1" t="s">
        <v>558</v>
      </c>
    </row>
    <row r="81" spans="1:1">
      <c r="A81" s="56" t="s">
        <v>623</v>
      </c>
    </row>
    <row r="82" spans="1:1">
      <c r="A82" s="57" t="s">
        <v>621</v>
      </c>
    </row>
    <row r="83" spans="1:1">
      <c r="A83" t="s">
        <v>559</v>
      </c>
    </row>
    <row r="84" spans="1:1">
      <c r="A84" t="s">
        <v>560</v>
      </c>
    </row>
    <row r="85" spans="1:1">
      <c r="A85" t="s">
        <v>561</v>
      </c>
    </row>
    <row r="86" spans="1:1">
      <c r="A86" t="s">
        <v>562</v>
      </c>
    </row>
    <row r="87" spans="1:1">
      <c r="A87" t="s">
        <v>563</v>
      </c>
    </row>
    <row r="88" spans="1:1">
      <c r="A88" t="s">
        <v>564</v>
      </c>
    </row>
    <row r="89" spans="1:1">
      <c r="A89" t="s">
        <v>565</v>
      </c>
    </row>
    <row r="90" spans="1:1">
      <c r="A90" t="s">
        <v>566</v>
      </c>
    </row>
    <row r="91" spans="1:1">
      <c r="A91" t="s">
        <v>567</v>
      </c>
    </row>
    <row r="92" spans="1:1">
      <c r="A92" t="s">
        <v>568</v>
      </c>
    </row>
    <row r="93" spans="1:1">
      <c r="A93" t="s">
        <v>569</v>
      </c>
    </row>
    <row r="94" spans="1:1">
      <c r="A94" t="s">
        <v>570</v>
      </c>
    </row>
    <row r="95" spans="1:1">
      <c r="A95" t="s">
        <v>571</v>
      </c>
    </row>
    <row r="96" spans="1:1">
      <c r="A96" t="s">
        <v>572</v>
      </c>
    </row>
    <row r="97" spans="1:1">
      <c r="A97" t="s">
        <v>573</v>
      </c>
    </row>
    <row r="98" spans="1:1">
      <c r="A98" t="s">
        <v>574</v>
      </c>
    </row>
    <row r="99" spans="1:1">
      <c r="A99" t="s">
        <v>575</v>
      </c>
    </row>
    <row r="100" spans="1:1">
      <c r="A100" t="s">
        <v>576</v>
      </c>
    </row>
    <row r="101" spans="1:1">
      <c r="A101" t="s">
        <v>577</v>
      </c>
    </row>
    <row r="102" spans="1:1">
      <c r="A102" t="s">
        <v>578</v>
      </c>
    </row>
    <row r="103" spans="1:1">
      <c r="A103" t="s">
        <v>579</v>
      </c>
    </row>
    <row r="104" spans="1:1">
      <c r="A104" t="s">
        <v>580</v>
      </c>
    </row>
    <row r="105" spans="1:1">
      <c r="A105" t="s">
        <v>581</v>
      </c>
    </row>
    <row r="106" spans="1:1">
      <c r="A106" t="s">
        <v>582</v>
      </c>
    </row>
    <row r="107" spans="1:1">
      <c r="A107" t="s">
        <v>583</v>
      </c>
    </row>
    <row r="108" spans="1:1">
      <c r="A108" t="s">
        <v>584</v>
      </c>
    </row>
    <row r="109" spans="1:1">
      <c r="A109" t="s">
        <v>585</v>
      </c>
    </row>
    <row r="110" spans="1:1">
      <c r="A110" t="s">
        <v>586</v>
      </c>
    </row>
    <row r="111" spans="1:1">
      <c r="A111" t="s">
        <v>587</v>
      </c>
    </row>
    <row r="112" spans="1:1">
      <c r="A112" t="s">
        <v>588</v>
      </c>
    </row>
    <row r="113" spans="1:1">
      <c r="A113" t="s">
        <v>589</v>
      </c>
    </row>
    <row r="114" spans="1:1">
      <c r="A114" t="s">
        <v>590</v>
      </c>
    </row>
    <row r="115" spans="1:1">
      <c r="A115" t="s">
        <v>591</v>
      </c>
    </row>
    <row r="116" spans="1:1">
      <c r="A116" t="s">
        <v>592</v>
      </c>
    </row>
    <row r="117" spans="1:1">
      <c r="A117" t="s">
        <v>593</v>
      </c>
    </row>
    <row r="118" spans="1:1">
      <c r="A118" t="s">
        <v>594</v>
      </c>
    </row>
    <row r="119" spans="1:1">
      <c r="A119" t="s">
        <v>595</v>
      </c>
    </row>
    <row r="120" spans="1:1">
      <c r="A120" t="s">
        <v>596</v>
      </c>
    </row>
    <row r="121" spans="1:1">
      <c r="A121" t="s">
        <v>597</v>
      </c>
    </row>
    <row r="122" spans="1:1">
      <c r="A122" t="s">
        <v>598</v>
      </c>
    </row>
    <row r="123" spans="1:1">
      <c r="A123" t="s">
        <v>599</v>
      </c>
    </row>
    <row r="124" spans="1:1">
      <c r="A124" t="s">
        <v>600</v>
      </c>
    </row>
    <row r="125" spans="1:1">
      <c r="A125" t="s">
        <v>601</v>
      </c>
    </row>
    <row r="126" spans="1:1">
      <c r="A126" t="s">
        <v>602</v>
      </c>
    </row>
    <row r="127" spans="1:1">
      <c r="A127" t="s">
        <v>603</v>
      </c>
    </row>
    <row r="128" spans="1:1">
      <c r="A128" t="s">
        <v>604</v>
      </c>
    </row>
    <row r="129" spans="1:1">
      <c r="A129" t="s">
        <v>605</v>
      </c>
    </row>
    <row r="130" spans="1:1">
      <c r="A130" t="s">
        <v>606</v>
      </c>
    </row>
  </sheetData>
  <mergeCells count="6">
    <mergeCell ref="A13:D13"/>
    <mergeCell ref="F14:I14"/>
    <mergeCell ref="K13:N13"/>
    <mergeCell ref="AI35:AL35"/>
    <mergeCell ref="A30:D30"/>
    <mergeCell ref="Y14:Y15"/>
  </mergeCells>
  <hyperlinks>
    <hyperlink ref="S11" r:id="rId1" display="https://www.frontiersin.org/articles/10.3389/fenrg.2020.601067/full, "/>
    <hyperlink ref="D6" r:id="rId2" display="https://letsavelectricity.com/what-is-the-size-of-a-solar-panel-weight-of-a-solar-panel/ (determined by dividing the solar panel weight by the watt amount)"/>
  </hyperlinks>
  <pageMargins left="0.7" right="0.7" top="0.78740157499999996" bottom="0.78740157499999996"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2"/>
  <sheetViews>
    <sheetView topLeftCell="A85" workbookViewId="0">
      <selection activeCell="C92" sqref="C92"/>
    </sheetView>
  </sheetViews>
  <sheetFormatPr baseColWidth="10" defaultRowHeight="16"/>
  <cols>
    <col min="1" max="1" width="28.81640625" customWidth="1"/>
    <col min="2" max="2" width="25.453125" customWidth="1"/>
    <col min="4" max="4" width="24.7265625" customWidth="1"/>
    <col min="6" max="6" width="17.453125" customWidth="1"/>
    <col min="7" max="7" width="32.26953125" customWidth="1"/>
    <col min="8" max="8" width="17.453125" customWidth="1"/>
    <col min="9" max="9" width="19.26953125" customWidth="1"/>
    <col min="10" max="10" width="23.7265625" customWidth="1"/>
    <col min="13" max="13" width="23.1796875" customWidth="1"/>
    <col min="18" max="18" width="21.453125" customWidth="1"/>
  </cols>
  <sheetData>
    <row r="1" spans="1:9" ht="17.5">
      <c r="A1" s="15" t="s">
        <v>185</v>
      </c>
    </row>
    <row r="3" spans="1:9">
      <c r="A3" s="1" t="s">
        <v>144</v>
      </c>
    </row>
    <row r="4" spans="1:9" ht="32">
      <c r="A4" s="29" t="s">
        <v>0</v>
      </c>
      <c r="B4" s="17" t="s">
        <v>1</v>
      </c>
      <c r="C4" s="17" t="s">
        <v>145</v>
      </c>
      <c r="D4" s="17" t="s">
        <v>3</v>
      </c>
      <c r="E4" s="17"/>
      <c r="F4" s="55" t="s">
        <v>285</v>
      </c>
      <c r="G4" s="48" t="s">
        <v>143</v>
      </c>
      <c r="H4" s="48" t="s">
        <v>116</v>
      </c>
      <c r="I4" s="49" t="s">
        <v>117</v>
      </c>
    </row>
    <row r="5" spans="1:9" ht="48">
      <c r="A5" s="30" t="s">
        <v>146</v>
      </c>
      <c r="B5" s="50">
        <f>'[5]Weight%'!$B$23</f>
        <v>0.68253552279922136</v>
      </c>
      <c r="C5" s="24" t="s">
        <v>634</v>
      </c>
      <c r="D5" s="67" t="s">
        <v>147</v>
      </c>
      <c r="E5" s="24"/>
      <c r="F5" s="99">
        <v>56</v>
      </c>
      <c r="G5" s="81">
        <f>[6]Tabelle1!$S$3</f>
        <v>2.5525374487190691E-2</v>
      </c>
      <c r="H5" s="38">
        <f>G5/$G$18</f>
        <v>2.8553812047365103E-2</v>
      </c>
      <c r="I5" s="42">
        <f>H5*$B$6</f>
        <v>224513176.7077522</v>
      </c>
    </row>
    <row r="6" spans="1:9">
      <c r="A6" s="30" t="s">
        <v>148</v>
      </c>
      <c r="B6" s="24">
        <f>data_1tier!B7*B5</f>
        <v>7862809222.6470299</v>
      </c>
      <c r="C6" s="24" t="s">
        <v>8</v>
      </c>
      <c r="D6" s="24"/>
      <c r="E6" s="24"/>
      <c r="F6" s="99">
        <v>156</v>
      </c>
      <c r="G6" s="81">
        <f>[6]Tabelle1!$AT$3</f>
        <v>0.48512831849185623</v>
      </c>
      <c r="H6" s="38">
        <f t="shared" ref="H6:H17" si="0">G6/$G$18</f>
        <v>0.54268597830061893</v>
      </c>
      <c r="I6" s="42">
        <f t="shared" ref="I6:I17" si="1">H6*$B$6</f>
        <v>4267036315.1833324</v>
      </c>
    </row>
    <row r="7" spans="1:9">
      <c r="A7" s="30" t="s">
        <v>149</v>
      </c>
      <c r="B7" s="24">
        <f>B5*data_1tier!B8</f>
        <v>41716571153.488411</v>
      </c>
      <c r="C7" s="24" t="s">
        <v>8</v>
      </c>
      <c r="D7" s="24"/>
      <c r="E7" s="24"/>
      <c r="F7" s="99">
        <v>203</v>
      </c>
      <c r="G7" s="81">
        <f>[6]Tabelle1!$BG$3</f>
        <v>1.8538949192189069E-2</v>
      </c>
      <c r="H7" s="38">
        <f t="shared" si="0"/>
        <v>2.073848793305906E-2</v>
      </c>
      <c r="I7" s="42">
        <f t="shared" si="1"/>
        <v>163062774.18381092</v>
      </c>
    </row>
    <row r="8" spans="1:9">
      <c r="A8" s="30"/>
      <c r="B8" s="24"/>
      <c r="C8" s="24"/>
      <c r="D8" s="24"/>
      <c r="E8" s="24"/>
      <c r="F8" s="99">
        <v>251</v>
      </c>
      <c r="G8" s="81">
        <f>[6]Tabelle1!$BW$3</f>
        <v>2.1907444532119295E-2</v>
      </c>
      <c r="H8" s="38">
        <f t="shared" si="0"/>
        <v>2.4506635697827812E-2</v>
      </c>
      <c r="I8" s="42">
        <f t="shared" si="1"/>
        <v>192691001.18093145</v>
      </c>
    </row>
    <row r="9" spans="1:9">
      <c r="A9" s="30"/>
      <c r="B9" s="24"/>
      <c r="C9" s="24"/>
      <c r="D9" s="24"/>
      <c r="E9" s="24"/>
      <c r="F9" s="99">
        <v>276</v>
      </c>
      <c r="G9" s="81">
        <f>[6]Tabelle1!$CE$3</f>
        <v>7.6485482248470418E-2</v>
      </c>
      <c r="H9" s="38">
        <f t="shared" si="0"/>
        <v>8.5560040875046484E-2</v>
      </c>
      <c r="I9" s="42">
        <f t="shared" si="1"/>
        <v>672742278.48237228</v>
      </c>
    </row>
    <row r="10" spans="1:9">
      <c r="A10" s="30"/>
      <c r="B10" s="24"/>
      <c r="C10" s="24"/>
      <c r="D10" s="24"/>
      <c r="E10" s="24"/>
      <c r="F10" s="99">
        <v>381</v>
      </c>
      <c r="G10" s="81">
        <f>[6]Tabelle1!$DB$3</f>
        <v>2.4608021230859527E-2</v>
      </c>
      <c r="H10" s="38">
        <f t="shared" si="0"/>
        <v>2.7527620150534629E-2</v>
      </c>
      <c r="I10" s="42">
        <f t="shared" si="1"/>
        <v>216444425.59714791</v>
      </c>
    </row>
    <row r="11" spans="1:9">
      <c r="A11" s="30"/>
      <c r="B11" s="24"/>
      <c r="C11" s="24"/>
      <c r="D11" s="24"/>
      <c r="E11" s="24"/>
      <c r="F11" s="99">
        <v>442</v>
      </c>
      <c r="G11" s="81">
        <f>[6]Tabelle1!$DT$3</f>
        <v>1.9060782368536647E-2</v>
      </c>
      <c r="H11" s="38">
        <f t="shared" si="0"/>
        <v>2.1322233587603157E-2</v>
      </c>
      <c r="I11" s="42">
        <f t="shared" si="1"/>
        <v>167652654.90004036</v>
      </c>
    </row>
    <row r="12" spans="1:9">
      <c r="A12" s="30"/>
      <c r="B12" s="24"/>
      <c r="C12" s="24"/>
      <c r="D12" s="24"/>
      <c r="E12" s="24"/>
      <c r="F12" s="99">
        <v>458</v>
      </c>
      <c r="G12" s="81">
        <f>[6]Tabelle1!$DX$3</f>
        <v>9.2639066168423254E-2</v>
      </c>
      <c r="H12" s="38">
        <f t="shared" si="0"/>
        <v>0.10363015378849809</v>
      </c>
      <c r="I12" s="42">
        <f t="shared" si="1"/>
        <v>814824128.95253277</v>
      </c>
    </row>
    <row r="13" spans="1:9">
      <c r="A13" s="30"/>
      <c r="B13" s="24"/>
      <c r="C13" s="24"/>
      <c r="D13" s="24"/>
      <c r="E13" s="24"/>
      <c r="F13" s="99">
        <v>528</v>
      </c>
      <c r="G13" s="81">
        <f>[6]Tabelle1!$EO$3</f>
        <v>1.7677543015962256E-2</v>
      </c>
      <c r="H13" s="38">
        <f t="shared" si="0"/>
        <v>1.9774880912728644E-2</v>
      </c>
      <c r="I13" s="42">
        <f t="shared" si="1"/>
        <v>155486116.01734951</v>
      </c>
    </row>
    <row r="14" spans="1:9">
      <c r="A14" s="30"/>
      <c r="B14" s="24"/>
      <c r="C14" s="24"/>
      <c r="D14" s="24"/>
      <c r="E14" s="24"/>
      <c r="F14" s="99">
        <v>616</v>
      </c>
      <c r="G14" s="81">
        <f>[6]Tabelle1!$FO$3</f>
        <v>2.8862205465434575E-2</v>
      </c>
      <c r="H14" s="38">
        <f t="shared" si="0"/>
        <v>3.2286538657680455E-2</v>
      </c>
      <c r="I14" s="42">
        <f t="shared" si="1"/>
        <v>253862893.92495975</v>
      </c>
    </row>
    <row r="15" spans="1:9">
      <c r="A15" s="30"/>
      <c r="B15" s="24"/>
      <c r="C15" s="24"/>
      <c r="D15" s="24"/>
      <c r="E15" s="24"/>
      <c r="F15" s="99">
        <v>724</v>
      </c>
      <c r="G15" s="81">
        <f>[6]Tabelle1!$GS$3</f>
        <v>1.3867375172107952E-2</v>
      </c>
      <c r="H15" s="38">
        <f t="shared" si="0"/>
        <v>1.5512658764453161E-2</v>
      </c>
      <c r="I15" s="42">
        <f t="shared" si="1"/>
        <v>121973076.40091859</v>
      </c>
    </row>
    <row r="16" spans="1:9">
      <c r="A16" s="30"/>
      <c r="B16" s="24"/>
      <c r="C16" s="24"/>
      <c r="D16" s="24"/>
      <c r="E16" s="24"/>
      <c r="F16" s="99">
        <v>792</v>
      </c>
      <c r="G16" s="81">
        <f>[6]Tabelle1!$HJ$3</f>
        <v>2.743070534290434E-2</v>
      </c>
      <c r="H16" s="38">
        <f t="shared" si="0"/>
        <v>3.0685199352550162E-2</v>
      </c>
      <c r="I16" s="42">
        <f t="shared" si="1"/>
        <v>241271868.46799409</v>
      </c>
    </row>
    <row r="17" spans="1:9">
      <c r="A17" s="30"/>
      <c r="B17" s="24"/>
      <c r="C17" s="24"/>
      <c r="D17" s="24"/>
      <c r="E17" s="24"/>
      <c r="F17" s="99">
        <v>842</v>
      </c>
      <c r="G17" s="81">
        <f>[6]Tabelle1!$HT$3</f>
        <v>4.2208022941500056E-2</v>
      </c>
      <c r="H17" s="38">
        <f t="shared" si="0"/>
        <v>4.7215759932034231E-2</v>
      </c>
      <c r="I17" s="42">
        <f t="shared" si="1"/>
        <v>371248512.64788687</v>
      </c>
    </row>
    <row r="18" spans="1:9">
      <c r="A18" s="90"/>
      <c r="B18" s="74"/>
      <c r="C18" s="74"/>
      <c r="D18" s="74"/>
      <c r="E18" s="74"/>
      <c r="F18" s="74" t="s">
        <v>107</v>
      </c>
      <c r="G18" s="91">
        <f>SUM(G5:G17)</f>
        <v>0.8939392906575544</v>
      </c>
      <c r="H18" s="74"/>
      <c r="I18" s="47"/>
    </row>
    <row r="20" spans="1:9">
      <c r="A20" s="1" t="s">
        <v>150</v>
      </c>
    </row>
    <row r="21" spans="1:9" ht="32">
      <c r="A21" s="29" t="s">
        <v>0</v>
      </c>
      <c r="B21" s="17" t="s">
        <v>1</v>
      </c>
      <c r="C21" s="17" t="s">
        <v>145</v>
      </c>
      <c r="D21" s="17" t="s">
        <v>3</v>
      </c>
      <c r="E21" s="17"/>
      <c r="F21" s="55" t="s">
        <v>285</v>
      </c>
      <c r="G21" s="48" t="s">
        <v>143</v>
      </c>
      <c r="H21" s="48" t="s">
        <v>116</v>
      </c>
      <c r="I21" s="49" t="s">
        <v>117</v>
      </c>
    </row>
    <row r="22" spans="1:9" ht="48">
      <c r="A22" s="30" t="s">
        <v>151</v>
      </c>
      <c r="B22" s="50">
        <f>'[5]Weight%'!$B$24</f>
        <v>4.2996091231695878E-2</v>
      </c>
      <c r="C22" s="24" t="s">
        <v>634</v>
      </c>
      <c r="D22" s="67" t="s">
        <v>147</v>
      </c>
      <c r="E22" s="24"/>
      <c r="F22" s="99">
        <v>156</v>
      </c>
      <c r="G22" s="81">
        <f>[7]Tabelle1!$AT$3</f>
        <v>0.57796903265995181</v>
      </c>
      <c r="H22" s="38">
        <f>G22/$G$27</f>
        <v>0.58348833184242233</v>
      </c>
      <c r="I22" s="42">
        <f>$B$23*H22</f>
        <v>289010506.15902907</v>
      </c>
    </row>
    <row r="23" spans="1:9">
      <c r="A23" s="30" t="s">
        <v>152</v>
      </c>
      <c r="B23" s="24">
        <f>B22*data_1tier!B7</f>
        <v>495314970.98913652</v>
      </c>
      <c r="C23" s="24" t="s">
        <v>8</v>
      </c>
      <c r="D23" s="24"/>
      <c r="E23" s="24"/>
      <c r="F23" s="99">
        <v>458</v>
      </c>
      <c r="G23" s="81">
        <f>[7]Tabelle1!$DX$3</f>
        <v>0.15023126890838875</v>
      </c>
      <c r="H23" s="38">
        <f t="shared" ref="H23:H26" si="2">G23/$G$27</f>
        <v>0.15166589822728416</v>
      </c>
      <c r="I23" s="42">
        <f t="shared" ref="I23:I26" si="3">$B$23*H23</f>
        <v>75122389.980488583</v>
      </c>
    </row>
    <row r="24" spans="1:9">
      <c r="A24" s="30" t="s">
        <v>153</v>
      </c>
      <c r="B24" s="24">
        <f>B22*data_1tier!B8</f>
        <v>2627921096.0812521</v>
      </c>
      <c r="C24" s="24" t="s">
        <v>8</v>
      </c>
      <c r="D24" s="24"/>
      <c r="E24" s="24"/>
      <c r="F24" s="99">
        <v>608</v>
      </c>
      <c r="G24" s="81">
        <f>[7]Tabelle1!$FM$3</f>
        <v>5.0975632229974546E-2</v>
      </c>
      <c r="H24" s="38">
        <f t="shared" si="2"/>
        <v>5.1462422610417558E-2</v>
      </c>
      <c r="I24" s="42">
        <f t="shared" si="3"/>
        <v>25490108.362309657</v>
      </c>
    </row>
    <row r="25" spans="1:9">
      <c r="A25" s="30"/>
      <c r="B25" s="24"/>
      <c r="C25" s="24"/>
      <c r="D25" s="24"/>
      <c r="E25" s="24"/>
      <c r="F25" s="99">
        <v>702</v>
      </c>
      <c r="G25" s="81">
        <f>[7]Tabelle1!$GL$3</f>
        <v>0.16208152920156629</v>
      </c>
      <c r="H25" s="38">
        <f t="shared" si="2"/>
        <v>0.16362932225113286</v>
      </c>
      <c r="I25" s="42">
        <f t="shared" si="3"/>
        <v>81048053.003791943</v>
      </c>
    </row>
    <row r="26" spans="1:9">
      <c r="A26" s="30"/>
      <c r="B26" s="24"/>
      <c r="C26" s="24"/>
      <c r="D26" s="24"/>
      <c r="E26" s="24"/>
      <c r="F26" s="99">
        <v>842</v>
      </c>
      <c r="G26" s="81">
        <f>[7]Tabelle1!$HT$3</f>
        <v>4.92833946638137E-2</v>
      </c>
      <c r="H26" s="38">
        <f t="shared" si="2"/>
        <v>4.9754025068743019E-2</v>
      </c>
      <c r="I26" s="42">
        <f t="shared" si="3"/>
        <v>24643913.483517218</v>
      </c>
    </row>
    <row r="27" spans="1:9">
      <c r="A27" s="90"/>
      <c r="B27" s="74"/>
      <c r="C27" s="74"/>
      <c r="D27" s="74"/>
      <c r="E27" s="74"/>
      <c r="F27" s="74" t="s">
        <v>107</v>
      </c>
      <c r="G27" s="91">
        <f>SUM(G22:G26)</f>
        <v>0.99054085766369515</v>
      </c>
      <c r="H27" s="74"/>
      <c r="I27" s="47"/>
    </row>
    <row r="29" spans="1:9">
      <c r="A29" s="1" t="s">
        <v>154</v>
      </c>
    </row>
    <row r="30" spans="1:9" ht="32">
      <c r="A30" s="29" t="s">
        <v>0</v>
      </c>
      <c r="B30" s="17" t="s">
        <v>1</v>
      </c>
      <c r="C30" s="17" t="s">
        <v>145</v>
      </c>
      <c r="D30" s="17" t="s">
        <v>3</v>
      </c>
      <c r="E30" s="17"/>
      <c r="F30" s="55" t="s">
        <v>285</v>
      </c>
      <c r="G30" s="48" t="s">
        <v>143</v>
      </c>
      <c r="H30" s="48" t="s">
        <v>116</v>
      </c>
      <c r="I30" s="49" t="s">
        <v>117</v>
      </c>
    </row>
    <row r="31" spans="1:9" ht="48">
      <c r="A31" s="30" t="s">
        <v>157</v>
      </c>
      <c r="B31" s="50">
        <f>'[5]Weight%'!$B$27</f>
        <v>0.30199999999999999</v>
      </c>
      <c r="C31" s="24" t="s">
        <v>634</v>
      </c>
      <c r="D31" s="67" t="s">
        <v>147</v>
      </c>
      <c r="E31" s="24"/>
      <c r="F31" s="99">
        <v>48</v>
      </c>
      <c r="G31" s="81">
        <f>[8]Tabelle1!$O$3</f>
        <v>2.4760252435285943E-2</v>
      </c>
      <c r="H31" s="38">
        <f>G31/$G$47</f>
        <v>2.679219378567432E-2</v>
      </c>
      <c r="I31" s="42">
        <f>H31*$B$32</f>
        <v>10288529.76559392</v>
      </c>
    </row>
    <row r="32" spans="1:9">
      <c r="A32" s="30" t="s">
        <v>155</v>
      </c>
      <c r="B32" s="41">
        <f>B31*data_1tier!G9</f>
        <v>384012218.18181819</v>
      </c>
      <c r="C32" s="24" t="s">
        <v>8</v>
      </c>
      <c r="D32" s="24"/>
      <c r="E32" s="24"/>
      <c r="F32" s="99">
        <v>56</v>
      </c>
      <c r="G32" s="81">
        <f>[8]Tabelle1!$S$3</f>
        <v>9.167298528830585E-2</v>
      </c>
      <c r="H32" s="38">
        <f t="shared" ref="H32:H46" si="4">G32/$G$47</f>
        <v>9.9196096371591658E-2</v>
      </c>
      <c r="I32" s="42">
        <f t="shared" ref="I32:I46" si="5">H32*$B$32</f>
        <v>38092513.00263232</v>
      </c>
    </row>
    <row r="33" spans="1:9">
      <c r="A33" s="30" t="s">
        <v>156</v>
      </c>
      <c r="B33" s="24">
        <f>B31*data_1tier!G10</f>
        <v>2969281570.909091</v>
      </c>
      <c r="C33" s="24" t="s">
        <v>8</v>
      </c>
      <c r="D33" s="24"/>
      <c r="E33" s="24"/>
      <c r="F33" s="99">
        <v>156</v>
      </c>
      <c r="G33" s="81">
        <f>[8]Tabelle1!$AT$3</f>
        <v>0.29093350403397356</v>
      </c>
      <c r="H33" s="38">
        <f t="shared" si="4"/>
        <v>0.31480885904519912</v>
      </c>
      <c r="I33" s="42">
        <f t="shared" si="5"/>
        <v>120890448.26523425</v>
      </c>
    </row>
    <row r="34" spans="1:9">
      <c r="A34" s="30"/>
      <c r="B34" s="24"/>
      <c r="C34" s="24"/>
      <c r="D34" s="24"/>
      <c r="E34" s="24"/>
      <c r="F34" s="99">
        <v>203</v>
      </c>
      <c r="G34" s="81">
        <f>[8]Tabelle1!$BG$3</f>
        <v>1.8718680046438473E-2</v>
      </c>
      <c r="H34" s="38">
        <f t="shared" si="4"/>
        <v>2.0254821897595206E-2</v>
      </c>
      <c r="I34" s="42">
        <f t="shared" si="5"/>
        <v>7778099.0857731989</v>
      </c>
    </row>
    <row r="35" spans="1:9">
      <c r="A35" s="30"/>
      <c r="B35" s="24"/>
      <c r="C35" s="24"/>
      <c r="D35" s="24"/>
      <c r="E35" s="24"/>
      <c r="F35" s="99">
        <v>251</v>
      </c>
      <c r="G35" s="81">
        <f>[8]Tabelle1!$BW$3</f>
        <v>4.5077311494064055E-2</v>
      </c>
      <c r="H35" s="38">
        <f t="shared" si="4"/>
        <v>4.8776565103392948E-2</v>
      </c>
      <c r="I35" s="42">
        <f t="shared" si="5"/>
        <v>18730796.960643791</v>
      </c>
    </row>
    <row r="36" spans="1:9">
      <c r="A36" s="30"/>
      <c r="B36" s="24"/>
      <c r="C36" s="24"/>
      <c r="D36" s="24"/>
      <c r="E36" s="24"/>
      <c r="F36" s="99">
        <v>276</v>
      </c>
      <c r="G36" s="81">
        <f>[8]Tabelle1!$CE$3</f>
        <v>1.8865901209552803E-2</v>
      </c>
      <c r="H36" s="38">
        <f t="shared" si="4"/>
        <v>2.041412471334075E-2</v>
      </c>
      <c r="I36" s="42">
        <f t="shared" si="5"/>
        <v>7839273.3134102551</v>
      </c>
    </row>
    <row r="37" spans="1:9">
      <c r="A37" s="30"/>
      <c r="B37" s="24"/>
      <c r="C37" s="24"/>
      <c r="D37" s="24"/>
      <c r="E37" s="24"/>
      <c r="F37" s="99">
        <v>392</v>
      </c>
      <c r="G37" s="81">
        <f>[8]Tabelle1!$DE$3</f>
        <v>1.5097533656423528E-2</v>
      </c>
      <c r="H37" s="38">
        <f t="shared" si="4"/>
        <v>1.6336507411054916E-2</v>
      </c>
      <c r="I37" s="42">
        <f t="shared" si="5"/>
        <v>6273418.4482629104</v>
      </c>
    </row>
    <row r="38" spans="1:9">
      <c r="A38" s="30"/>
      <c r="B38" s="24"/>
      <c r="C38" s="24"/>
      <c r="D38" s="24"/>
      <c r="E38" s="24"/>
      <c r="F38" s="99">
        <v>410</v>
      </c>
      <c r="G38" s="81">
        <f>[8]Tabelle1!$DJ$3</f>
        <v>1.443181909149968E-2</v>
      </c>
      <c r="H38" s="38">
        <f t="shared" si="4"/>
        <v>1.5616161216039251E-2</v>
      </c>
      <c r="I38" s="42">
        <f t="shared" si="5"/>
        <v>5996796.7080561118</v>
      </c>
    </row>
    <row r="39" spans="1:9">
      <c r="A39" s="30"/>
      <c r="B39" s="24"/>
      <c r="C39" s="24"/>
      <c r="D39" s="24"/>
      <c r="E39" s="24"/>
      <c r="F39" s="99">
        <v>458</v>
      </c>
      <c r="G39" s="81">
        <f>[8]Tabelle1!$DX$3</f>
        <v>0.11615697761754298</v>
      </c>
      <c r="H39" s="38">
        <f t="shared" si="4"/>
        <v>0.12568935886341687</v>
      </c>
      <c r="I39" s="42">
        <f t="shared" si="5"/>
        <v>48266249.498991281</v>
      </c>
    </row>
    <row r="40" spans="1:9">
      <c r="A40" s="30"/>
      <c r="B40" s="24"/>
      <c r="C40" s="24"/>
      <c r="D40" s="24"/>
      <c r="E40" s="24"/>
      <c r="F40" s="99">
        <v>484</v>
      </c>
      <c r="G40" s="81">
        <f>[8]Tabelle1!$ED$3</f>
        <v>5.3336426342390691E-2</v>
      </c>
      <c r="H40" s="38">
        <f t="shared" si="4"/>
        <v>5.7713461287826055E-2</v>
      </c>
      <c r="I40" s="42">
        <f t="shared" si="5"/>
        <v>22162674.288088575</v>
      </c>
    </row>
    <row r="41" spans="1:9">
      <c r="A41" s="30"/>
      <c r="B41" s="24"/>
      <c r="C41" s="24"/>
      <c r="D41" s="24"/>
      <c r="E41" s="24"/>
      <c r="F41" s="99">
        <v>528</v>
      </c>
      <c r="G41" s="81">
        <f>[8]Tabelle1!$EO$3</f>
        <v>3.1265809343587317E-2</v>
      </c>
      <c r="H41" s="38">
        <f t="shared" si="4"/>
        <v>3.3831626918534863E-2</v>
      </c>
      <c r="I41" s="42">
        <f t="shared" si="5"/>
        <v>12991758.097686283</v>
      </c>
    </row>
    <row r="42" spans="1:9">
      <c r="A42" s="30"/>
      <c r="B42" s="24"/>
      <c r="C42" s="24"/>
      <c r="D42" s="24"/>
      <c r="E42" s="24"/>
      <c r="F42" s="99">
        <v>579</v>
      </c>
      <c r="G42" s="81">
        <f>[8]Tabelle1!$FB$3</f>
        <v>1.8055909661317503E-2</v>
      </c>
      <c r="H42" s="38">
        <f t="shared" si="4"/>
        <v>1.9537661495455633E-2</v>
      </c>
      <c r="I42" s="42">
        <f t="shared" si="5"/>
        <v>7502700.7289554169</v>
      </c>
    </row>
    <row r="43" spans="1:9">
      <c r="A43" s="30"/>
      <c r="B43" s="24"/>
      <c r="C43" s="24"/>
      <c r="D43" s="24"/>
      <c r="E43" s="24"/>
      <c r="F43" s="99">
        <v>703</v>
      </c>
      <c r="G43" s="81">
        <f>[8]Tabelle1!$GM$3</f>
        <v>4.7209736766789814E-2</v>
      </c>
      <c r="H43" s="38">
        <f t="shared" si="4"/>
        <v>5.1083987101196104E-2</v>
      </c>
      <c r="I43" s="42">
        <f t="shared" si="5"/>
        <v>19616875.200301703</v>
      </c>
    </row>
    <row r="44" spans="1:9">
      <c r="A44" s="30"/>
      <c r="B44" s="24"/>
      <c r="C44" s="24"/>
      <c r="D44" s="24"/>
      <c r="E44" s="24"/>
      <c r="F44" s="99">
        <v>818</v>
      </c>
      <c r="G44" s="81">
        <f>[8]Tabelle1!$HQ$3</f>
        <v>8.0446024283882964E-2</v>
      </c>
      <c r="H44" s="38">
        <f t="shared" si="4"/>
        <v>8.7047798786949807E-2</v>
      </c>
      <c r="I44" s="42">
        <f t="shared" si="5"/>
        <v>33427418.300021179</v>
      </c>
    </row>
    <row r="45" spans="1:9">
      <c r="A45" s="30"/>
      <c r="B45" s="24"/>
      <c r="C45" s="24"/>
      <c r="D45" s="24"/>
      <c r="E45" s="24"/>
      <c r="F45" s="99">
        <v>826</v>
      </c>
      <c r="G45" s="81">
        <f>[8]Tabelle1!$HR$3</f>
        <v>2.1885644096462986E-2</v>
      </c>
      <c r="H45" s="38">
        <f t="shared" si="4"/>
        <v>2.3681681731205013E-2</v>
      </c>
      <c r="I45" s="42">
        <f t="shared" si="5"/>
        <v>9094055.1318758763</v>
      </c>
    </row>
    <row r="46" spans="1:9">
      <c r="A46" s="30"/>
      <c r="B46" s="24"/>
      <c r="C46" s="24"/>
      <c r="D46" s="24"/>
      <c r="E46" s="24"/>
      <c r="F46" s="99">
        <v>842</v>
      </c>
      <c r="G46" s="81">
        <f>[8]Tabelle1!$HT$3</f>
        <v>3.6244686874634502E-2</v>
      </c>
      <c r="H46" s="38">
        <f t="shared" si="4"/>
        <v>3.9219094271527352E-2</v>
      </c>
      <c r="I46" s="42">
        <f t="shared" si="5"/>
        <v>15060611.386291057</v>
      </c>
    </row>
    <row r="47" spans="1:9">
      <c r="A47" s="90"/>
      <c r="B47" s="74"/>
      <c r="C47" s="74"/>
      <c r="D47" s="74"/>
      <c r="E47" s="74"/>
      <c r="F47" s="74" t="s">
        <v>107</v>
      </c>
      <c r="G47" s="91">
        <f>SUM(G31:G46)</f>
        <v>0.92415920224215276</v>
      </c>
      <c r="H47" s="74"/>
      <c r="I47" s="47"/>
    </row>
    <row r="49" spans="1:9">
      <c r="A49" s="1" t="s">
        <v>158</v>
      </c>
    </row>
    <row r="50" spans="1:9" ht="32">
      <c r="A50" s="29" t="s">
        <v>0</v>
      </c>
      <c r="B50" s="17" t="s">
        <v>1</v>
      </c>
      <c r="C50" s="17" t="s">
        <v>145</v>
      </c>
      <c r="D50" s="17" t="s">
        <v>3</v>
      </c>
      <c r="E50" s="17"/>
      <c r="F50" s="55" t="s">
        <v>285</v>
      </c>
      <c r="G50" s="48" t="s">
        <v>143</v>
      </c>
      <c r="H50" s="48" t="s">
        <v>116</v>
      </c>
      <c r="I50" s="49" t="s">
        <v>117</v>
      </c>
    </row>
    <row r="51" spans="1:9">
      <c r="A51" s="30" t="s">
        <v>159</v>
      </c>
      <c r="B51" s="50">
        <f>'[5]Weight%'!$B$28</f>
        <v>1</v>
      </c>
      <c r="C51" s="24" t="s">
        <v>634</v>
      </c>
      <c r="D51" s="24" t="s">
        <v>147</v>
      </c>
      <c r="E51" s="24"/>
      <c r="F51" s="99">
        <v>40</v>
      </c>
      <c r="G51" s="81">
        <f>[9]Tabelle1!$M$3</f>
        <v>7.7649408423138597E-2</v>
      </c>
      <c r="H51" s="38">
        <f>G51/$G$66</f>
        <v>8.3707728065471249E-2</v>
      </c>
      <c r="I51" s="42">
        <f>$B$52*H51</f>
        <v>378223.91839130828</v>
      </c>
    </row>
    <row r="52" spans="1:9">
      <c r="A52" s="30" t="s">
        <v>160</v>
      </c>
      <c r="B52" s="41">
        <f>B51*data_1tier!W16</f>
        <v>4518387.0967741935</v>
      </c>
      <c r="C52" s="24" t="s">
        <v>8</v>
      </c>
      <c r="D52" s="24"/>
      <c r="E52" s="24"/>
      <c r="F52" s="99">
        <v>76</v>
      </c>
      <c r="G52" s="81">
        <f>[9]Tabelle1!$Z$3</f>
        <v>6.6267900647095951E-2</v>
      </c>
      <c r="H52" s="38">
        <f t="shared" ref="H52:H65" si="6">G52/$G$66</f>
        <v>7.1438218519431676E-2</v>
      </c>
      <c r="I52" s="42">
        <f t="shared" ref="I52:I65" si="7">$B$52*H52</f>
        <v>322785.52477473533</v>
      </c>
    </row>
    <row r="53" spans="1:9">
      <c r="A53" s="30" t="s">
        <v>161</v>
      </c>
      <c r="B53" s="41">
        <f>B51*data_1tier!W17</f>
        <v>196976612.90322578</v>
      </c>
      <c r="C53" s="24" t="s">
        <v>8</v>
      </c>
      <c r="D53" s="24"/>
      <c r="E53" s="24"/>
      <c r="F53" s="99">
        <v>124</v>
      </c>
      <c r="G53" s="81">
        <f>[9]Tabelle1!$AM$3</f>
        <v>2.1283589080512606E-2</v>
      </c>
      <c r="H53" s="38">
        <f t="shared" si="6"/>
        <v>2.2944165618110319E-2</v>
      </c>
      <c r="I53" s="42">
        <f t="shared" si="7"/>
        <v>103670.62187511974</v>
      </c>
    </row>
    <row r="54" spans="1:9">
      <c r="A54" s="30"/>
      <c r="B54" s="41"/>
      <c r="C54" s="24"/>
      <c r="D54" s="24"/>
      <c r="E54" s="24"/>
      <c r="F54" s="99">
        <v>156</v>
      </c>
      <c r="G54" s="81">
        <f>[9]Tabelle1!$AT$3</f>
        <v>0.34837043269321755</v>
      </c>
      <c r="H54" s="38">
        <f t="shared" si="6"/>
        <v>0.3755507999111129</v>
      </c>
      <c r="I54" s="42">
        <f t="shared" si="7"/>
        <v>1696883.8885015994</v>
      </c>
    </row>
    <row r="55" spans="1:9">
      <c r="A55" s="30"/>
      <c r="B55" s="41"/>
      <c r="C55" s="24"/>
      <c r="D55" s="24"/>
      <c r="E55" s="24"/>
      <c r="F55" s="99">
        <v>191</v>
      </c>
      <c r="G55" s="81">
        <f>[9]Tabelle1!$BD$3</f>
        <v>1.3402676181412977E-2</v>
      </c>
      <c r="H55" s="38">
        <f t="shared" si="6"/>
        <v>1.4448372446440571E-2</v>
      </c>
      <c r="I55" s="42">
        <f t="shared" si="7"/>
        <v>65283.339631384864</v>
      </c>
    </row>
    <row r="56" spans="1:9">
      <c r="A56" s="30"/>
      <c r="B56" s="41"/>
      <c r="C56" s="24"/>
      <c r="D56" s="24"/>
      <c r="E56" s="24"/>
      <c r="F56" s="99">
        <v>203</v>
      </c>
      <c r="G56" s="81">
        <f>[9]Tabelle1!$BG$3</f>
        <v>5.3908395154526126E-2</v>
      </c>
      <c r="H56" s="38">
        <f t="shared" si="6"/>
        <v>5.8114406454336291E-2</v>
      </c>
      <c r="I56" s="42">
        <f t="shared" si="7"/>
        <v>262583.38425996399</v>
      </c>
    </row>
    <row r="57" spans="1:9">
      <c r="A57" s="30"/>
      <c r="B57" s="41"/>
      <c r="C57" s="24"/>
      <c r="D57" s="24"/>
      <c r="E57" s="24"/>
      <c r="F57" s="99">
        <v>251</v>
      </c>
      <c r="G57" s="81">
        <f>[9]Tabelle1!$BW$3</f>
        <v>1.8808001565763864E-2</v>
      </c>
      <c r="H57" s="38">
        <f t="shared" si="6"/>
        <v>2.0275429169306768E-2</v>
      </c>
      <c r="I57" s="42">
        <f t="shared" si="7"/>
        <v>91612.237540154805</v>
      </c>
    </row>
    <row r="58" spans="1:9">
      <c r="A58" s="30"/>
      <c r="B58" s="41"/>
      <c r="C58" s="24"/>
      <c r="D58" s="24"/>
      <c r="E58" s="24"/>
      <c r="F58" s="99">
        <v>276</v>
      </c>
      <c r="G58" s="81">
        <f>[9]Tabelle1!$CE$3</f>
        <v>6.1326535157761479E-2</v>
      </c>
      <c r="H58" s="38">
        <f t="shared" si="6"/>
        <v>6.6111320516560906E-2</v>
      </c>
      <c r="I58" s="42">
        <f t="shared" si="7"/>
        <v>298716.53757273179</v>
      </c>
    </row>
    <row r="59" spans="1:9">
      <c r="A59" s="30"/>
      <c r="B59" s="41"/>
      <c r="C59" s="24"/>
      <c r="D59" s="24"/>
      <c r="E59" s="24"/>
      <c r="F59" s="99">
        <v>381</v>
      </c>
      <c r="G59" s="81">
        <f>[9]Tabelle1!$DB$3</f>
        <v>7.0210036812427101E-2</v>
      </c>
      <c r="H59" s="38">
        <f t="shared" si="6"/>
        <v>7.5687925874913187E-2</v>
      </c>
      <c r="I59" s="42">
        <f t="shared" si="7"/>
        <v>341987.34765480936</v>
      </c>
    </row>
    <row r="60" spans="1:9">
      <c r="A60" s="30"/>
      <c r="B60" s="41"/>
      <c r="C60" s="24"/>
      <c r="D60" s="24"/>
      <c r="E60" s="24"/>
      <c r="F60" s="99">
        <v>643</v>
      </c>
      <c r="G60" s="81">
        <f>[9]Tabelle1!$FU$3</f>
        <v>1.5431638468008727E-2</v>
      </c>
      <c r="H60" s="38">
        <f t="shared" si="6"/>
        <v>1.6635637318001956E-2</v>
      </c>
      <c r="I60" s="42">
        <f t="shared" si="7"/>
        <v>75166.249004275291</v>
      </c>
    </row>
    <row r="61" spans="1:9">
      <c r="A61" s="30"/>
      <c r="B61" s="41"/>
      <c r="C61" s="24"/>
      <c r="D61" s="24"/>
      <c r="E61" s="24"/>
      <c r="F61" s="99">
        <v>699</v>
      </c>
      <c r="G61" s="81">
        <f>[9]Tabelle1!$GK$3</f>
        <v>6.1876989217411686E-2</v>
      </c>
      <c r="H61" s="38">
        <f t="shared" si="6"/>
        <v>6.6704721801560313E-2</v>
      </c>
      <c r="I61" s="42">
        <f t="shared" si="7"/>
        <v>301397.75428208237</v>
      </c>
    </row>
    <row r="62" spans="1:9">
      <c r="A62" s="30"/>
      <c r="B62" s="41"/>
      <c r="C62" s="24"/>
      <c r="D62" s="24"/>
      <c r="E62" s="24"/>
      <c r="F62" s="99">
        <v>705</v>
      </c>
      <c r="G62" s="81">
        <f>[9]Tabelle1!$GO$3</f>
        <v>3.145780673777001E-2</v>
      </c>
      <c r="H62" s="38">
        <f t="shared" si="6"/>
        <v>3.3912190516530973E-2</v>
      </c>
      <c r="I62" s="42">
        <f t="shared" si="7"/>
        <v>153228.40405324171</v>
      </c>
    </row>
    <row r="63" spans="1:9">
      <c r="A63" s="30"/>
      <c r="B63" s="41"/>
      <c r="C63" s="24"/>
      <c r="D63" s="24"/>
      <c r="E63" s="24"/>
      <c r="F63" s="99">
        <v>724</v>
      </c>
      <c r="G63" s="81">
        <f>[9]Tabelle1!$GS$3</f>
        <v>4.5141779322031325E-2</v>
      </c>
      <c r="H63" s="38">
        <f t="shared" si="6"/>
        <v>4.8663806519794413E-2</v>
      </c>
      <c r="I63" s="42">
        <f t="shared" si="7"/>
        <v>219881.91545895496</v>
      </c>
    </row>
    <row r="64" spans="1:9">
      <c r="A64" s="30"/>
      <c r="B64" s="41"/>
      <c r="C64" s="24"/>
      <c r="D64" s="24"/>
      <c r="E64" s="24"/>
      <c r="F64" s="99">
        <v>792</v>
      </c>
      <c r="G64" s="81">
        <f>[9]Tabelle1!$HJ$3</f>
        <v>3.2135023348385305E-2</v>
      </c>
      <c r="H64" s="38">
        <f t="shared" si="6"/>
        <v>3.4642244550862969E-2</v>
      </c>
      <c r="I64" s="42">
        <f t="shared" si="7"/>
        <v>156527.07078191536</v>
      </c>
    </row>
    <row r="65" spans="1:18">
      <c r="A65" s="30"/>
      <c r="B65" s="41"/>
      <c r="C65" s="24"/>
      <c r="D65" s="24"/>
      <c r="E65" s="24"/>
      <c r="F65" s="99">
        <v>842</v>
      </c>
      <c r="G65" s="81">
        <f>[9]Tabelle1!$HT$3</f>
        <v>1.0355111848802466E-2</v>
      </c>
      <c r="H65" s="38">
        <f t="shared" si="6"/>
        <v>1.116303271756542E-2</v>
      </c>
      <c r="I65" s="42">
        <f t="shared" si="7"/>
        <v>50438.902991915755</v>
      </c>
    </row>
    <row r="66" spans="1:18">
      <c r="A66" s="90"/>
      <c r="B66" s="46"/>
      <c r="C66" s="74"/>
      <c r="D66" s="74"/>
      <c r="E66" s="74"/>
      <c r="F66" s="74" t="s">
        <v>107</v>
      </c>
      <c r="G66" s="91">
        <f>SUM(G51:G65)</f>
        <v>0.92762532465826586</v>
      </c>
      <c r="H66" s="74"/>
      <c r="I66" s="47"/>
    </row>
    <row r="67" spans="1:18">
      <c r="B67" s="20"/>
    </row>
    <row r="68" spans="1:18">
      <c r="B68" s="20"/>
    </row>
    <row r="69" spans="1:18">
      <c r="B69" s="20"/>
    </row>
    <row r="70" spans="1:18">
      <c r="B70" s="20"/>
    </row>
    <row r="73" spans="1:18">
      <c r="A73" s="1" t="s">
        <v>163</v>
      </c>
    </row>
    <row r="74" spans="1:18" ht="33" customHeight="1">
      <c r="A74" s="29" t="s">
        <v>0</v>
      </c>
      <c r="B74" s="17" t="s">
        <v>1</v>
      </c>
      <c r="C74" s="17" t="s">
        <v>145</v>
      </c>
      <c r="D74" s="17" t="s">
        <v>3</v>
      </c>
      <c r="E74" s="17"/>
      <c r="F74" s="23" t="s">
        <v>171</v>
      </c>
      <c r="G74" s="31"/>
      <c r="H74" s="31"/>
      <c r="I74" s="23" t="s">
        <v>172</v>
      </c>
      <c r="J74" s="31"/>
      <c r="K74" s="17"/>
      <c r="L74" s="32" t="s">
        <v>172</v>
      </c>
      <c r="M74" s="32"/>
      <c r="N74" s="32"/>
      <c r="O74" s="58" t="s">
        <v>483</v>
      </c>
      <c r="P74" s="58"/>
      <c r="Q74" s="58"/>
      <c r="R74" s="59"/>
    </row>
    <row r="75" spans="1:18" ht="48">
      <c r="A75" s="30" t="s">
        <v>166</v>
      </c>
      <c r="B75" s="50">
        <f>'[5]Weight%'!$B$30+'[5]Weight%'!$B$31</f>
        <v>1</v>
      </c>
      <c r="C75" s="24" t="s">
        <v>634</v>
      </c>
      <c r="D75" s="67" t="s">
        <v>147</v>
      </c>
      <c r="E75" s="24"/>
      <c r="F75" s="33" t="s">
        <v>173</v>
      </c>
      <c r="G75" s="33"/>
      <c r="H75" s="33"/>
      <c r="I75" s="7" t="s">
        <v>174</v>
      </c>
      <c r="J75" s="33"/>
      <c r="K75" s="24"/>
      <c r="L75" s="34" t="s">
        <v>132</v>
      </c>
      <c r="M75" s="34"/>
      <c r="N75" s="34"/>
      <c r="O75" s="33"/>
      <c r="P75" s="24"/>
      <c r="Q75" s="24"/>
      <c r="R75" s="28"/>
    </row>
    <row r="76" spans="1:18" ht="48">
      <c r="A76" s="30" t="s">
        <v>164</v>
      </c>
      <c r="B76" s="41">
        <f>B75*data_1tier!AD11</f>
        <v>86250000</v>
      </c>
      <c r="C76" s="24" t="s">
        <v>8</v>
      </c>
      <c r="D76" s="24"/>
      <c r="E76" s="24"/>
      <c r="F76" s="35" t="s">
        <v>133</v>
      </c>
      <c r="G76" s="35" t="s">
        <v>175</v>
      </c>
      <c r="H76" s="35" t="s">
        <v>176</v>
      </c>
      <c r="I76" s="12" t="s">
        <v>133</v>
      </c>
      <c r="J76" s="35" t="s">
        <v>177</v>
      </c>
      <c r="K76" s="34" t="s">
        <v>176</v>
      </c>
      <c r="L76" s="12" t="s">
        <v>133</v>
      </c>
      <c r="M76" s="35" t="s">
        <v>177</v>
      </c>
      <c r="N76" s="36" t="s">
        <v>176</v>
      </c>
      <c r="O76" s="35" t="s">
        <v>133</v>
      </c>
      <c r="P76" s="35" t="s">
        <v>134</v>
      </c>
      <c r="Q76" s="35" t="s">
        <v>176</v>
      </c>
      <c r="R76" s="37" t="s">
        <v>178</v>
      </c>
    </row>
    <row r="77" spans="1:18">
      <c r="A77" s="30" t="s">
        <v>165</v>
      </c>
      <c r="B77" s="41">
        <f>B75*data_1tier!AD17</f>
        <v>458973214.28571427</v>
      </c>
      <c r="C77" s="24" t="s">
        <v>8</v>
      </c>
      <c r="D77" s="24"/>
      <c r="E77" s="24"/>
      <c r="F77" s="33" t="s">
        <v>92</v>
      </c>
      <c r="G77" s="33">
        <f>16704+3576+18730+12847</f>
        <v>51857</v>
      </c>
      <c r="H77" s="38">
        <f>G77/$G$88</f>
        <v>0.4159674650666581</v>
      </c>
      <c r="I77" s="7" t="s">
        <v>92</v>
      </c>
      <c r="J77" s="33">
        <f>30434+19246</f>
        <v>49680</v>
      </c>
      <c r="K77" s="39">
        <f>J77/$J$84</f>
        <v>0.40174259895600301</v>
      </c>
      <c r="L77" s="39" t="s">
        <v>92</v>
      </c>
      <c r="M77" s="40">
        <v>50670</v>
      </c>
      <c r="N77" s="39">
        <f t="shared" ref="N77:N82" si="8">M77/$M$83</f>
        <v>0.44259459837182491</v>
      </c>
      <c r="O77" s="111" t="s">
        <v>92</v>
      </c>
      <c r="P77" s="112">
        <f>(G77+J77+M77)/3</f>
        <v>50735.666666666664</v>
      </c>
      <c r="Q77" s="113">
        <f>P77/$P$88</f>
        <v>0.40945782556419252</v>
      </c>
      <c r="R77" s="78">
        <f>$B$76*Q77</f>
        <v>35315737.454911605</v>
      </c>
    </row>
    <row r="78" spans="1:18">
      <c r="A78" s="30"/>
      <c r="B78" s="41"/>
      <c r="C78" s="24"/>
      <c r="D78" s="24"/>
      <c r="E78" s="24"/>
      <c r="F78" s="33" t="s">
        <v>105</v>
      </c>
      <c r="G78" s="33">
        <f>10778+1200</f>
        <v>11978</v>
      </c>
      <c r="H78" s="38">
        <f t="shared" ref="H78:H87" si="9">G78/$G$88</f>
        <v>9.608072770442623E-2</v>
      </c>
      <c r="I78" s="7" t="s">
        <v>105</v>
      </c>
      <c r="J78" s="33">
        <v>13623</v>
      </c>
      <c r="K78" s="39">
        <f t="shared" ref="K78:K83" si="10">J78/$J$84</f>
        <v>0.11016383706879285</v>
      </c>
      <c r="L78" s="39" t="s">
        <v>105</v>
      </c>
      <c r="M78" s="40">
        <v>19414</v>
      </c>
      <c r="N78" s="39">
        <f t="shared" si="8"/>
        <v>0.16957828168128297</v>
      </c>
      <c r="O78" s="111" t="s">
        <v>105</v>
      </c>
      <c r="P78" s="75">
        <f>(G78+J78+M78)/3</f>
        <v>15005</v>
      </c>
      <c r="Q78" s="113">
        <f t="shared" ref="Q78:Q88" si="11">P78/$P$88</f>
        <v>0.12109655940772847</v>
      </c>
      <c r="R78" s="78">
        <f t="shared" ref="R78:R87" si="12">$B$76*Q78</f>
        <v>10444578.248916581</v>
      </c>
    </row>
    <row r="79" spans="1:18">
      <c r="A79" s="30"/>
      <c r="B79" s="41"/>
      <c r="C79" s="24"/>
      <c r="D79" s="24"/>
      <c r="E79" s="24"/>
      <c r="F79" s="33" t="s">
        <v>179</v>
      </c>
      <c r="G79" s="33">
        <v>16059</v>
      </c>
      <c r="H79" s="38">
        <f t="shared" si="9"/>
        <v>0.12881619687805818</v>
      </c>
      <c r="I79" s="7" t="s">
        <v>138</v>
      </c>
      <c r="J79" s="33">
        <v>6750</v>
      </c>
      <c r="K79" s="39">
        <f t="shared" si="10"/>
        <v>5.4584592249456929E-2</v>
      </c>
      <c r="L79" s="39" t="s">
        <v>179</v>
      </c>
      <c r="M79" s="40">
        <v>17874</v>
      </c>
      <c r="N79" s="39">
        <f t="shared" si="8"/>
        <v>0.15612662031375563</v>
      </c>
      <c r="O79" s="111" t="s">
        <v>179</v>
      </c>
      <c r="P79" s="75">
        <f>(G79+J79+M79)/3</f>
        <v>13561</v>
      </c>
      <c r="Q79" s="113">
        <f t="shared" si="11"/>
        <v>0.10944288184793108</v>
      </c>
      <c r="R79" s="78">
        <f t="shared" si="12"/>
        <v>9439448.5593840554</v>
      </c>
    </row>
    <row r="80" spans="1:18">
      <c r="A80" s="30"/>
      <c r="B80" s="41"/>
      <c r="C80" s="24"/>
      <c r="D80" s="24"/>
      <c r="E80" s="24"/>
      <c r="F80" s="33" t="s">
        <v>96</v>
      </c>
      <c r="G80" s="33">
        <f>3770+1200+35000</f>
        <v>39970</v>
      </c>
      <c r="H80" s="38">
        <f t="shared" si="9"/>
        <v>0.32061668778977426</v>
      </c>
      <c r="I80" s="7" t="s">
        <v>96</v>
      </c>
      <c r="J80" s="33">
        <f>43925+0.15</f>
        <v>43925.15</v>
      </c>
      <c r="K80" s="39">
        <f t="shared" si="10"/>
        <v>0.35520539292536785</v>
      </c>
      <c r="L80" s="39" t="s">
        <v>180</v>
      </c>
      <c r="M80" s="40">
        <v>22016</v>
      </c>
      <c r="N80" s="39">
        <f t="shared" si="8"/>
        <v>0.19230634848537786</v>
      </c>
      <c r="O80" s="111" t="s">
        <v>96</v>
      </c>
      <c r="P80" s="112">
        <f>(G80+J80+M80)/3</f>
        <v>35303.716666666667</v>
      </c>
      <c r="Q80" s="113">
        <f t="shared" si="11"/>
        <v>0.28491560297491597</v>
      </c>
      <c r="R80" s="78">
        <f t="shared" si="12"/>
        <v>24573970.756586503</v>
      </c>
    </row>
    <row r="81" spans="1:18">
      <c r="A81" s="30"/>
      <c r="B81" s="41"/>
      <c r="C81" s="24"/>
      <c r="D81" s="24"/>
      <c r="E81" s="24"/>
      <c r="F81" s="33" t="s">
        <v>115</v>
      </c>
      <c r="G81" s="33">
        <v>498</v>
      </c>
      <c r="H81" s="38">
        <f t="shared" si="9"/>
        <v>3.9946737683089215E-3</v>
      </c>
      <c r="I81" s="7" t="s">
        <v>115</v>
      </c>
      <c r="J81" s="33">
        <v>5000</v>
      </c>
      <c r="K81" s="39">
        <f t="shared" si="10"/>
        <v>4.0433031295894019E-2</v>
      </c>
      <c r="L81" s="39" t="s">
        <v>181</v>
      </c>
      <c r="M81" s="40">
        <v>2400</v>
      </c>
      <c r="N81" s="39">
        <f t="shared" si="8"/>
        <v>2.0963628105237414E-2</v>
      </c>
      <c r="O81" s="111" t="s">
        <v>115</v>
      </c>
      <c r="P81" s="75">
        <v>5000</v>
      </c>
      <c r="Q81" s="113">
        <f t="shared" si="11"/>
        <v>4.0352069112871869E-2</v>
      </c>
      <c r="R81" s="78">
        <f t="shared" si="12"/>
        <v>3480365.9609851986</v>
      </c>
    </row>
    <row r="82" spans="1:18">
      <c r="A82" s="30"/>
      <c r="B82" s="41"/>
      <c r="C82" s="24"/>
      <c r="D82" s="24"/>
      <c r="E82" s="24"/>
      <c r="F82" s="33" t="s">
        <v>99</v>
      </c>
      <c r="G82" s="33">
        <v>200</v>
      </c>
      <c r="H82" s="38">
        <f t="shared" si="9"/>
        <v>1.6042866539393258E-3</v>
      </c>
      <c r="I82" s="7" t="s">
        <v>181</v>
      </c>
      <c r="J82" s="33">
        <v>1293</v>
      </c>
      <c r="K82" s="39">
        <f t="shared" si="10"/>
        <v>1.0455981893118194E-2</v>
      </c>
      <c r="L82" s="39" t="s">
        <v>182</v>
      </c>
      <c r="M82" s="40">
        <v>2110</v>
      </c>
      <c r="N82" s="39">
        <f t="shared" si="8"/>
        <v>1.8430523042521227E-2</v>
      </c>
      <c r="O82" s="111" t="s">
        <v>99</v>
      </c>
      <c r="P82" s="75">
        <v>200</v>
      </c>
      <c r="Q82" s="113">
        <f t="shared" si="11"/>
        <v>1.6140827645148748E-3</v>
      </c>
      <c r="R82" s="78">
        <f t="shared" si="12"/>
        <v>139214.63843940795</v>
      </c>
    </row>
    <row r="83" spans="1:18">
      <c r="A83" s="30"/>
      <c r="B83" s="41"/>
      <c r="C83" s="24"/>
      <c r="D83" s="24"/>
      <c r="E83" s="24"/>
      <c r="F83" s="33" t="s">
        <v>113</v>
      </c>
      <c r="G83" s="33">
        <v>1000</v>
      </c>
      <c r="H83" s="38">
        <f t="shared" si="9"/>
        <v>8.0214332696966293E-3</v>
      </c>
      <c r="I83" s="7" t="s">
        <v>182</v>
      </c>
      <c r="J83" s="33">
        <f>3390+0.12</f>
        <v>3390.12</v>
      </c>
      <c r="K83" s="39">
        <f t="shared" si="10"/>
        <v>2.7414565611367247E-2</v>
      </c>
      <c r="L83" s="39" t="s">
        <v>107</v>
      </c>
      <c r="M83" s="40">
        <f>SUM(M77:M82)</f>
        <v>114484</v>
      </c>
      <c r="N83" s="39"/>
      <c r="O83" s="111" t="s">
        <v>113</v>
      </c>
      <c r="P83" s="75">
        <v>1000</v>
      </c>
      <c r="Q83" s="113">
        <f t="shared" si="11"/>
        <v>8.0704138225743734E-3</v>
      </c>
      <c r="R83" s="78">
        <f t="shared" si="12"/>
        <v>696073.19219703972</v>
      </c>
    </row>
    <row r="84" spans="1:18">
      <c r="A84" s="30"/>
      <c r="B84" s="41"/>
      <c r="C84" s="24"/>
      <c r="D84" s="24"/>
      <c r="E84" s="24"/>
      <c r="F84" s="33" t="s">
        <v>111</v>
      </c>
      <c r="G84" s="33">
        <v>100</v>
      </c>
      <c r="H84" s="38">
        <f t="shared" si="9"/>
        <v>8.0214332696966289E-4</v>
      </c>
      <c r="I84" s="13" t="s">
        <v>107</v>
      </c>
      <c r="J84" s="33">
        <f>SUM(J77:J83)</f>
        <v>123661.26999999999</v>
      </c>
      <c r="K84" s="24"/>
      <c r="L84" s="24"/>
      <c r="M84" s="40"/>
      <c r="N84" s="34"/>
      <c r="O84" s="111" t="s">
        <v>111</v>
      </c>
      <c r="P84" s="75">
        <v>100</v>
      </c>
      <c r="Q84" s="113">
        <f t="shared" si="11"/>
        <v>8.0704138225743739E-4</v>
      </c>
      <c r="R84" s="78">
        <f t="shared" si="12"/>
        <v>69607.319219703975</v>
      </c>
    </row>
    <row r="85" spans="1:18">
      <c r="A85" s="30"/>
      <c r="B85" s="41"/>
      <c r="C85" s="24"/>
      <c r="D85" s="24"/>
      <c r="E85" s="24"/>
      <c r="F85" s="33" t="s">
        <v>112</v>
      </c>
      <c r="G85" s="33">
        <v>2440</v>
      </c>
      <c r="H85" s="38">
        <f t="shared" si="9"/>
        <v>1.9572297178059774E-2</v>
      </c>
      <c r="I85" s="7"/>
      <c r="J85" s="33"/>
      <c r="K85" s="24"/>
      <c r="L85" s="24"/>
      <c r="M85" s="39"/>
      <c r="N85" s="39"/>
      <c r="O85" s="111" t="s">
        <v>112</v>
      </c>
      <c r="P85" s="75">
        <v>2440</v>
      </c>
      <c r="Q85" s="113">
        <f t="shared" si="11"/>
        <v>1.9691809727081473E-2</v>
      </c>
      <c r="R85" s="78">
        <f t="shared" si="12"/>
        <v>1698418.588960777</v>
      </c>
    </row>
    <row r="86" spans="1:18">
      <c r="A86" s="30"/>
      <c r="B86" s="41"/>
      <c r="C86" s="24"/>
      <c r="D86" s="24"/>
      <c r="E86" s="24"/>
      <c r="F86" s="33" t="s">
        <v>104</v>
      </c>
      <c r="G86" s="33">
        <v>164</v>
      </c>
      <c r="H86" s="38">
        <f t="shared" si="9"/>
        <v>1.3155150562302472E-3</v>
      </c>
      <c r="I86" s="7"/>
      <c r="J86" s="33"/>
      <c r="K86" s="34"/>
      <c r="L86" s="34"/>
      <c r="M86" s="39"/>
      <c r="N86" s="39"/>
      <c r="O86" s="111" t="s">
        <v>104</v>
      </c>
      <c r="P86" s="75">
        <v>164</v>
      </c>
      <c r="Q86" s="113">
        <f t="shared" si="11"/>
        <v>1.3235478669021972E-3</v>
      </c>
      <c r="R86" s="78">
        <f t="shared" si="12"/>
        <v>114156.00352031451</v>
      </c>
    </row>
    <row r="87" spans="1:18">
      <c r="A87" s="30"/>
      <c r="B87" s="41"/>
      <c r="C87" s="24"/>
      <c r="D87" s="24"/>
      <c r="E87" s="24"/>
      <c r="F87" s="33" t="s">
        <v>183</v>
      </c>
      <c r="G87" s="33">
        <v>400</v>
      </c>
      <c r="H87" s="38">
        <f t="shared" si="9"/>
        <v>3.2085733078786515E-3</v>
      </c>
      <c r="I87" s="7"/>
      <c r="J87" s="33"/>
      <c r="K87" s="39"/>
      <c r="L87" s="39"/>
      <c r="M87" s="39"/>
      <c r="N87" s="39"/>
      <c r="O87" s="111" t="s">
        <v>183</v>
      </c>
      <c r="P87" s="75">
        <v>400</v>
      </c>
      <c r="Q87" s="113">
        <f t="shared" si="11"/>
        <v>3.2281655290297495E-3</v>
      </c>
      <c r="R87" s="78">
        <f t="shared" si="12"/>
        <v>278429.2768788159</v>
      </c>
    </row>
    <row r="88" spans="1:18">
      <c r="A88" s="90"/>
      <c r="B88" s="46"/>
      <c r="C88" s="74"/>
      <c r="D88" s="74"/>
      <c r="E88" s="74"/>
      <c r="F88" s="43" t="s">
        <v>107</v>
      </c>
      <c r="G88" s="43">
        <f>SUM(G77:G87)</f>
        <v>124666</v>
      </c>
      <c r="H88" s="43"/>
      <c r="I88" s="43"/>
      <c r="J88" s="43"/>
      <c r="K88" s="44"/>
      <c r="L88" s="44"/>
      <c r="M88" s="45"/>
      <c r="N88" s="45"/>
      <c r="O88" s="43" t="s">
        <v>107</v>
      </c>
      <c r="P88" s="46">
        <f>SUM(P77:P87)</f>
        <v>123909.38333333333</v>
      </c>
      <c r="Q88" s="110">
        <f t="shared" si="11"/>
        <v>1</v>
      </c>
      <c r="R88" s="47"/>
    </row>
    <row r="89" spans="1:18">
      <c r="B89" s="20"/>
    </row>
    <row r="90" spans="1:18">
      <c r="A90" s="1" t="s">
        <v>167</v>
      </c>
    </row>
    <row r="91" spans="1:18" ht="32">
      <c r="A91" s="29" t="s">
        <v>0</v>
      </c>
      <c r="B91" s="17" t="s">
        <v>1</v>
      </c>
      <c r="C91" s="17" t="s">
        <v>145</v>
      </c>
      <c r="D91" s="17" t="s">
        <v>3</v>
      </c>
      <c r="E91" s="17"/>
      <c r="F91" s="48" t="s">
        <v>198</v>
      </c>
      <c r="G91" s="48" t="s">
        <v>143</v>
      </c>
      <c r="H91" s="48" t="s">
        <v>116</v>
      </c>
      <c r="I91" s="49" t="s">
        <v>178</v>
      </c>
    </row>
    <row r="92" spans="1:18">
      <c r="A92" s="30" t="s">
        <v>170</v>
      </c>
      <c r="B92" s="50">
        <f>'[5]Weight%'!$B$32+'[5]Weight%'!$B$33</f>
        <v>1</v>
      </c>
      <c r="C92" s="24" t="s">
        <v>634</v>
      </c>
      <c r="D92" s="24" t="s">
        <v>147</v>
      </c>
      <c r="E92" s="24"/>
      <c r="F92" s="99">
        <v>40</v>
      </c>
      <c r="G92" s="81">
        <f>[10]Tabelle1!$M$3</f>
        <v>1.4541749076611668E-2</v>
      </c>
      <c r="H92" s="38">
        <f>G92/$G$112</f>
        <v>1.5824690149177985E-2</v>
      </c>
      <c r="I92" s="42">
        <f>$B$93*H92</f>
        <v>15138953.57604694</v>
      </c>
    </row>
    <row r="93" spans="1:18">
      <c r="A93" s="30" t="s">
        <v>168</v>
      </c>
      <c r="B93" s="41">
        <f>B92*data_1tier!AD12</f>
        <v>956666666.66666675</v>
      </c>
      <c r="C93" s="24" t="s">
        <v>8</v>
      </c>
      <c r="D93" s="24"/>
      <c r="E93" s="24"/>
      <c r="F93" s="99">
        <v>76</v>
      </c>
      <c r="G93" s="81">
        <f>[10]Tabelle1!$Z$3</f>
        <v>1.1230177376067579E-2</v>
      </c>
      <c r="H93" s="38">
        <f t="shared" ref="H93:H111" si="13">G93/$G$112</f>
        <v>1.2220956114722532E-2</v>
      </c>
      <c r="I93" s="42">
        <f t="shared" ref="I93:I111" si="14">$B$93*H93</f>
        <v>11691381.349751223</v>
      </c>
    </row>
    <row r="94" spans="1:18">
      <c r="A94" s="30" t="s">
        <v>169</v>
      </c>
      <c r="B94" s="41">
        <f>B92*data_1tier!AD18</f>
        <v>4305000000</v>
      </c>
      <c r="C94" s="24" t="s">
        <v>8</v>
      </c>
      <c r="D94" s="24"/>
      <c r="E94" s="24"/>
      <c r="F94" s="99">
        <v>100</v>
      </c>
      <c r="G94" s="81">
        <f>[10]Tabelle1!$AG$3</f>
        <v>1.7731893791991912E-2</v>
      </c>
      <c r="H94" s="38">
        <f t="shared" si="13"/>
        <v>1.9296284342281259E-2</v>
      </c>
      <c r="I94" s="42">
        <f t="shared" si="14"/>
        <v>18460112.020782407</v>
      </c>
    </row>
    <row r="95" spans="1:18">
      <c r="A95" s="30"/>
      <c r="B95" s="24"/>
      <c r="C95" s="24"/>
      <c r="D95" s="24"/>
      <c r="E95" s="24"/>
      <c r="F95" s="99">
        <v>156</v>
      </c>
      <c r="G95" s="81">
        <f>[10]Tabelle1!$AT$3</f>
        <v>0.16161007918995293</v>
      </c>
      <c r="H95" s="38">
        <f t="shared" si="13"/>
        <v>0.175868075751519</v>
      </c>
      <c r="I95" s="42">
        <f t="shared" si="14"/>
        <v>168247125.80228654</v>
      </c>
    </row>
    <row r="96" spans="1:18">
      <c r="A96" s="30"/>
      <c r="B96" s="24"/>
      <c r="C96" s="24"/>
      <c r="D96" s="24"/>
      <c r="E96" s="24"/>
      <c r="F96" s="99">
        <v>203</v>
      </c>
      <c r="G96" s="81">
        <f>[10]Tabelle1!$BG$3</f>
        <v>0.12340972819459303</v>
      </c>
      <c r="H96" s="38">
        <f t="shared" si="13"/>
        <v>0.13429751124056347</v>
      </c>
      <c r="I96" s="42">
        <f t="shared" si="14"/>
        <v>128477952.42013906</v>
      </c>
    </row>
    <row r="97" spans="1:9">
      <c r="A97" s="30"/>
      <c r="B97" s="24"/>
      <c r="C97" s="24"/>
      <c r="D97" s="24"/>
      <c r="E97" s="24"/>
      <c r="F97" s="99">
        <v>251</v>
      </c>
      <c r="G97" s="81">
        <f>[10]Tabelle1!$BW$3</f>
        <v>1.9166726767663931E-2</v>
      </c>
      <c r="H97" s="38">
        <f t="shared" si="13"/>
        <v>2.0857704989564449E-2</v>
      </c>
      <c r="I97" s="42">
        <f t="shared" si="14"/>
        <v>19953871.106683325</v>
      </c>
    </row>
    <row r="98" spans="1:9">
      <c r="A98" s="30"/>
      <c r="B98" s="24"/>
      <c r="C98" s="24"/>
      <c r="D98" s="24"/>
      <c r="E98" s="24"/>
      <c r="F98" s="99">
        <v>276</v>
      </c>
      <c r="G98" s="81">
        <f>[10]Tabelle1!$CE$3</f>
        <v>5.5675338024273775E-2</v>
      </c>
      <c r="H98" s="38">
        <f t="shared" si="13"/>
        <v>6.0587276574722022E-2</v>
      </c>
      <c r="I98" s="42">
        <f t="shared" si="14"/>
        <v>57961827.923150741</v>
      </c>
    </row>
    <row r="99" spans="1:9">
      <c r="A99" s="30"/>
      <c r="B99" s="24"/>
      <c r="C99" s="24"/>
      <c r="D99" s="24"/>
      <c r="E99" s="24"/>
      <c r="F99" s="99">
        <v>360</v>
      </c>
      <c r="G99" s="81">
        <f>[10]Tabelle1!$CW$3</f>
        <v>1.1008731711940127E-2</v>
      </c>
      <c r="H99" s="38">
        <f t="shared" si="13"/>
        <v>1.1979973479055132E-2</v>
      </c>
      <c r="I99" s="42">
        <f t="shared" si="14"/>
        <v>11460841.294962743</v>
      </c>
    </row>
    <row r="100" spans="1:9">
      <c r="A100" s="30"/>
      <c r="B100" s="24"/>
      <c r="C100" s="24"/>
      <c r="D100" s="24"/>
      <c r="E100" s="24"/>
      <c r="F100" s="99">
        <v>381</v>
      </c>
      <c r="G100" s="81">
        <f>[10]Tabelle1!$DB$3</f>
        <v>8.1760600387803001E-2</v>
      </c>
      <c r="H100" s="38">
        <f t="shared" si="13"/>
        <v>8.8973902708078978E-2</v>
      </c>
      <c r="I100" s="42">
        <f t="shared" si="14"/>
        <v>85118366.924062222</v>
      </c>
    </row>
    <row r="101" spans="1:9">
      <c r="A101" s="30"/>
      <c r="B101" s="24"/>
      <c r="C101" s="24"/>
      <c r="D101" s="24"/>
      <c r="E101" s="24"/>
      <c r="F101" s="99">
        <v>392</v>
      </c>
      <c r="G101" s="81">
        <f>[10]Tabelle1!$DE$3</f>
        <v>5.3942439157344153E-2</v>
      </c>
      <c r="H101" s="38">
        <f t="shared" si="13"/>
        <v>5.8701493270076219E-2</v>
      </c>
      <c r="I101" s="42">
        <f t="shared" si="14"/>
        <v>56157761.895039588</v>
      </c>
    </row>
    <row r="102" spans="1:9">
      <c r="A102" s="30"/>
      <c r="B102" s="24"/>
      <c r="C102" s="24"/>
      <c r="D102" s="24"/>
      <c r="E102" s="24"/>
      <c r="F102" s="99">
        <v>410</v>
      </c>
      <c r="G102" s="81">
        <f>[10]Tabelle1!$DJ$3</f>
        <v>7.8331184268035342E-2</v>
      </c>
      <c r="H102" s="38">
        <f t="shared" si="13"/>
        <v>8.5241927468924006E-2</v>
      </c>
      <c r="I102" s="42">
        <f t="shared" si="14"/>
        <v>81548110.611937299</v>
      </c>
    </row>
    <row r="103" spans="1:9">
      <c r="A103" s="30"/>
      <c r="B103" s="24"/>
      <c r="C103" s="24"/>
      <c r="D103" s="24"/>
      <c r="E103" s="24"/>
      <c r="F103" s="99">
        <v>442</v>
      </c>
      <c r="G103" s="81">
        <f>[10]Tabelle1!$DT$3</f>
        <v>1.5645106980451937E-2</v>
      </c>
      <c r="H103" s="38">
        <f t="shared" si="13"/>
        <v>1.70253914444576E-2</v>
      </c>
      <c r="I103" s="42">
        <f t="shared" si="14"/>
        <v>16287624.481864439</v>
      </c>
    </row>
    <row r="104" spans="1:9">
      <c r="A104" s="30"/>
      <c r="B104" s="24"/>
      <c r="C104" s="24"/>
      <c r="D104" s="24"/>
      <c r="E104" s="24"/>
      <c r="F104" s="99">
        <v>484</v>
      </c>
      <c r="G104" s="81">
        <f>[10]Tabelle1!$ED$3</f>
        <v>5.8922086572642397E-2</v>
      </c>
      <c r="H104" s="38">
        <f t="shared" si="13"/>
        <v>6.4120468455529697E-2</v>
      </c>
      <c r="I104" s="42">
        <f t="shared" si="14"/>
        <v>61341914.822456747</v>
      </c>
    </row>
    <row r="105" spans="1:9">
      <c r="A105" s="30"/>
      <c r="B105" s="24"/>
      <c r="C105" s="24"/>
      <c r="D105" s="24"/>
      <c r="E105" s="24"/>
      <c r="F105" s="99">
        <v>616</v>
      </c>
      <c r="G105" s="81">
        <f>[10]Tabelle1!$FO$3</f>
        <v>2.4747061452123447E-2</v>
      </c>
      <c r="H105" s="38">
        <f t="shared" si="13"/>
        <v>2.6930362882713773E-2</v>
      </c>
      <c r="I105" s="42">
        <f t="shared" si="14"/>
        <v>25763380.49112951</v>
      </c>
    </row>
    <row r="106" spans="1:9">
      <c r="A106" s="30"/>
      <c r="B106" s="24"/>
      <c r="C106" s="24"/>
      <c r="D106" s="24"/>
      <c r="E106" s="24"/>
      <c r="F106" s="99">
        <v>699</v>
      </c>
      <c r="G106" s="81">
        <f>[10]Tabelle1!$GK$3</f>
        <v>1.126819799319051E-2</v>
      </c>
      <c r="H106" s="38">
        <f t="shared" si="13"/>
        <v>1.2262331088398744E-2</v>
      </c>
      <c r="I106" s="42">
        <f t="shared" si="14"/>
        <v>11730963.407901466</v>
      </c>
    </row>
    <row r="107" spans="1:9">
      <c r="A107" s="30"/>
      <c r="B107" s="24"/>
      <c r="C107" s="24"/>
      <c r="D107" s="24"/>
      <c r="E107" s="24"/>
      <c r="F107" s="99">
        <v>764</v>
      </c>
      <c r="G107" s="81">
        <f>[10]Tabelle1!$HC$3</f>
        <v>1.9951754282464033E-2</v>
      </c>
      <c r="H107" s="38">
        <f t="shared" si="13"/>
        <v>2.1711991300986999E-2</v>
      </c>
      <c r="I107" s="42">
        <f t="shared" si="14"/>
        <v>20771138.344610896</v>
      </c>
    </row>
    <row r="108" spans="1:9">
      <c r="A108" s="30"/>
      <c r="B108" s="24"/>
      <c r="C108" s="24"/>
      <c r="D108" s="24"/>
      <c r="E108" s="24"/>
      <c r="F108" s="99">
        <v>784</v>
      </c>
      <c r="G108" s="81">
        <f>[10]Tabelle1!$HH$3</f>
        <v>1.20478935582155E-2</v>
      </c>
      <c r="H108" s="38">
        <f t="shared" si="13"/>
        <v>1.3110815040515162E-2</v>
      </c>
      <c r="I108" s="42">
        <f t="shared" si="14"/>
        <v>12542679.722092839</v>
      </c>
    </row>
    <row r="109" spans="1:9">
      <c r="A109" s="30"/>
      <c r="B109" s="24"/>
      <c r="C109" s="24"/>
      <c r="D109" s="24"/>
      <c r="E109" s="24"/>
      <c r="F109" s="99">
        <v>792</v>
      </c>
      <c r="G109" s="81">
        <f>[10]Tabelle1!$HJ$3</f>
        <v>2.4374770799704678E-2</v>
      </c>
      <c r="H109" s="38">
        <f t="shared" si="13"/>
        <v>2.6525227008829262E-2</v>
      </c>
      <c r="I109" s="42">
        <f t="shared" si="14"/>
        <v>25375800.50511333</v>
      </c>
    </row>
    <row r="110" spans="1:9">
      <c r="A110" s="30"/>
      <c r="B110" s="24"/>
      <c r="C110" s="24"/>
      <c r="D110" s="24"/>
      <c r="E110" s="24"/>
      <c r="F110" s="99">
        <v>826</v>
      </c>
      <c r="G110" s="81">
        <f>[10]Tabelle1!$HR$3</f>
        <v>5.3205449064415204E-2</v>
      </c>
      <c r="H110" s="38">
        <f t="shared" si="13"/>
        <v>5.7899482466412147E-2</v>
      </c>
      <c r="I110" s="42">
        <f t="shared" si="14"/>
        <v>55390504.892867625</v>
      </c>
    </row>
    <row r="111" spans="1:9">
      <c r="A111" s="30"/>
      <c r="B111" s="24"/>
      <c r="C111" s="24"/>
      <c r="D111" s="24"/>
      <c r="E111" s="24"/>
      <c r="F111" s="99">
        <v>842</v>
      </c>
      <c r="G111" s="81">
        <f>[10]Tabelle1!$HT$3</f>
        <v>7.0356918059692602E-2</v>
      </c>
      <c r="H111" s="38">
        <f t="shared" si="13"/>
        <v>7.6564134223471622E-2</v>
      </c>
      <c r="I111" s="42">
        <f t="shared" si="14"/>
        <v>73246355.073787853</v>
      </c>
    </row>
    <row r="112" spans="1:9">
      <c r="A112" s="90"/>
      <c r="B112" s="74"/>
      <c r="C112" s="74"/>
      <c r="D112" s="74"/>
      <c r="E112" s="74"/>
      <c r="F112" s="74" t="s">
        <v>107</v>
      </c>
      <c r="G112" s="91">
        <f>SUM(G92:G111)</f>
        <v>0.91892788670917769</v>
      </c>
      <c r="H112" s="74"/>
      <c r="I112" s="47"/>
    </row>
  </sheetData>
  <mergeCells count="1">
    <mergeCell ref="O74:R74"/>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52" workbookViewId="0">
      <selection activeCell="C65" sqref="C65"/>
    </sheetView>
  </sheetViews>
  <sheetFormatPr baseColWidth="10" defaultRowHeight="16"/>
  <cols>
    <col min="1" max="1" width="48.453125" customWidth="1"/>
    <col min="2" max="2" width="20.1796875" bestFit="1" customWidth="1"/>
    <col min="4" max="4" width="25.1796875" customWidth="1"/>
    <col min="6" max="6" width="16.7265625" customWidth="1"/>
    <col min="7" max="7" width="21.7265625" customWidth="1"/>
    <col min="8" max="8" width="16.54296875" customWidth="1"/>
    <col min="9" max="9" width="19" customWidth="1"/>
  </cols>
  <sheetData>
    <row r="1" spans="1:9" ht="17.5">
      <c r="A1" s="15" t="s">
        <v>186</v>
      </c>
    </row>
    <row r="3" spans="1:9">
      <c r="A3" s="1" t="s">
        <v>184</v>
      </c>
    </row>
    <row r="4" spans="1:9" ht="32">
      <c r="A4" s="29" t="s">
        <v>0</v>
      </c>
      <c r="B4" s="17" t="s">
        <v>1</v>
      </c>
      <c r="C4" s="17" t="s">
        <v>145</v>
      </c>
      <c r="D4" s="17" t="s">
        <v>3</v>
      </c>
      <c r="E4" s="17"/>
      <c r="F4" s="48" t="s">
        <v>198</v>
      </c>
      <c r="G4" s="48" t="s">
        <v>143</v>
      </c>
      <c r="H4" s="48" t="s">
        <v>116</v>
      </c>
      <c r="I4" s="49" t="s">
        <v>178</v>
      </c>
    </row>
    <row r="5" spans="1:9">
      <c r="A5" s="30" t="s">
        <v>189</v>
      </c>
      <c r="B5" s="50">
        <f>'[5]Weight%'!$B$25</f>
        <v>0.15739979716713529</v>
      </c>
      <c r="C5" s="24" t="s">
        <v>634</v>
      </c>
      <c r="D5" s="114" t="s">
        <v>147</v>
      </c>
      <c r="E5" s="24"/>
      <c r="F5" s="99">
        <v>40</v>
      </c>
      <c r="G5" s="81">
        <f>[11]Production!$M$3</f>
        <v>1.81061602906341E-2</v>
      </c>
      <c r="H5" s="38">
        <f>G5/$G$24</f>
        <v>2.0699919082261414E-2</v>
      </c>
      <c r="I5" s="42">
        <f>H5*$B$11</f>
        <v>38112170.490550928</v>
      </c>
    </row>
    <row r="6" spans="1:9">
      <c r="A6" s="30" t="s">
        <v>187</v>
      </c>
      <c r="B6" s="50">
        <f>'[5]Weight%'!$B$36</f>
        <v>0.24845843924546623</v>
      </c>
      <c r="C6" s="24" t="s">
        <v>634</v>
      </c>
      <c r="D6" s="114"/>
      <c r="E6" s="24"/>
      <c r="F6" s="99">
        <v>56</v>
      </c>
      <c r="G6" s="81">
        <f>[11]Production!$S$3</f>
        <v>2.2485881528850178E-2</v>
      </c>
      <c r="H6" s="38">
        <f t="shared" ref="H6:H23" si="0">G6/$G$24</f>
        <v>2.5707047804126915E-2</v>
      </c>
      <c r="I6" s="42">
        <f t="shared" ref="I6:I23" si="1">H6*$B$11</f>
        <v>47331169.983133696</v>
      </c>
    </row>
    <row r="7" spans="1:9">
      <c r="A7" s="30" t="s">
        <v>188</v>
      </c>
      <c r="B7" s="70">
        <f>'[5]Weight%'!$B$30*'[5]Weight%'!$B$37+'[5]Weight%'!$B$31*'[5]Weight%'!$B$38</f>
        <v>0.31080068472398586</v>
      </c>
      <c r="C7" s="24" t="s">
        <v>634</v>
      </c>
      <c r="D7" s="114"/>
      <c r="E7" s="24"/>
      <c r="F7" s="99">
        <v>124</v>
      </c>
      <c r="G7" s="81">
        <f>[11]Production!$AM$3</f>
        <v>1.7041045343013792E-2</v>
      </c>
      <c r="H7" s="38">
        <f t="shared" si="0"/>
        <v>1.9482223398850709E-2</v>
      </c>
      <c r="I7" s="42">
        <f t="shared" si="1"/>
        <v>35870179.818639249</v>
      </c>
    </row>
    <row r="8" spans="1:9">
      <c r="A8" s="30" t="s">
        <v>190</v>
      </c>
      <c r="B8" s="24">
        <f>B5*data_1tier!B7</f>
        <v>1813245663.3653984</v>
      </c>
      <c r="C8" s="24" t="s">
        <v>8</v>
      </c>
      <c r="D8" s="24"/>
      <c r="E8" s="24"/>
      <c r="F8" s="99">
        <v>156</v>
      </c>
      <c r="G8" s="81">
        <f>[11]Production!$AT$3</f>
        <v>0.23716088773089769</v>
      </c>
      <c r="H8" s="38">
        <f t="shared" si="0"/>
        <v>0.27113485723675429</v>
      </c>
      <c r="I8" s="42">
        <f t="shared" si="1"/>
        <v>499206681.14077729</v>
      </c>
    </row>
    <row r="9" spans="1:9">
      <c r="A9" s="30" t="s">
        <v>191</v>
      </c>
      <c r="B9" s="41">
        <f>B6*data_2tier!B52</f>
        <v>1122631.4059713695</v>
      </c>
      <c r="C9" s="24" t="s">
        <v>8</v>
      </c>
      <c r="D9" s="24"/>
      <c r="E9" s="24"/>
      <c r="F9" s="99">
        <v>251</v>
      </c>
      <c r="G9" s="81">
        <f>[11]Production!$BW$3</f>
        <v>5.2215940784860276E-2</v>
      </c>
      <c r="H9" s="38">
        <f t="shared" si="0"/>
        <v>5.9696022331684993E-2</v>
      </c>
      <c r="I9" s="42">
        <f t="shared" si="1"/>
        <v>109910815.19070171</v>
      </c>
    </row>
    <row r="10" spans="1:9">
      <c r="A10" s="30" t="s">
        <v>192</v>
      </c>
      <c r="B10" s="41">
        <f>B7*data_2tier!B76</f>
        <v>26806559.057443783</v>
      </c>
      <c r="C10" s="24" t="s">
        <v>8</v>
      </c>
      <c r="D10" s="24"/>
      <c r="E10" s="24"/>
      <c r="F10" s="99">
        <v>276</v>
      </c>
      <c r="G10" s="81">
        <f>[11]Production!$CE$3</f>
        <v>0.16243924331100859</v>
      </c>
      <c r="H10" s="38">
        <f t="shared" si="0"/>
        <v>0.18570912542185902</v>
      </c>
      <c r="I10" s="42">
        <f t="shared" si="1"/>
        <v>341922971.85326809</v>
      </c>
    </row>
    <row r="11" spans="1:9">
      <c r="A11" s="30" t="s">
        <v>196</v>
      </c>
      <c r="B11" s="41">
        <f>SUM(B8:B10)</f>
        <v>1841174853.8288136</v>
      </c>
      <c r="C11" s="24" t="s">
        <v>8</v>
      </c>
      <c r="D11" s="24"/>
      <c r="E11" s="24"/>
      <c r="F11" s="99">
        <v>300</v>
      </c>
      <c r="G11" s="81">
        <f>[11]Production!$CI$3</f>
        <v>1.939286845114346E-2</v>
      </c>
      <c r="H11" s="38">
        <f t="shared" si="0"/>
        <v>2.2170951834512412E-2</v>
      </c>
      <c r="I11" s="42">
        <f t="shared" si="1"/>
        <v>40820599.003154054</v>
      </c>
    </row>
    <row r="12" spans="1:9">
      <c r="A12" s="30" t="s">
        <v>193</v>
      </c>
      <c r="B12" s="41">
        <f>B5*data_1tier!B8</f>
        <v>9620275602.8553085</v>
      </c>
      <c r="C12" s="24" t="s">
        <v>8</v>
      </c>
      <c r="D12" s="24"/>
      <c r="E12" s="24"/>
      <c r="F12" s="99">
        <v>381</v>
      </c>
      <c r="G12" s="81">
        <f>[11]Production!$DB$3</f>
        <v>3.0903721484363714E-2</v>
      </c>
      <c r="H12" s="38">
        <f t="shared" si="0"/>
        <v>3.5330767197392865E-2</v>
      </c>
      <c r="I12" s="42">
        <f t="shared" si="1"/>
        <v>65050120.130319647</v>
      </c>
    </row>
    <row r="13" spans="1:9">
      <c r="A13" s="30" t="s">
        <v>194</v>
      </c>
      <c r="B13" s="41">
        <f>B6*data_2tier!B53</f>
        <v>48940501.809793845</v>
      </c>
      <c r="C13" s="24" t="s">
        <v>8</v>
      </c>
      <c r="D13" s="24"/>
      <c r="E13" s="24"/>
      <c r="F13" s="99">
        <v>392</v>
      </c>
      <c r="G13" s="81">
        <f>[11]Production!$DE$3</f>
        <v>1.8045801135606145E-2</v>
      </c>
      <c r="H13" s="38">
        <f t="shared" si="0"/>
        <v>2.0630913307160735E-2</v>
      </c>
      <c r="I13" s="42">
        <f t="shared" si="1"/>
        <v>37985118.792666592</v>
      </c>
    </row>
    <row r="14" spans="1:9">
      <c r="A14" s="30" t="s">
        <v>195</v>
      </c>
      <c r="B14" s="41">
        <f>B7*data_2tier!B77</f>
        <v>142649189.26996869</v>
      </c>
      <c r="C14" s="24" t="s">
        <v>8</v>
      </c>
      <c r="D14" s="24"/>
      <c r="E14" s="24"/>
      <c r="F14" s="99">
        <v>410</v>
      </c>
      <c r="G14" s="81">
        <f>[11]Production!$DJ$3</f>
        <v>7.5279604873439238E-2</v>
      </c>
      <c r="H14" s="38">
        <f t="shared" si="0"/>
        <v>8.6063621685204428E-2</v>
      </c>
      <c r="I14" s="42">
        <f t="shared" si="1"/>
        <v>158458176.07623458</v>
      </c>
    </row>
    <row r="15" spans="1:9">
      <c r="A15" s="30" t="s">
        <v>197</v>
      </c>
      <c r="B15" s="41">
        <f>SUM(B12:B14)</f>
        <v>9811865293.93507</v>
      </c>
      <c r="C15" s="24" t="s">
        <v>8</v>
      </c>
      <c r="D15" s="24"/>
      <c r="E15" s="24"/>
      <c r="F15" s="99">
        <v>579</v>
      </c>
      <c r="G15" s="81">
        <f>[11]Production!$FB$3</f>
        <v>1.3364958655314316E-2</v>
      </c>
      <c r="H15" s="38">
        <f t="shared" si="0"/>
        <v>1.5279526871629551E-2</v>
      </c>
      <c r="I15" s="42">
        <f t="shared" si="1"/>
        <v>28132280.654445969</v>
      </c>
    </row>
    <row r="16" spans="1:9">
      <c r="A16" s="30"/>
      <c r="B16" s="24"/>
      <c r="C16" s="24"/>
      <c r="D16" s="24"/>
      <c r="E16" s="24"/>
      <c r="F16" s="99">
        <v>643</v>
      </c>
      <c r="G16" s="81">
        <f>[11]Production!$FU$3</f>
        <v>1.5875993900377076E-2</v>
      </c>
      <c r="H16" s="38">
        <f t="shared" si="0"/>
        <v>1.8150275034197888E-2</v>
      </c>
      <c r="I16" s="42">
        <f t="shared" si="1"/>
        <v>33417829.983042061</v>
      </c>
    </row>
    <row r="17" spans="1:9">
      <c r="A17" s="30"/>
      <c r="B17" s="24"/>
      <c r="C17" s="24"/>
      <c r="D17" s="24"/>
      <c r="E17" s="24"/>
      <c r="F17" s="99">
        <v>682</v>
      </c>
      <c r="G17" s="81">
        <f>[11]Production!$GF$3</f>
        <v>2.3342881144235557E-2</v>
      </c>
      <c r="H17" s="38">
        <f t="shared" si="0"/>
        <v>2.6686815043964224E-2</v>
      </c>
      <c r="I17" s="42">
        <f t="shared" si="1"/>
        <v>49135092.787727416</v>
      </c>
    </row>
    <row r="18" spans="1:9">
      <c r="A18" s="30"/>
      <c r="B18" s="24"/>
      <c r="C18" s="24"/>
      <c r="D18" s="24"/>
      <c r="E18" s="24"/>
      <c r="F18" s="99">
        <v>710</v>
      </c>
      <c r="G18" s="81">
        <f>[11]Production!$GQ$3</f>
        <v>1.2248134325748566E-2</v>
      </c>
      <c r="H18" s="38">
        <f t="shared" si="0"/>
        <v>1.4002714290716393E-2</v>
      </c>
      <c r="I18" s="42">
        <f t="shared" si="1"/>
        <v>25781445.437416393</v>
      </c>
    </row>
    <row r="19" spans="1:9">
      <c r="A19" s="30"/>
      <c r="B19" s="24"/>
      <c r="C19" s="24"/>
      <c r="D19" s="24"/>
      <c r="E19" s="24"/>
      <c r="F19" s="99">
        <v>724</v>
      </c>
      <c r="G19" s="81">
        <f>[11]Production!$GS$3</f>
        <v>2.5357592249743106E-2</v>
      </c>
      <c r="H19" s="38">
        <f t="shared" si="0"/>
        <v>2.899013922693373E-2</v>
      </c>
      <c r="I19" s="42">
        <f t="shared" si="1"/>
        <v>53375915.353626668</v>
      </c>
    </row>
    <row r="20" spans="1:9">
      <c r="A20" s="30"/>
      <c r="B20" s="24"/>
      <c r="C20" s="24"/>
      <c r="D20" s="24"/>
      <c r="E20" s="24"/>
      <c r="F20" s="99">
        <v>757</v>
      </c>
      <c r="G20" s="81">
        <f>[11]Production!$GZ$3</f>
        <v>3.0628576930149778E-2</v>
      </c>
      <c r="H20" s="38">
        <f t="shared" si="0"/>
        <v>3.5016207405767719E-2</v>
      </c>
      <c r="I20" s="42">
        <f t="shared" si="1"/>
        <v>64470960.5519538</v>
      </c>
    </row>
    <row r="21" spans="1:9">
      <c r="A21" s="30"/>
      <c r="B21" s="24"/>
      <c r="C21" s="24"/>
      <c r="D21" s="24"/>
      <c r="E21" s="24"/>
      <c r="F21" s="99">
        <v>764</v>
      </c>
      <c r="G21" s="81">
        <f>[11]Production!$HC$3</f>
        <v>1.8975942856246104E-2</v>
      </c>
      <c r="H21" s="38">
        <f t="shared" si="0"/>
        <v>2.1694300466184292E-2</v>
      </c>
      <c r="I21" s="42">
        <f t="shared" si="1"/>
        <v>39943000.489745229</v>
      </c>
    </row>
    <row r="22" spans="1:9">
      <c r="A22" s="30"/>
      <c r="B22" s="24"/>
      <c r="C22" s="24"/>
      <c r="D22" s="24"/>
      <c r="E22" s="24"/>
      <c r="F22" s="99">
        <v>792</v>
      </c>
      <c r="G22" s="81">
        <f>[11]Production!$HJ$3</f>
        <v>1.5229202154343348E-2</v>
      </c>
      <c r="H22" s="38">
        <f t="shared" si="0"/>
        <v>1.7410828536924893E-2</v>
      </c>
      <c r="I22" s="42">
        <f t="shared" si="1"/>
        <v>32056379.686511226</v>
      </c>
    </row>
    <row r="23" spans="1:9">
      <c r="A23" s="30"/>
      <c r="B23" s="24"/>
      <c r="C23" s="24"/>
      <c r="D23" s="24"/>
      <c r="E23" s="24"/>
      <c r="F23" s="99">
        <v>842</v>
      </c>
      <c r="G23" s="81">
        <f>[11]Production!$HT$3</f>
        <v>6.6602715949043281E-2</v>
      </c>
      <c r="H23" s="38">
        <f t="shared" si="0"/>
        <v>7.6143743823873705E-2</v>
      </c>
      <c r="I23" s="42">
        <f t="shared" si="1"/>
        <v>140193946.4048993</v>
      </c>
    </row>
    <row r="24" spans="1:9">
      <c r="A24" s="90"/>
      <c r="B24" s="74"/>
      <c r="C24" s="74"/>
      <c r="D24" s="74"/>
      <c r="E24" s="74"/>
      <c r="F24" s="74" t="s">
        <v>107</v>
      </c>
      <c r="G24" s="91">
        <f>SUM(G5:G23)</f>
        <v>0.87469715309901819</v>
      </c>
      <c r="H24" s="74"/>
      <c r="I24" s="47"/>
    </row>
    <row r="26" spans="1:9">
      <c r="A26" s="1" t="s">
        <v>199</v>
      </c>
    </row>
    <row r="27" spans="1:9" ht="32">
      <c r="A27" s="29" t="s">
        <v>0</v>
      </c>
      <c r="B27" s="17" t="s">
        <v>1</v>
      </c>
      <c r="C27" s="17" t="s">
        <v>145</v>
      </c>
      <c r="D27" s="17" t="s">
        <v>3</v>
      </c>
      <c r="F27" s="48" t="s">
        <v>198</v>
      </c>
      <c r="G27" s="48" t="s">
        <v>143</v>
      </c>
      <c r="H27" s="48" t="s">
        <v>116</v>
      </c>
      <c r="I27" s="49" t="s">
        <v>178</v>
      </c>
    </row>
    <row r="28" spans="1:9" ht="48">
      <c r="A28" s="30" t="s">
        <v>200</v>
      </c>
      <c r="B28" s="14">
        <f>'[5]Weight%'!$B$39</f>
        <v>0.14070731777826728</v>
      </c>
      <c r="C28" s="24" t="s">
        <v>634</v>
      </c>
      <c r="D28" s="67" t="s">
        <v>147</v>
      </c>
      <c r="F28" s="19">
        <v>40</v>
      </c>
      <c r="G28" s="10">
        <f>[12]Tabelle1!$M$3</f>
        <v>7.2739286267501271E-2</v>
      </c>
      <c r="H28" s="4">
        <f>G28/$G$46</f>
        <v>7.9972618022800965E-2</v>
      </c>
      <c r="I28" s="20">
        <f>H28*$B$29</f>
        <v>970548.1848261283</v>
      </c>
    </row>
    <row r="29" spans="1:9">
      <c r="A29" s="30" t="s">
        <v>201</v>
      </c>
      <c r="B29" s="20">
        <f>B28*data_2tier!B76</f>
        <v>12136006.158375554</v>
      </c>
      <c r="C29" t="s">
        <v>8</v>
      </c>
      <c r="F29" s="19">
        <v>156</v>
      </c>
      <c r="G29" s="10">
        <f>[12]Tabelle1!$AT$3</f>
        <v>0.37620659031306231</v>
      </c>
      <c r="H29" s="4">
        <f t="shared" ref="H29:H45" si="2">G29/$G$46</f>
        <v>0.41361728288237198</v>
      </c>
      <c r="I29" s="20">
        <f t="shared" ref="I29:I45" si="3">H29*$B$29</f>
        <v>5019661.8922710298</v>
      </c>
    </row>
    <row r="30" spans="1:9">
      <c r="A30" s="30" t="s">
        <v>202</v>
      </c>
      <c r="B30" s="20">
        <f>B28*data_2tier!B77</f>
        <v>64580889.914212763</v>
      </c>
      <c r="C30" t="s">
        <v>8</v>
      </c>
      <c r="F30" s="19">
        <v>191</v>
      </c>
      <c r="G30" s="10">
        <f>[12]Tabelle1!$BD$3</f>
        <v>2.0069112270487431E-2</v>
      </c>
      <c r="H30" s="4">
        <f t="shared" si="2"/>
        <v>2.2064822629163986E-2</v>
      </c>
      <c r="I30" s="20">
        <f t="shared" si="3"/>
        <v>267778.82331099838</v>
      </c>
    </row>
    <row r="31" spans="1:9">
      <c r="F31" s="19">
        <v>251</v>
      </c>
      <c r="G31" s="10">
        <f>[12]Tabelle1!$BW$3</f>
        <v>1.4204944723089708E-2</v>
      </c>
      <c r="H31" s="4">
        <f t="shared" si="2"/>
        <v>1.5617511205663353E-2</v>
      </c>
      <c r="I31" s="20">
        <f t="shared" si="3"/>
        <v>189534.21217042967</v>
      </c>
    </row>
    <row r="32" spans="1:9">
      <c r="F32" s="19">
        <v>276</v>
      </c>
      <c r="G32" s="10">
        <f>[12]Tabelle1!$CE$3</f>
        <v>7.9042630863031399E-2</v>
      </c>
      <c r="H32" s="4">
        <f t="shared" si="2"/>
        <v>8.6902779088041435E-2</v>
      </c>
      <c r="I32" s="20">
        <f t="shared" si="3"/>
        <v>1054652.662192421</v>
      </c>
    </row>
    <row r="33" spans="1:9">
      <c r="F33" s="19">
        <v>300</v>
      </c>
      <c r="G33" s="10">
        <f>[12]Tabelle1!$CI$3</f>
        <v>1.4980800371942098E-2</v>
      </c>
      <c r="H33" s="4">
        <f t="shared" si="2"/>
        <v>1.6470519402888767E-2</v>
      </c>
      <c r="I33" s="20">
        <f t="shared" si="3"/>
        <v>199886.32490510211</v>
      </c>
    </row>
    <row r="34" spans="1:9">
      <c r="F34" s="19">
        <v>381</v>
      </c>
      <c r="G34" s="10">
        <f>[12]Tabelle1!$DB$3</f>
        <v>6.6399709991414133E-2</v>
      </c>
      <c r="H34" s="4">
        <f t="shared" si="2"/>
        <v>7.300262233038457E-2</v>
      </c>
      <c r="I34" s="20">
        <f t="shared" si="3"/>
        <v>885960.27417911182</v>
      </c>
    </row>
    <row r="35" spans="1:9">
      <c r="F35" s="19">
        <v>392</v>
      </c>
      <c r="G35" s="10">
        <f>[12]Tabelle1!$DE$3</f>
        <v>2.6264588278567612E-2</v>
      </c>
      <c r="H35" s="4">
        <f t="shared" si="2"/>
        <v>2.8876388451263498E-2</v>
      </c>
      <c r="I35" s="20">
        <f t="shared" si="3"/>
        <v>350444.02807617851</v>
      </c>
    </row>
    <row r="36" spans="1:9">
      <c r="F36" s="19">
        <v>410</v>
      </c>
      <c r="G36" s="10">
        <f>[12]Tabelle1!$DJ$3</f>
        <v>2.3806932725370409E-2</v>
      </c>
      <c r="H36" s="4">
        <f t="shared" si="2"/>
        <v>2.6174338996658542E-2</v>
      </c>
      <c r="I36" s="20">
        <f t="shared" si="3"/>
        <v>317651.93925485748</v>
      </c>
    </row>
    <row r="37" spans="1:9">
      <c r="F37" s="19">
        <v>458</v>
      </c>
      <c r="G37" s="10">
        <f>[12]Tabelle1!$DX$3</f>
        <v>2.269182486835513E-2</v>
      </c>
      <c r="H37" s="4">
        <f t="shared" si="2"/>
        <v>2.4948342712128729E-2</v>
      </c>
      <c r="I37" s="20">
        <f t="shared" si="3"/>
        <v>302773.24079565814</v>
      </c>
    </row>
    <row r="38" spans="1:9">
      <c r="F38" s="19">
        <v>608</v>
      </c>
      <c r="G38" s="10">
        <f>[12]Tabelle1!$FM$3</f>
        <v>2.9637175776911689E-2</v>
      </c>
      <c r="H38" s="4">
        <f t="shared" si="2"/>
        <v>3.2584352408479955E-2</v>
      </c>
      <c r="I38" s="20">
        <f t="shared" si="3"/>
        <v>395443.90149599203</v>
      </c>
    </row>
    <row r="39" spans="1:9">
      <c r="F39" s="19">
        <v>616</v>
      </c>
      <c r="G39" s="10">
        <f>[12]Tabelle1!$FO$3</f>
        <v>2.0950290085340988E-2</v>
      </c>
      <c r="H39" s="4">
        <f t="shared" si="2"/>
        <v>2.3033626427132168E-2</v>
      </c>
      <c r="I39" s="20">
        <f t="shared" si="3"/>
        <v>279536.23216939787</v>
      </c>
    </row>
    <row r="40" spans="1:9">
      <c r="F40" s="19">
        <v>699</v>
      </c>
      <c r="G40" s="10">
        <f>[12]Tabelle1!$GK$3</f>
        <v>1.8024109297164317E-2</v>
      </c>
      <c r="H40" s="4">
        <f t="shared" si="2"/>
        <v>1.9816460704912737E-2</v>
      </c>
      <c r="I40" s="20">
        <f t="shared" si="3"/>
        <v>240492.68915202815</v>
      </c>
    </row>
    <row r="41" spans="1:9">
      <c r="F41" s="19">
        <v>757</v>
      </c>
      <c r="G41" s="10">
        <f>[12]Tabelle1!$GZ$3</f>
        <v>1.8242806120623543E-2</v>
      </c>
      <c r="H41" s="4">
        <f t="shared" si="2"/>
        <v>2.0056905152786277E-2</v>
      </c>
      <c r="I41" s="20">
        <f t="shared" si="3"/>
        <v>243410.72445216862</v>
      </c>
    </row>
    <row r="42" spans="1:9">
      <c r="F42" s="19">
        <v>764</v>
      </c>
      <c r="G42" s="10">
        <f>[12]Tabelle1!$HC$3</f>
        <v>5.1621354655649251E-2</v>
      </c>
      <c r="H42" s="4">
        <f t="shared" si="2"/>
        <v>5.6754679479721966E-2</v>
      </c>
      <c r="I42" s="20">
        <f t="shared" si="3"/>
        <v>688775.13968253648</v>
      </c>
    </row>
    <row r="43" spans="1:9">
      <c r="F43" s="19">
        <v>784</v>
      </c>
      <c r="G43" s="10">
        <f>[12]Tabelle1!$HH$3</f>
        <v>1.0972916063919194E-2</v>
      </c>
      <c r="H43" s="4">
        <f t="shared" si="2"/>
        <v>1.2064083523570863E-2</v>
      </c>
      <c r="I43" s="20">
        <f t="shared" si="3"/>
        <v>146409.79193721304</v>
      </c>
    </row>
    <row r="44" spans="1:9">
      <c r="F44" s="19">
        <v>792</v>
      </c>
      <c r="G44" s="10">
        <f>[12]Tabelle1!$HJ$3</f>
        <v>1.8475556290640672E-2</v>
      </c>
      <c r="H44" s="4">
        <f t="shared" si="2"/>
        <v>2.0312800438492949E-2</v>
      </c>
      <c r="I44" s="20">
        <f t="shared" si="3"/>
        <v>246516.27121540409</v>
      </c>
    </row>
    <row r="45" spans="1:9">
      <c r="F45" s="19">
        <v>842</v>
      </c>
      <c r="G45" s="10">
        <f>[12]Tabelle1!$HT$3</f>
        <v>2.5221766167504808E-2</v>
      </c>
      <c r="H45" s="4">
        <f t="shared" si="2"/>
        <v>2.7729866143537514E-2</v>
      </c>
      <c r="I45" s="20">
        <f t="shared" si="3"/>
        <v>336529.82628890104</v>
      </c>
    </row>
    <row r="46" spans="1:9">
      <c r="F46" t="s">
        <v>107</v>
      </c>
      <c r="G46" s="10">
        <f>SUM(G28:G45)</f>
        <v>0.90955239513057573</v>
      </c>
    </row>
    <row r="48" spans="1:9">
      <c r="A48" s="1" t="s">
        <v>203</v>
      </c>
    </row>
    <row r="49" spans="1:9">
      <c r="A49" s="29" t="s">
        <v>0</v>
      </c>
      <c r="B49" s="17" t="s">
        <v>1</v>
      </c>
      <c r="C49" s="17" t="s">
        <v>145</v>
      </c>
      <c r="D49" s="17" t="s">
        <v>3</v>
      </c>
      <c r="E49" s="17"/>
      <c r="F49" s="17"/>
      <c r="G49" s="17"/>
      <c r="H49" s="17"/>
      <c r="I49" s="18"/>
    </row>
    <row r="50" spans="1:9">
      <c r="A50" s="30" t="s">
        <v>204</v>
      </c>
      <c r="B50" s="50">
        <f>'[5]Weight%'!$B$26</f>
        <v>2.0512034198645158E-2</v>
      </c>
      <c r="C50" s="24" t="s">
        <v>634</v>
      </c>
      <c r="D50" s="114" t="s">
        <v>147</v>
      </c>
      <c r="E50" s="24"/>
      <c r="F50" s="24" t="s">
        <v>607</v>
      </c>
      <c r="G50" s="24"/>
      <c r="H50" s="24"/>
      <c r="I50" s="28"/>
    </row>
    <row r="51" spans="1:9" ht="32">
      <c r="A51" s="30" t="s">
        <v>205</v>
      </c>
      <c r="B51" s="50">
        <f>'[5]Weight%'!$B$29</f>
        <v>2.0512034198645158E-2</v>
      </c>
      <c r="C51" s="24" t="s">
        <v>634</v>
      </c>
      <c r="D51" s="114"/>
      <c r="E51" s="24"/>
      <c r="F51" s="24" t="s">
        <v>133</v>
      </c>
      <c r="G51" s="24" t="s">
        <v>215</v>
      </c>
      <c r="H51" s="67" t="s">
        <v>116</v>
      </c>
      <c r="I51" s="88" t="s">
        <v>178</v>
      </c>
    </row>
    <row r="52" spans="1:9">
      <c r="A52" s="30" t="s">
        <v>206</v>
      </c>
      <c r="B52" s="50">
        <f>'[5]Weight%'!$B$35</f>
        <v>1.4358423939051609E-2</v>
      </c>
      <c r="C52" s="24" t="s">
        <v>634</v>
      </c>
      <c r="D52" s="114"/>
      <c r="E52" s="24"/>
      <c r="F52" s="24" t="s">
        <v>92</v>
      </c>
      <c r="G52" s="81">
        <v>0.92</v>
      </c>
      <c r="H52" s="53">
        <f>G52/$G$59</f>
        <v>0.91089108910891115</v>
      </c>
      <c r="I52" s="42">
        <f>H52*$B$56</f>
        <v>71068128.934370592</v>
      </c>
    </row>
    <row r="53" spans="1:9">
      <c r="A53" s="30" t="s">
        <v>207</v>
      </c>
      <c r="B53" s="41">
        <f>B50*data_1tier!G9</f>
        <v>26082356.794844508</v>
      </c>
      <c r="C53" s="24" t="s">
        <v>8</v>
      </c>
      <c r="D53" s="24"/>
      <c r="E53" s="24"/>
      <c r="F53" s="24" t="s">
        <v>105</v>
      </c>
      <c r="G53" s="50">
        <v>7.0000000000000007E-2</v>
      </c>
      <c r="H53" s="53">
        <f t="shared" ref="H53:H58" si="4">G53/$G$59</f>
        <v>6.9306930693069327E-2</v>
      </c>
      <c r="I53" s="42">
        <f t="shared" ref="I53:I58" si="5">H53*$B$56</f>
        <v>5407357.6363108056</v>
      </c>
    </row>
    <row r="54" spans="1:9">
      <c r="A54" s="30" t="s">
        <v>208</v>
      </c>
      <c r="B54" s="41">
        <f>B51*data_1tier!L9</f>
        <v>51873212.183040872</v>
      </c>
      <c r="C54" s="24" t="s">
        <v>8</v>
      </c>
      <c r="D54" s="24"/>
      <c r="E54" s="24"/>
      <c r="F54" s="24" t="s">
        <v>93</v>
      </c>
      <c r="G54" s="81">
        <v>0.01</v>
      </c>
      <c r="H54" s="38">
        <f t="shared" si="4"/>
        <v>9.9009900990099028E-3</v>
      </c>
      <c r="I54" s="42">
        <f t="shared" si="5"/>
        <v>772479.6623301151</v>
      </c>
    </row>
    <row r="55" spans="1:9">
      <c r="A55" s="30" t="s">
        <v>209</v>
      </c>
      <c r="B55" s="41">
        <f>B52*data_2tier!B52</f>
        <v>64876.917456224481</v>
      </c>
      <c r="C55" s="24" t="s">
        <v>8</v>
      </c>
      <c r="D55" s="24"/>
      <c r="E55" s="24"/>
      <c r="F55" s="24" t="s">
        <v>115</v>
      </c>
      <c r="G55" s="50">
        <v>2.5000000000000001E-3</v>
      </c>
      <c r="H55" s="38">
        <f t="shared" si="4"/>
        <v>2.4752475247524757E-3</v>
      </c>
      <c r="I55" s="42">
        <f t="shared" si="5"/>
        <v>193119.91558252877</v>
      </c>
    </row>
    <row r="56" spans="1:9">
      <c r="A56" s="30" t="s">
        <v>213</v>
      </c>
      <c r="B56" s="41">
        <f>SUM(B53:B55)</f>
        <v>78020445.895341605</v>
      </c>
      <c r="C56" s="24" t="s">
        <v>8</v>
      </c>
      <c r="D56" s="24"/>
      <c r="E56" s="24"/>
      <c r="F56" s="24" t="s">
        <v>139</v>
      </c>
      <c r="G56" s="50">
        <v>2.5000000000000001E-3</v>
      </c>
      <c r="H56" s="38">
        <f t="shared" si="4"/>
        <v>2.4752475247524757E-3</v>
      </c>
      <c r="I56" s="42">
        <f t="shared" si="5"/>
        <v>193119.91558252877</v>
      </c>
    </row>
    <row r="57" spans="1:9">
      <c r="A57" s="30" t="s">
        <v>210</v>
      </c>
      <c r="B57" s="41">
        <f>B50*data_1tier!G10</f>
        <v>201675513.66852349</v>
      </c>
      <c r="C57" s="24" t="s">
        <v>8</v>
      </c>
      <c r="D57" s="24"/>
      <c r="E57" s="24"/>
      <c r="F57" s="24" t="s">
        <v>100</v>
      </c>
      <c r="G57" s="50">
        <v>2.5000000000000001E-3</v>
      </c>
      <c r="H57" s="38">
        <f t="shared" si="4"/>
        <v>2.4752475247524757E-3</v>
      </c>
      <c r="I57" s="42">
        <f t="shared" si="5"/>
        <v>193119.91558252877</v>
      </c>
    </row>
    <row r="58" spans="1:9">
      <c r="A58" s="30" t="s">
        <v>211</v>
      </c>
      <c r="B58" s="41">
        <f>B51*data_1tier!L11</f>
        <v>1665658990.7311981</v>
      </c>
      <c r="C58" s="24" t="s">
        <v>8</v>
      </c>
      <c r="D58" s="24"/>
      <c r="E58" s="24"/>
      <c r="F58" s="24" t="s">
        <v>96</v>
      </c>
      <c r="G58" s="50">
        <v>2.5000000000000001E-3</v>
      </c>
      <c r="H58" s="38">
        <f t="shared" si="4"/>
        <v>2.4752475247524757E-3</v>
      </c>
      <c r="I58" s="42">
        <f t="shared" si="5"/>
        <v>193119.91558252877</v>
      </c>
    </row>
    <row r="59" spans="1:9">
      <c r="A59" s="30" t="s">
        <v>212</v>
      </c>
      <c r="B59" s="41">
        <f>B52*data_2tier!B53</f>
        <v>2828273.7141429791</v>
      </c>
      <c r="C59" s="24" t="s">
        <v>8</v>
      </c>
      <c r="D59" s="24"/>
      <c r="E59" s="24"/>
      <c r="F59" s="24" t="s">
        <v>107</v>
      </c>
      <c r="G59" s="81">
        <f>SUM(G52:G58)</f>
        <v>1.0099999999999998</v>
      </c>
      <c r="H59" s="24"/>
      <c r="I59" s="28"/>
    </row>
    <row r="60" spans="1:9">
      <c r="A60" s="90" t="s">
        <v>214</v>
      </c>
      <c r="B60" s="74">
        <f>SUM(B57:B59)</f>
        <v>1870162778.1138647</v>
      </c>
      <c r="C60" s="74" t="s">
        <v>8</v>
      </c>
      <c r="D60" s="74"/>
      <c r="E60" s="74"/>
      <c r="F60" s="74"/>
      <c r="G60" s="74"/>
      <c r="H60" s="74"/>
      <c r="I60" s="47"/>
    </row>
    <row r="63" spans="1:9">
      <c r="A63" s="1" t="s">
        <v>510</v>
      </c>
    </row>
    <row r="64" spans="1:9" ht="32">
      <c r="A64" s="29" t="s">
        <v>0</v>
      </c>
      <c r="B64" s="17" t="s">
        <v>1</v>
      </c>
      <c r="C64" s="17" t="s">
        <v>145</v>
      </c>
      <c r="D64" s="17" t="s">
        <v>3</v>
      </c>
      <c r="E64" s="17"/>
      <c r="F64" s="48" t="s">
        <v>142</v>
      </c>
      <c r="G64" s="48" t="s">
        <v>143</v>
      </c>
      <c r="H64" s="48" t="s">
        <v>116</v>
      </c>
      <c r="I64" s="49" t="s">
        <v>178</v>
      </c>
    </row>
    <row r="65" spans="1:9">
      <c r="A65" s="30" t="s">
        <v>511</v>
      </c>
      <c r="B65" s="115">
        <f>'[5]Weight%'!$B$40</f>
        <v>1.4499999999999999E-3</v>
      </c>
      <c r="C65" s="24" t="s">
        <v>634</v>
      </c>
      <c r="D65" s="114" t="s">
        <v>147</v>
      </c>
      <c r="E65" s="24"/>
      <c r="F65" s="24" t="s">
        <v>522</v>
      </c>
      <c r="G65" s="50">
        <f>[13]Production!$M$3</f>
        <v>0.18388863781689474</v>
      </c>
      <c r="H65" s="38">
        <f>G65/$G$78</f>
        <v>0.1977750543614761</v>
      </c>
      <c r="I65" s="42">
        <f>H65*$B$71</f>
        <v>2216468.991587956</v>
      </c>
    </row>
    <row r="66" spans="1:9">
      <c r="A66" s="30" t="s">
        <v>512</v>
      </c>
      <c r="B66" s="115">
        <f>'[5]Weight%'!$B$41</f>
        <v>8.1232492997198886E-4</v>
      </c>
      <c r="C66" s="24" t="s">
        <v>634</v>
      </c>
      <c r="D66" s="114"/>
      <c r="E66" s="24"/>
      <c r="F66" s="24" t="s">
        <v>103</v>
      </c>
      <c r="G66" s="50">
        <f>[13]Production!$AM$3</f>
        <v>2.8683420101097055E-2</v>
      </c>
      <c r="H66" s="38">
        <f t="shared" ref="H66:H77" si="6">G66/$G$78</f>
        <v>3.0849458874213996E-2</v>
      </c>
      <c r="I66" s="42">
        <f t="shared" ref="I66:I77" si="7">H66*$B$71</f>
        <v>345730.50288227905</v>
      </c>
    </row>
    <row r="67" spans="1:9">
      <c r="A67" s="30" t="s">
        <v>513</v>
      </c>
      <c r="B67" s="115">
        <f>'[5]Weight%'!$B$42</f>
        <v>1.1662443425233366E-3</v>
      </c>
      <c r="C67" s="24" t="s">
        <v>634</v>
      </c>
      <c r="D67" s="114"/>
      <c r="E67" s="24"/>
      <c r="F67" s="24" t="s">
        <v>92</v>
      </c>
      <c r="G67" s="50">
        <f>[13]Production!$AT$3</f>
        <v>0.11980247113574231</v>
      </c>
      <c r="H67" s="38">
        <f t="shared" si="6"/>
        <v>0.12884939778119195</v>
      </c>
      <c r="I67" s="42">
        <f t="shared" si="7"/>
        <v>1444017.7791321245</v>
      </c>
    </row>
    <row r="68" spans="1:9">
      <c r="A68" s="30" t="s">
        <v>514</v>
      </c>
      <c r="B68" s="41">
        <f>B65*data_1tier!G9</f>
        <v>1843767.2727272727</v>
      </c>
      <c r="C68" s="24" t="s">
        <v>8</v>
      </c>
      <c r="D68" s="24"/>
      <c r="E68" s="24"/>
      <c r="F68" s="24" t="s">
        <v>137</v>
      </c>
      <c r="G68" s="50">
        <f>[13]Production!$BG$3</f>
        <v>0.138820909521119</v>
      </c>
      <c r="H68" s="38">
        <f t="shared" si="6"/>
        <v>0.14930402037339152</v>
      </c>
      <c r="I68" s="42">
        <f t="shared" si="7"/>
        <v>1673253.143807498</v>
      </c>
    </row>
    <row r="69" spans="1:9">
      <c r="A69" s="30" t="s">
        <v>515</v>
      </c>
      <c r="B69" s="41">
        <f>B66*data_1tier!B7</f>
        <v>9357983.1932773124</v>
      </c>
      <c r="C69" s="24" t="s">
        <v>8</v>
      </c>
      <c r="D69" s="24"/>
      <c r="E69" s="24"/>
      <c r="F69" s="24" t="s">
        <v>115</v>
      </c>
      <c r="G69" s="50">
        <f>[13]Production!$CE$3</f>
        <v>2.4438726986534286E-2</v>
      </c>
      <c r="H69" s="38">
        <f t="shared" si="6"/>
        <v>2.628422623424875E-2</v>
      </c>
      <c r="I69" s="42">
        <f t="shared" si="7"/>
        <v>294567.8493386521</v>
      </c>
    </row>
    <row r="70" spans="1:9">
      <c r="A70" s="30" t="s">
        <v>516</v>
      </c>
      <c r="B70" s="41">
        <f>B67*data_2tier!B52</f>
        <v>5269.5433889433471</v>
      </c>
      <c r="C70" s="24" t="s">
        <v>8</v>
      </c>
      <c r="D70" s="24"/>
      <c r="E70" s="24"/>
      <c r="F70" s="24" t="s">
        <v>105</v>
      </c>
      <c r="G70" s="50">
        <f>[13]Production!$DE$3</f>
        <v>2.0852822824271974E-2</v>
      </c>
      <c r="H70" s="38">
        <f t="shared" si="6"/>
        <v>2.2427531230979146E-2</v>
      </c>
      <c r="I70" s="42">
        <f t="shared" si="7"/>
        <v>251345.7912668816</v>
      </c>
    </row>
    <row r="71" spans="1:9">
      <c r="A71" s="30" t="s">
        <v>520</v>
      </c>
      <c r="B71" s="41">
        <f>SUM(B68:B70)</f>
        <v>11207020.00939353</v>
      </c>
      <c r="C71" s="24" t="s">
        <v>8</v>
      </c>
      <c r="D71" s="24"/>
      <c r="E71" s="24"/>
      <c r="F71" s="24" t="s">
        <v>138</v>
      </c>
      <c r="G71" s="50">
        <f>[13]Production!$DJ$3</f>
        <v>5.5284308681190039E-2</v>
      </c>
      <c r="H71" s="38">
        <f t="shared" si="6"/>
        <v>5.945912311149025E-2</v>
      </c>
      <c r="I71" s="42">
        <f t="shared" si="7"/>
        <v>666359.58245146449</v>
      </c>
    </row>
    <row r="72" spans="1:9">
      <c r="A72" s="30" t="s">
        <v>517</v>
      </c>
      <c r="B72" s="41">
        <f>B65*data_1tier!G10</f>
        <v>14256484.363636363</v>
      </c>
      <c r="C72" s="24" t="s">
        <v>8</v>
      </c>
      <c r="D72" s="24"/>
      <c r="E72" s="24"/>
      <c r="F72" s="24" t="s">
        <v>523</v>
      </c>
      <c r="G72" s="50">
        <f>[13]Production!$DP$3</f>
        <v>1.0764339560196377E-2</v>
      </c>
      <c r="H72" s="38">
        <f t="shared" si="6"/>
        <v>1.1577212529047471E-2</v>
      </c>
      <c r="I72" s="42">
        <f t="shared" si="7"/>
        <v>129746.05246603648</v>
      </c>
    </row>
    <row r="73" spans="1:9">
      <c r="A73" s="30" t="s">
        <v>518</v>
      </c>
      <c r="B73" s="41">
        <f>B66*data_1tier!B8</f>
        <v>49649299.719887957</v>
      </c>
      <c r="C73" s="24" t="s">
        <v>8</v>
      </c>
      <c r="D73" s="24"/>
      <c r="E73" s="24"/>
      <c r="F73" s="24" t="s">
        <v>114</v>
      </c>
      <c r="G73" s="50">
        <f>[13]Production!$EO$3</f>
        <v>6.2719122407173963E-2</v>
      </c>
      <c r="H73" s="38">
        <f t="shared" si="6"/>
        <v>6.7455379466861573E-2</v>
      </c>
      <c r="I73" s="42">
        <f t="shared" si="7"/>
        <v>755973.7874263511</v>
      </c>
    </row>
    <row r="74" spans="1:9">
      <c r="A74" s="30" t="s">
        <v>519</v>
      </c>
      <c r="B74" s="41">
        <f>B67*data_2tier!B53</f>
        <v>229722.86040779634</v>
      </c>
      <c r="C74" s="24" t="s">
        <v>8</v>
      </c>
      <c r="D74" s="24"/>
      <c r="E74" s="24"/>
      <c r="F74" s="24" t="s">
        <v>524</v>
      </c>
      <c r="G74" s="50">
        <f>[13]Production!$EV$3</f>
        <v>0.11921576475572462</v>
      </c>
      <c r="H74" s="38">
        <f t="shared" si="6"/>
        <v>0.12821838605811983</v>
      </c>
      <c r="I74" s="42">
        <f t="shared" si="7"/>
        <v>1436946.0181254933</v>
      </c>
    </row>
    <row r="75" spans="1:9">
      <c r="A75" s="30" t="s">
        <v>521</v>
      </c>
      <c r="B75" s="41">
        <f>SUM(B72:B74)</f>
        <v>64135506.943932116</v>
      </c>
      <c r="C75" s="24" t="s">
        <v>8</v>
      </c>
      <c r="D75" s="24"/>
      <c r="E75" s="24"/>
      <c r="F75" s="24" t="s">
        <v>112</v>
      </c>
      <c r="G75" s="50">
        <f>[13]Production!$FU$3</f>
        <v>2.3014721438727119E-2</v>
      </c>
      <c r="H75" s="38">
        <f t="shared" si="6"/>
        <v>2.4752686395941619E-2</v>
      </c>
      <c r="I75" s="42">
        <f t="shared" si="7"/>
        <v>277403.85172556073</v>
      </c>
    </row>
    <row r="76" spans="1:9">
      <c r="A76" s="30"/>
      <c r="B76" s="24"/>
      <c r="C76" s="24"/>
      <c r="D76" s="24"/>
      <c r="E76" s="24"/>
      <c r="F76" s="24" t="s">
        <v>100</v>
      </c>
      <c r="G76" s="50">
        <f>[13]Production!$GO$3</f>
        <v>1.8851630739995583E-2</v>
      </c>
      <c r="H76" s="38">
        <f t="shared" si="6"/>
        <v>2.0275218407553815E-2</v>
      </c>
      <c r="I76" s="42">
        <f t="shared" si="7"/>
        <v>227224.77838827964</v>
      </c>
    </row>
    <row r="77" spans="1:9">
      <c r="A77" s="30"/>
      <c r="B77" s="24"/>
      <c r="C77" s="24"/>
      <c r="D77" s="24"/>
      <c r="E77" s="24"/>
      <c r="F77" s="24" t="s">
        <v>183</v>
      </c>
      <c r="G77" s="50">
        <f>[13]Production!$GQ$3</f>
        <v>0.12344993870614544</v>
      </c>
      <c r="H77" s="38">
        <f t="shared" si="6"/>
        <v>0.13277230517548408</v>
      </c>
      <c r="I77" s="42">
        <f t="shared" si="7"/>
        <v>1487981.8807949543</v>
      </c>
    </row>
    <row r="78" spans="1:9">
      <c r="A78" s="90"/>
      <c r="B78" s="74"/>
      <c r="C78" s="74"/>
      <c r="D78" s="74"/>
      <c r="E78" s="74"/>
      <c r="F78" s="74" t="s">
        <v>107</v>
      </c>
      <c r="G78" s="116">
        <f>SUM(G65:G77)</f>
        <v>0.92978681467481239</v>
      </c>
      <c r="H78" s="74"/>
      <c r="I78" s="47"/>
    </row>
    <row r="80" spans="1:9">
      <c r="A80" s="1" t="s">
        <v>558</v>
      </c>
    </row>
    <row r="81" spans="1:1">
      <c r="A81" t="s">
        <v>608</v>
      </c>
    </row>
  </sheetData>
  <mergeCells count="3">
    <mergeCell ref="D5:D7"/>
    <mergeCell ref="D50:D52"/>
    <mergeCell ref="D65:D6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2"/>
  <sheetViews>
    <sheetView topLeftCell="A238" workbookViewId="0">
      <selection activeCell="C250" sqref="C250"/>
    </sheetView>
  </sheetViews>
  <sheetFormatPr baseColWidth="10" defaultRowHeight="16"/>
  <cols>
    <col min="1" max="1" width="41.81640625" customWidth="1"/>
    <col min="2" max="2" width="18.453125" customWidth="1"/>
    <col min="4" max="4" width="30.1796875" customWidth="1"/>
    <col min="6" max="6" width="25.54296875" customWidth="1"/>
    <col min="7" max="7" width="43.54296875" customWidth="1"/>
    <col min="8" max="8" width="20" customWidth="1"/>
    <col min="9" max="9" width="20.453125" customWidth="1"/>
  </cols>
  <sheetData>
    <row r="1" spans="1:9">
      <c r="A1" s="1" t="s">
        <v>216</v>
      </c>
    </row>
    <row r="3" spans="1:9">
      <c r="A3" s="51" t="s">
        <v>217</v>
      </c>
    </row>
    <row r="4" spans="1:9" ht="32">
      <c r="A4" s="29" t="s">
        <v>0</v>
      </c>
      <c r="B4" s="17" t="s">
        <v>1</v>
      </c>
      <c r="C4" s="17" t="s">
        <v>145</v>
      </c>
      <c r="D4" s="17" t="s">
        <v>3</v>
      </c>
      <c r="E4" s="17"/>
      <c r="F4" s="48" t="s">
        <v>218</v>
      </c>
      <c r="G4" s="48" t="s">
        <v>143</v>
      </c>
      <c r="H4" s="48" t="s">
        <v>116</v>
      </c>
      <c r="I4" s="49" t="s">
        <v>178</v>
      </c>
    </row>
    <row r="5" spans="1:9" ht="19.5" customHeight="1">
      <c r="A5" s="60" t="s">
        <v>222</v>
      </c>
      <c r="B5" s="70">
        <f>'[5]Weight%'!$B$44</f>
        <v>5.0000000000000001E-3</v>
      </c>
      <c r="C5" s="24" t="s">
        <v>634</v>
      </c>
      <c r="D5" s="114" t="s">
        <v>147</v>
      </c>
      <c r="E5" s="24"/>
      <c r="F5" s="99">
        <v>104</v>
      </c>
      <c r="G5" s="50">
        <f>[14]Production!$AH$3</f>
        <v>7.7886727849415333E-2</v>
      </c>
      <c r="H5" s="70">
        <f>G5/$G$17</f>
        <v>8.3663729851356075E-2</v>
      </c>
      <c r="I5" s="42">
        <f>H5*$B$9</f>
        <v>4289638.5028539281</v>
      </c>
    </row>
    <row r="6" spans="1:9" ht="30.5" customHeight="1">
      <c r="A6" s="60" t="s">
        <v>219</v>
      </c>
      <c r="B6" s="50">
        <f>'[5]Weight%'!$B$45</f>
        <v>1.2500000000000001E-2</v>
      </c>
      <c r="C6" s="24" t="s">
        <v>634</v>
      </c>
      <c r="D6" s="114"/>
      <c r="E6" s="24"/>
      <c r="F6" s="99">
        <v>156</v>
      </c>
      <c r="G6" s="50">
        <f>[14]Production!$AT$3</f>
        <v>0.31289045106443986</v>
      </c>
      <c r="H6" s="70">
        <f t="shared" ref="H6:H16" si="0">G6/$G$17</f>
        <v>0.3360981118828803</v>
      </c>
      <c r="I6" s="42">
        <f t="shared" ref="I6:I16" si="1">H6*$B$9</f>
        <v>17232549.92373427</v>
      </c>
    </row>
    <row r="7" spans="1:9">
      <c r="A7" s="60" t="s">
        <v>223</v>
      </c>
      <c r="B7" s="41">
        <f>B5*data_2tier!B6</f>
        <v>39314046.113235153</v>
      </c>
      <c r="C7" s="24" t="s">
        <v>8</v>
      </c>
      <c r="D7" s="24"/>
      <c r="E7" s="24"/>
      <c r="F7" s="99">
        <v>251</v>
      </c>
      <c r="G7" s="50">
        <f>[14]Production!$BW$3</f>
        <v>1.1584544008819461E-2</v>
      </c>
      <c r="H7" s="70">
        <f t="shared" si="0"/>
        <v>1.2443790966271701E-2</v>
      </c>
      <c r="I7" s="42">
        <f t="shared" si="1"/>
        <v>638022.77217646386</v>
      </c>
    </row>
    <row r="8" spans="1:9">
      <c r="A8" s="60" t="s">
        <v>220</v>
      </c>
      <c r="B8" s="41">
        <f>B6*data_2tier!B93</f>
        <v>11958333.333333336</v>
      </c>
      <c r="C8" s="24" t="s">
        <v>8</v>
      </c>
      <c r="D8" s="24"/>
      <c r="E8" s="24"/>
      <c r="F8" s="99">
        <v>410</v>
      </c>
      <c r="G8" s="50">
        <f>[14]Production!$DJ$3</f>
        <v>4.1921909157624976E-2</v>
      </c>
      <c r="H8" s="70">
        <f t="shared" si="0"/>
        <v>4.5031334342324085E-2</v>
      </c>
      <c r="I8" s="42">
        <f t="shared" si="1"/>
        <v>2308863.6613849313</v>
      </c>
    </row>
    <row r="9" spans="1:9" ht="32">
      <c r="A9" s="60" t="s">
        <v>225</v>
      </c>
      <c r="B9" s="41">
        <f>SUM(B7:B8)</f>
        <v>51272379.446568489</v>
      </c>
      <c r="C9" s="24" t="s">
        <v>8</v>
      </c>
      <c r="D9" s="24"/>
      <c r="E9" s="24"/>
      <c r="F9" s="99">
        <v>512</v>
      </c>
      <c r="G9" s="50">
        <f>[14]Production!$EK$3</f>
        <v>1.3246014817910958E-2</v>
      </c>
      <c r="H9" s="70">
        <f t="shared" si="0"/>
        <v>1.4228496124209447E-2</v>
      </c>
      <c r="I9" s="42">
        <f t="shared" si="1"/>
        <v>729528.8522344958</v>
      </c>
    </row>
    <row r="10" spans="1:9">
      <c r="A10" s="60" t="s">
        <v>224</v>
      </c>
      <c r="B10" s="41">
        <f>B5*data_2tier!B7</f>
        <v>208582855.76744205</v>
      </c>
      <c r="C10" s="24" t="s">
        <v>8</v>
      </c>
      <c r="D10" s="24"/>
      <c r="E10" s="24"/>
      <c r="F10" s="99">
        <v>604</v>
      </c>
      <c r="G10" s="50">
        <f>[14]Production!$FL$3</f>
        <v>1.1541685315778698E-2</v>
      </c>
      <c r="H10" s="70">
        <f t="shared" si="0"/>
        <v>1.2397753365060911E-2</v>
      </c>
      <c r="I10" s="42">
        <f t="shared" si="1"/>
        <v>635662.31481837435</v>
      </c>
    </row>
    <row r="11" spans="1:9">
      <c r="A11" s="60" t="s">
        <v>221</v>
      </c>
      <c r="B11" s="41">
        <f>B6*data_2tier!B94</f>
        <v>53812500</v>
      </c>
      <c r="C11" s="24" t="s">
        <v>8</v>
      </c>
      <c r="D11" s="24"/>
      <c r="E11" s="24"/>
      <c r="F11" s="99">
        <v>699</v>
      </c>
      <c r="G11" s="50">
        <f>[14]Production!$GK$3</f>
        <v>5.2379751699769071E-2</v>
      </c>
      <c r="H11" s="70">
        <f t="shared" si="0"/>
        <v>5.6264854319765668E-2</v>
      </c>
      <c r="I11" s="42">
        <f t="shared" si="1"/>
        <v>2884832.9601889234</v>
      </c>
    </row>
    <row r="12" spans="1:9">
      <c r="A12" s="60" t="s">
        <v>226</v>
      </c>
      <c r="B12" s="41">
        <f>SUM(B10:B11)</f>
        <v>262395355.76744205</v>
      </c>
      <c r="C12" s="24" t="s">
        <v>8</v>
      </c>
      <c r="D12" s="24"/>
      <c r="E12" s="24"/>
      <c r="F12" s="99">
        <v>702</v>
      </c>
      <c r="G12" s="50">
        <f>[14]Production!$GL$3</f>
        <v>1.1607125182715314E-2</v>
      </c>
      <c r="H12" s="70">
        <f t="shared" si="0"/>
        <v>1.2468047027409637E-2</v>
      </c>
      <c r="I12" s="42">
        <f t="shared" si="1"/>
        <v>639266.43814700714</v>
      </c>
    </row>
    <row r="13" spans="1:9">
      <c r="A13" s="30"/>
      <c r="B13" s="24"/>
      <c r="C13" s="24"/>
      <c r="D13" s="24"/>
      <c r="E13" s="24"/>
      <c r="F13" s="99">
        <v>704</v>
      </c>
      <c r="G13" s="50">
        <f>[14]Production!$GN$3</f>
        <v>0.16748470071895188</v>
      </c>
      <c r="H13" s="70">
        <f t="shared" si="0"/>
        <v>0.17990734932756325</v>
      </c>
      <c r="I13" s="42">
        <f t="shared" si="1"/>
        <v>9224277.8799491711</v>
      </c>
    </row>
    <row r="14" spans="1:9">
      <c r="A14" s="30"/>
      <c r="B14" s="24"/>
      <c r="C14" s="24"/>
      <c r="D14" s="24"/>
      <c r="E14" s="24"/>
      <c r="F14" s="99">
        <v>762</v>
      </c>
      <c r="G14" s="50">
        <f>[14]Production!$HB$3</f>
        <v>0.18781215024125561</v>
      </c>
      <c r="H14" s="70">
        <f t="shared" si="0"/>
        <v>0.20174252320582836</v>
      </c>
      <c r="I14" s="42">
        <f t="shared" si="1"/>
        <v>10343819.200317381</v>
      </c>
    </row>
    <row r="15" spans="1:9">
      <c r="A15" s="30"/>
      <c r="B15" s="24"/>
      <c r="C15" s="24"/>
      <c r="D15" s="24"/>
      <c r="E15" s="24"/>
      <c r="F15" s="99">
        <v>764</v>
      </c>
      <c r="G15" s="50">
        <f>[14]Production!$HC$3</f>
        <v>3.0186395402569427E-2</v>
      </c>
      <c r="H15" s="70">
        <f t="shared" si="0"/>
        <v>3.2425375925787384E-2</v>
      </c>
      <c r="I15" s="42">
        <f t="shared" si="1"/>
        <v>1662526.1781645978</v>
      </c>
    </row>
    <row r="16" spans="1:9">
      <c r="A16" s="30"/>
      <c r="B16" s="24"/>
      <c r="C16" s="24"/>
      <c r="D16" s="24"/>
      <c r="E16" s="24"/>
      <c r="F16" s="99">
        <v>842</v>
      </c>
      <c r="G16" s="50">
        <f>[14]Production!$HT$3</f>
        <v>1.2408288089062936E-2</v>
      </c>
      <c r="H16" s="70">
        <f t="shared" si="0"/>
        <v>1.3328633661543065E-2</v>
      </c>
      <c r="I16" s="42">
        <f t="shared" si="1"/>
        <v>683390.76259894157</v>
      </c>
    </row>
    <row r="17" spans="1:9">
      <c r="A17" s="90"/>
      <c r="B17" s="74"/>
      <c r="C17" s="74"/>
      <c r="D17" s="74"/>
      <c r="E17" s="74"/>
      <c r="F17" s="74" t="s">
        <v>107</v>
      </c>
      <c r="G17" s="116">
        <f>SUM(G5:G16)</f>
        <v>0.93094974354831361</v>
      </c>
      <c r="H17" s="74"/>
      <c r="I17" s="47"/>
    </row>
    <row r="19" spans="1:9">
      <c r="A19" s="51" t="s">
        <v>227</v>
      </c>
    </row>
    <row r="20" spans="1:9" ht="32">
      <c r="A20" s="29" t="s">
        <v>0</v>
      </c>
      <c r="B20" s="17" t="s">
        <v>1</v>
      </c>
      <c r="C20" s="17" t="s">
        <v>145</v>
      </c>
      <c r="D20" s="17" t="s">
        <v>3</v>
      </c>
      <c r="E20" s="17"/>
      <c r="F20" s="48" t="s">
        <v>242</v>
      </c>
      <c r="G20" s="48" t="s">
        <v>635</v>
      </c>
      <c r="H20" s="48" t="s">
        <v>116</v>
      </c>
      <c r="I20" s="49" t="s">
        <v>178</v>
      </c>
    </row>
    <row r="21" spans="1:9">
      <c r="A21" s="60" t="s">
        <v>228</v>
      </c>
      <c r="B21" s="115">
        <f>'[5]Weight%'!$B$46</f>
        <v>0.89857999999999993</v>
      </c>
      <c r="C21" s="24" t="s">
        <v>634</v>
      </c>
      <c r="D21" s="114" t="s">
        <v>147</v>
      </c>
      <c r="E21" s="24"/>
      <c r="F21" s="99">
        <v>31</v>
      </c>
      <c r="G21" s="119">
        <v>30248000</v>
      </c>
      <c r="H21" s="70">
        <f>G21/$G$62</f>
        <v>4.627257985404648E-4</v>
      </c>
      <c r="I21" s="42">
        <f>H21*$B$29</f>
        <v>791025.97365962889</v>
      </c>
    </row>
    <row r="22" spans="1:9">
      <c r="A22" s="60" t="s">
        <v>229</v>
      </c>
      <c r="B22" s="115">
        <f>'[5]Weight%'!$B$46</f>
        <v>0.89857999999999993</v>
      </c>
      <c r="C22" s="24" t="s">
        <v>634</v>
      </c>
      <c r="D22" s="114"/>
      <c r="E22" s="24"/>
      <c r="F22" s="99">
        <v>32</v>
      </c>
      <c r="G22" s="120">
        <v>309800000</v>
      </c>
      <c r="H22" s="77">
        <f t="shared" ref="H22:H61" si="2">G22/$G$62</f>
        <v>4.7392373838877283E-3</v>
      </c>
      <c r="I22" s="78">
        <f t="shared" ref="I22:I61" si="3">H22*$B$29</f>
        <v>8101687.6038003517</v>
      </c>
    </row>
    <row r="23" spans="1:9">
      <c r="A23" s="60" t="s">
        <v>230</v>
      </c>
      <c r="B23" s="115">
        <f>'[5]Weight%'!$B$47</f>
        <v>9.5000000000000001E-2</v>
      </c>
      <c r="C23" s="24" t="s">
        <v>634</v>
      </c>
      <c r="D23" s="114"/>
      <c r="E23" s="24"/>
      <c r="F23" s="99">
        <v>36</v>
      </c>
      <c r="G23" s="120">
        <v>1585017000</v>
      </c>
      <c r="H23" s="77">
        <f t="shared" si="2"/>
        <v>2.4247165334078679E-2</v>
      </c>
      <c r="I23" s="78">
        <f t="shared" si="3"/>
        <v>41450331.119150482</v>
      </c>
    </row>
    <row r="24" spans="1:9">
      <c r="A24" s="60" t="s">
        <v>231</v>
      </c>
      <c r="B24" s="115">
        <f>'[5]Weight%'!$B$48</f>
        <v>0.64500000000000002</v>
      </c>
      <c r="C24" s="24" t="s">
        <v>634</v>
      </c>
      <c r="D24" s="114"/>
      <c r="E24" s="24"/>
      <c r="F24" s="99">
        <v>48</v>
      </c>
      <c r="G24" s="120">
        <v>1548000000</v>
      </c>
      <c r="H24" s="77">
        <f t="shared" si="2"/>
        <v>2.3680889187405432E-2</v>
      </c>
      <c r="I24" s="78">
        <f t="shared" si="3"/>
        <v>40482286.671023056</v>
      </c>
    </row>
    <row r="25" spans="1:9">
      <c r="A25" s="60" t="s">
        <v>232</v>
      </c>
      <c r="B25" s="41">
        <f>B21*data_3tier!B11</f>
        <v>1654442900.1534951</v>
      </c>
      <c r="C25" s="24" t="s">
        <v>8</v>
      </c>
      <c r="D25" s="24"/>
      <c r="E25" s="24"/>
      <c r="F25" s="99">
        <v>70</v>
      </c>
      <c r="G25" s="120">
        <v>17858000</v>
      </c>
      <c r="H25" s="77">
        <f t="shared" si="2"/>
        <v>2.7318689864902208E-4</v>
      </c>
      <c r="I25" s="78">
        <f t="shared" si="3"/>
        <v>467010.77220357215</v>
      </c>
    </row>
    <row r="26" spans="1:9">
      <c r="A26" s="60" t="s">
        <v>233</v>
      </c>
      <c r="B26" s="41">
        <f>B22*data_3tier!B29</f>
        <v>10905172.413793104</v>
      </c>
      <c r="C26" s="24" t="s">
        <v>8</v>
      </c>
      <c r="D26" s="24"/>
      <c r="E26" s="24"/>
      <c r="F26" s="99">
        <v>76</v>
      </c>
      <c r="G26" s="120">
        <v>685100000</v>
      </c>
      <c r="H26" s="77">
        <f t="shared" si="2"/>
        <v>1.0480476215950557E-2</v>
      </c>
      <c r="I26" s="78">
        <f t="shared" si="3"/>
        <v>17916288.50020536</v>
      </c>
    </row>
    <row r="27" spans="1:9">
      <c r="A27" s="60" t="s">
        <v>234</v>
      </c>
      <c r="B27" s="41">
        <f>B23*data_2tier!B32</f>
        <v>36481160.727272727</v>
      </c>
      <c r="C27" s="24" t="s">
        <v>8</v>
      </c>
      <c r="D27" s="24"/>
      <c r="E27" s="24"/>
      <c r="F27" s="99">
        <v>120</v>
      </c>
      <c r="G27" s="120">
        <v>60000000</v>
      </c>
      <c r="H27" s="77">
        <f t="shared" si="2"/>
        <v>9.1786392199245861E-4</v>
      </c>
      <c r="I27" s="78">
        <f t="shared" si="3"/>
        <v>1569080.8787218239</v>
      </c>
    </row>
    <row r="28" spans="1:9">
      <c r="A28" s="60" t="s">
        <v>235</v>
      </c>
      <c r="B28" s="41">
        <f>B24*data_1tier!Q7</f>
        <v>7662600</v>
      </c>
      <c r="C28" s="24" t="s">
        <v>8</v>
      </c>
      <c r="D28" s="24"/>
      <c r="E28" s="24"/>
      <c r="F28" s="99">
        <v>124</v>
      </c>
      <c r="G28" s="120">
        <v>3154493000</v>
      </c>
      <c r="H28" s="77">
        <f t="shared" si="2"/>
        <v>4.8256588614629281E-2</v>
      </c>
      <c r="I28" s="78">
        <f t="shared" si="3"/>
        <v>82494244.139364049</v>
      </c>
    </row>
    <row r="29" spans="1:9" ht="32">
      <c r="A29" s="60" t="s">
        <v>241</v>
      </c>
      <c r="B29" s="41">
        <f>SUM(B25:B28)</f>
        <v>1709491833.2945609</v>
      </c>
      <c r="C29" s="24" t="s">
        <v>8</v>
      </c>
      <c r="D29" s="24"/>
      <c r="E29" s="24"/>
      <c r="F29" s="99">
        <v>156</v>
      </c>
      <c r="G29" s="120">
        <v>37080400000</v>
      </c>
      <c r="H29" s="77">
        <f t="shared" si="2"/>
        <v>0.56724602288415271</v>
      </c>
      <c r="I29" s="78">
        <f t="shared" si="3"/>
        <v>969702443.5892787</v>
      </c>
    </row>
    <row r="30" spans="1:9">
      <c r="A30" s="60" t="s">
        <v>236</v>
      </c>
      <c r="B30" s="41">
        <f>B21*data_3tier!B15</f>
        <v>8816745915.8241749</v>
      </c>
      <c r="C30" s="24" t="s">
        <v>8</v>
      </c>
      <c r="D30" s="24"/>
      <c r="E30" s="24"/>
      <c r="F30" s="99">
        <v>251</v>
      </c>
      <c r="G30" s="120">
        <v>350000000</v>
      </c>
      <c r="H30" s="77">
        <f t="shared" si="2"/>
        <v>5.3542062116226754E-3</v>
      </c>
      <c r="I30" s="78">
        <f t="shared" si="3"/>
        <v>9152971.7925439738</v>
      </c>
    </row>
    <row r="31" spans="1:9">
      <c r="A31" s="60" t="s">
        <v>237</v>
      </c>
      <c r="B31" s="41">
        <f>B22*data_3tier!B30</f>
        <v>58031096.059113301</v>
      </c>
      <c r="C31" s="24" t="s">
        <v>8</v>
      </c>
      <c r="D31" s="24"/>
      <c r="E31" s="24"/>
      <c r="F31" s="99">
        <v>276</v>
      </c>
      <c r="G31" s="120">
        <v>529056000</v>
      </c>
      <c r="H31" s="77">
        <f t="shared" si="2"/>
        <v>8.0933569185607027E-3</v>
      </c>
      <c r="I31" s="78">
        <f t="shared" si="3"/>
        <v>13835527.556217553</v>
      </c>
    </row>
    <row r="32" spans="1:9">
      <c r="A32" s="60" t="s">
        <v>238</v>
      </c>
      <c r="B32" s="41">
        <f>B23*data_2tier!B33</f>
        <v>282081749.23636365</v>
      </c>
      <c r="C32" s="24" t="s">
        <v>8</v>
      </c>
      <c r="D32" s="24"/>
      <c r="E32" s="24"/>
      <c r="F32" s="99">
        <v>288</v>
      </c>
      <c r="G32" s="120">
        <v>37566000</v>
      </c>
      <c r="H32" s="77">
        <f t="shared" si="2"/>
        <v>5.7467460155947829E-4</v>
      </c>
      <c r="I32" s="78">
        <f t="shared" si="3"/>
        <v>982401.53816773393</v>
      </c>
    </row>
    <row r="33" spans="1:9">
      <c r="A33" s="60" t="s">
        <v>239</v>
      </c>
      <c r="B33" s="41">
        <f>B24*data_1tier!Q9</f>
        <v>45975600</v>
      </c>
      <c r="C33" s="24" t="s">
        <v>8</v>
      </c>
      <c r="D33" s="24"/>
      <c r="E33" s="24"/>
      <c r="F33" s="99">
        <v>300</v>
      </c>
      <c r="G33" s="120">
        <v>181900000</v>
      </c>
      <c r="H33" s="77">
        <f t="shared" si="2"/>
        <v>2.7826574568404704E-3</v>
      </c>
      <c r="I33" s="78">
        <f t="shared" si="3"/>
        <v>4756930.1973249959</v>
      </c>
    </row>
    <row r="34" spans="1:9">
      <c r="A34" s="60" t="s">
        <v>240</v>
      </c>
      <c r="B34" s="41">
        <f>SUM(B30:B33)</f>
        <v>9202834361.1196518</v>
      </c>
      <c r="C34" s="24" t="s">
        <v>8</v>
      </c>
      <c r="D34" s="24"/>
      <c r="E34" s="24"/>
      <c r="F34" s="99">
        <v>352</v>
      </c>
      <c r="G34" s="120">
        <v>728104000</v>
      </c>
      <c r="H34" s="77">
        <f t="shared" si="2"/>
        <v>1.1138339884306618E-2</v>
      </c>
      <c r="I34" s="78">
        <f t="shared" si="3"/>
        <v>19040901.068681248</v>
      </c>
    </row>
    <row r="35" spans="1:9">
      <c r="A35" s="30"/>
      <c r="B35" s="24"/>
      <c r="C35" s="24"/>
      <c r="D35" s="24"/>
      <c r="E35" s="24"/>
      <c r="F35" s="99">
        <v>360</v>
      </c>
      <c r="G35" s="120">
        <v>245000000</v>
      </c>
      <c r="H35" s="77">
        <f t="shared" si="2"/>
        <v>3.7479443481358726E-3</v>
      </c>
      <c r="I35" s="78">
        <f t="shared" si="3"/>
        <v>6407080.2547807805</v>
      </c>
    </row>
    <row r="36" spans="1:9">
      <c r="A36" s="30"/>
      <c r="B36" s="24"/>
      <c r="C36" s="24"/>
      <c r="D36" s="24"/>
      <c r="E36" s="24"/>
      <c r="F36" s="99">
        <v>364</v>
      </c>
      <c r="G36" s="120">
        <v>376800000</v>
      </c>
      <c r="H36" s="77">
        <f t="shared" si="2"/>
        <v>5.7641854301126397E-3</v>
      </c>
      <c r="I36" s="78">
        <f t="shared" si="3"/>
        <v>9853827.9183730539</v>
      </c>
    </row>
    <row r="37" spans="1:9">
      <c r="A37" s="30"/>
      <c r="B37" s="24"/>
      <c r="C37" s="24"/>
      <c r="D37" s="24"/>
      <c r="E37" s="24"/>
      <c r="F37" s="99">
        <v>398</v>
      </c>
      <c r="G37" s="120">
        <v>265000000</v>
      </c>
      <c r="H37" s="77">
        <f t="shared" si="2"/>
        <v>4.0538989888000256E-3</v>
      </c>
      <c r="I37" s="78">
        <f t="shared" si="3"/>
        <v>6930107.2143547228</v>
      </c>
    </row>
    <row r="38" spans="1:9">
      <c r="A38" s="30"/>
      <c r="B38" s="24"/>
      <c r="C38" s="24"/>
      <c r="D38" s="24"/>
      <c r="E38" s="24"/>
      <c r="F38" s="99">
        <v>458</v>
      </c>
      <c r="G38" s="120">
        <v>1000000000</v>
      </c>
      <c r="H38" s="77">
        <f t="shared" si="2"/>
        <v>1.5297732033207643E-2</v>
      </c>
      <c r="I38" s="78">
        <f t="shared" si="3"/>
        <v>26151347.978697065</v>
      </c>
    </row>
    <row r="39" spans="1:9">
      <c r="A39" s="30"/>
      <c r="B39" s="24"/>
      <c r="C39" s="24"/>
      <c r="D39" s="24"/>
      <c r="E39" s="24"/>
      <c r="F39" s="99">
        <v>499</v>
      </c>
      <c r="G39" s="120">
        <v>37208000</v>
      </c>
      <c r="H39" s="77">
        <f t="shared" si="2"/>
        <v>5.6919801349159004E-4</v>
      </c>
      <c r="I39" s="78">
        <f t="shared" si="3"/>
        <v>973039.35559136048</v>
      </c>
    </row>
    <row r="40" spans="1:9">
      <c r="A40" s="30"/>
      <c r="B40" s="24"/>
      <c r="C40" s="24"/>
      <c r="D40" s="24"/>
      <c r="E40" s="24"/>
      <c r="F40" s="99">
        <v>508</v>
      </c>
      <c r="G40" s="120">
        <v>562633000</v>
      </c>
      <c r="H40" s="77">
        <f t="shared" si="2"/>
        <v>8.6070088670397154E-3</v>
      </c>
      <c r="I40" s="78">
        <f t="shared" si="3"/>
        <v>14713611.367298264</v>
      </c>
    </row>
    <row r="41" spans="1:9">
      <c r="A41" s="30"/>
      <c r="B41" s="24"/>
      <c r="C41" s="24"/>
      <c r="D41" s="24"/>
      <c r="E41" s="24"/>
      <c r="F41" s="99">
        <v>512</v>
      </c>
      <c r="G41" s="120">
        <v>397000000</v>
      </c>
      <c r="H41" s="77">
        <f t="shared" si="2"/>
        <v>6.0731996171834342E-3</v>
      </c>
      <c r="I41" s="78">
        <f t="shared" si="3"/>
        <v>10382085.147542734</v>
      </c>
    </row>
    <row r="42" spans="1:9">
      <c r="A42" s="30"/>
      <c r="B42" s="24"/>
      <c r="C42" s="24"/>
      <c r="D42" s="24"/>
      <c r="E42" s="24"/>
      <c r="F42" s="99">
        <v>528</v>
      </c>
      <c r="G42" s="120">
        <v>70600000</v>
      </c>
      <c r="H42" s="77">
        <f t="shared" si="2"/>
        <v>1.0800198815444596E-3</v>
      </c>
      <c r="I42" s="78">
        <f t="shared" si="3"/>
        <v>1846285.1672960126</v>
      </c>
    </row>
    <row r="43" spans="1:9">
      <c r="A43" s="30"/>
      <c r="B43" s="24"/>
      <c r="C43" s="24"/>
      <c r="D43" s="24"/>
      <c r="E43" s="24"/>
      <c r="F43" s="99">
        <v>554</v>
      </c>
      <c r="G43" s="120">
        <v>333000000</v>
      </c>
      <c r="H43" s="77">
        <f t="shared" si="2"/>
        <v>5.0941447670581454E-3</v>
      </c>
      <c r="I43" s="78">
        <f t="shared" si="3"/>
        <v>8708398.876906123</v>
      </c>
    </row>
    <row r="44" spans="1:9">
      <c r="A44" s="30"/>
      <c r="B44" s="24"/>
      <c r="C44" s="24"/>
      <c r="D44" s="24"/>
      <c r="E44" s="24"/>
      <c r="F44" s="99">
        <v>579</v>
      </c>
      <c r="G44" s="120">
        <v>1330000000</v>
      </c>
      <c r="H44" s="77">
        <f t="shared" si="2"/>
        <v>2.0345983604166167E-2</v>
      </c>
      <c r="I44" s="78">
        <f t="shared" si="3"/>
        <v>34781292.8116671</v>
      </c>
    </row>
    <row r="45" spans="1:9">
      <c r="A45" s="30"/>
      <c r="B45" s="24"/>
      <c r="C45" s="24"/>
      <c r="D45" s="24"/>
      <c r="E45" s="24"/>
      <c r="F45" s="99">
        <v>634</v>
      </c>
      <c r="G45" s="120">
        <v>655000000</v>
      </c>
      <c r="H45" s="77">
        <f t="shared" si="2"/>
        <v>1.0020014481751006E-2</v>
      </c>
      <c r="I45" s="78">
        <f t="shared" si="3"/>
        <v>17129132.926046576</v>
      </c>
    </row>
    <row r="46" spans="1:9">
      <c r="A46" s="30"/>
      <c r="B46" s="24"/>
      <c r="C46" s="24"/>
      <c r="D46" s="24"/>
      <c r="E46" s="24"/>
      <c r="F46" s="99">
        <v>642</v>
      </c>
      <c r="G46" s="120">
        <v>271307000</v>
      </c>
      <c r="H46" s="77">
        <f t="shared" si="2"/>
        <v>4.1503817847334664E-3</v>
      </c>
      <c r="I46" s="78">
        <f t="shared" si="3"/>
        <v>7095043.7660563653</v>
      </c>
    </row>
    <row r="47" spans="1:9">
      <c r="A47" s="30"/>
      <c r="B47" s="24"/>
      <c r="C47" s="24"/>
      <c r="D47" s="24"/>
      <c r="E47" s="24"/>
      <c r="F47" s="99">
        <v>643</v>
      </c>
      <c r="G47" s="120">
        <v>3638000000</v>
      </c>
      <c r="H47" s="77">
        <f t="shared" si="2"/>
        <v>5.565314913680941E-2</v>
      </c>
      <c r="I47" s="78">
        <f t="shared" si="3"/>
        <v>95138603.946499929</v>
      </c>
    </row>
    <row r="48" spans="1:9">
      <c r="A48" s="30"/>
      <c r="B48" s="24"/>
      <c r="C48" s="24"/>
      <c r="D48" s="24"/>
      <c r="E48" s="24"/>
      <c r="F48" s="99">
        <v>682</v>
      </c>
      <c r="G48" s="120">
        <v>1010563000</v>
      </c>
      <c r="H48" s="77">
        <f t="shared" si="2"/>
        <v>1.5459321976674417E-2</v>
      </c>
      <c r="I48" s="78">
        <f t="shared" si="3"/>
        <v>26427584.667396042</v>
      </c>
    </row>
    <row r="49" spans="1:9">
      <c r="A49" s="30"/>
      <c r="B49" s="24"/>
      <c r="C49" s="24"/>
      <c r="D49" s="24"/>
      <c r="E49" s="24"/>
      <c r="F49" s="99">
        <v>699</v>
      </c>
      <c r="G49" s="120">
        <v>3619237000</v>
      </c>
      <c r="H49" s="77">
        <f t="shared" si="2"/>
        <v>5.5366117790670334E-2</v>
      </c>
      <c r="I49" s="78">
        <f t="shared" si="3"/>
        <v>94647926.20437564</v>
      </c>
    </row>
    <row r="50" spans="1:9">
      <c r="A50" s="30"/>
      <c r="B50" s="24"/>
      <c r="C50" s="24"/>
      <c r="D50" s="24"/>
      <c r="E50" s="24"/>
      <c r="F50" s="99">
        <v>703</v>
      </c>
      <c r="G50" s="120">
        <v>151875000</v>
      </c>
      <c r="H50" s="77">
        <f t="shared" si="2"/>
        <v>2.3233430525434109E-3</v>
      </c>
      <c r="I50" s="78">
        <f t="shared" si="3"/>
        <v>3971735.9742646166</v>
      </c>
    </row>
    <row r="51" spans="1:9">
      <c r="A51" s="30"/>
      <c r="B51" s="24"/>
      <c r="C51" s="24"/>
      <c r="D51" s="24"/>
      <c r="E51" s="24"/>
      <c r="F51" s="99">
        <v>705</v>
      </c>
      <c r="G51" s="120">
        <v>50185000</v>
      </c>
      <c r="H51" s="77">
        <f t="shared" si="2"/>
        <v>7.677166820865256E-4</v>
      </c>
      <c r="I51" s="78">
        <f t="shared" si="3"/>
        <v>1312405.3983109123</v>
      </c>
    </row>
    <row r="52" spans="1:9">
      <c r="A52" s="30"/>
      <c r="B52" s="24"/>
      <c r="C52" s="24"/>
      <c r="D52" s="24"/>
      <c r="E52" s="24"/>
      <c r="F52" s="99">
        <v>710</v>
      </c>
      <c r="G52" s="120">
        <v>717000000</v>
      </c>
      <c r="H52" s="77">
        <f t="shared" si="2"/>
        <v>1.0968473867809881E-2</v>
      </c>
      <c r="I52" s="78">
        <f t="shared" si="3"/>
        <v>18750516.500725795</v>
      </c>
    </row>
    <row r="53" spans="1:9">
      <c r="A53" s="30"/>
      <c r="B53" s="24"/>
      <c r="C53" s="24"/>
      <c r="D53" s="24"/>
      <c r="E53" s="24"/>
      <c r="F53" s="99">
        <v>724</v>
      </c>
      <c r="G53" s="120">
        <v>200000000</v>
      </c>
      <c r="H53" s="77">
        <f t="shared" si="2"/>
        <v>3.0595464066415288E-3</v>
      </c>
      <c r="I53" s="78">
        <f t="shared" si="3"/>
        <v>5230269.5957394131</v>
      </c>
    </row>
    <row r="54" spans="1:9">
      <c r="A54" s="30"/>
      <c r="B54" s="24"/>
      <c r="C54" s="24"/>
      <c r="D54" s="24"/>
      <c r="E54" s="24"/>
      <c r="F54" s="99">
        <v>752</v>
      </c>
      <c r="G54" s="120">
        <v>117000000</v>
      </c>
      <c r="H54" s="77">
        <f t="shared" si="2"/>
        <v>1.7898346478852944E-3</v>
      </c>
      <c r="I54" s="78">
        <f t="shared" si="3"/>
        <v>3059707.7135075568</v>
      </c>
    </row>
    <row r="55" spans="1:9">
      <c r="A55" s="30"/>
      <c r="B55" s="24"/>
      <c r="C55" s="24"/>
      <c r="D55" s="24"/>
      <c r="E55" s="24"/>
      <c r="F55" s="99">
        <v>762</v>
      </c>
      <c r="G55" s="120">
        <v>84000000</v>
      </c>
      <c r="H55" s="77">
        <f t="shared" si="2"/>
        <v>1.285009490789442E-3</v>
      </c>
      <c r="I55" s="78">
        <f t="shared" si="3"/>
        <v>2196713.2302105534</v>
      </c>
    </row>
    <row r="56" spans="1:9">
      <c r="A56" s="30"/>
      <c r="B56" s="24"/>
      <c r="C56" s="24"/>
      <c r="D56" s="24"/>
      <c r="E56" s="24"/>
      <c r="F56" s="99">
        <v>784</v>
      </c>
      <c r="G56" s="120">
        <v>2520000000</v>
      </c>
      <c r="H56" s="77">
        <f t="shared" si="2"/>
        <v>3.8550284723683263E-2</v>
      </c>
      <c r="I56" s="78">
        <f t="shared" si="3"/>
        <v>65901396.906316608</v>
      </c>
    </row>
    <row r="57" spans="1:9">
      <c r="A57" s="30"/>
      <c r="B57" s="24"/>
      <c r="C57" s="24"/>
      <c r="D57" s="24"/>
      <c r="E57" s="24"/>
      <c r="F57" s="99">
        <v>792</v>
      </c>
      <c r="G57" s="120">
        <v>79900000</v>
      </c>
      <c r="H57" s="77">
        <f t="shared" si="2"/>
        <v>1.2222887894532907E-3</v>
      </c>
      <c r="I57" s="78">
        <f t="shared" si="3"/>
        <v>2089492.7034978955</v>
      </c>
    </row>
    <row r="58" spans="1:9">
      <c r="A58" s="30"/>
      <c r="B58" s="24"/>
      <c r="C58" s="24"/>
      <c r="D58" s="24"/>
      <c r="E58" s="24"/>
      <c r="F58" s="99">
        <v>818</v>
      </c>
      <c r="G58" s="120">
        <v>268000000</v>
      </c>
      <c r="H58" s="77">
        <f t="shared" si="2"/>
        <v>4.0997921848996482E-3</v>
      </c>
      <c r="I58" s="78">
        <f t="shared" si="3"/>
        <v>7008561.2582908133</v>
      </c>
    </row>
    <row r="59" spans="1:9">
      <c r="A59" s="30"/>
      <c r="B59" s="24"/>
      <c r="C59" s="24"/>
      <c r="D59" s="24"/>
      <c r="E59" s="24"/>
      <c r="F59" s="99">
        <v>826</v>
      </c>
      <c r="G59" s="120">
        <v>35700000</v>
      </c>
      <c r="H59" s="77">
        <f t="shared" si="2"/>
        <v>5.4612903358551286E-4</v>
      </c>
      <c r="I59" s="78">
        <f t="shared" si="3"/>
        <v>933603.12283948518</v>
      </c>
    </row>
    <row r="60" spans="1:9">
      <c r="A60" s="30"/>
      <c r="B60" s="24"/>
      <c r="C60" s="24"/>
      <c r="D60" s="24"/>
      <c r="E60" s="24"/>
      <c r="F60" s="99">
        <v>842</v>
      </c>
      <c r="G60" s="120">
        <v>1026617000</v>
      </c>
      <c r="H60" s="77">
        <f t="shared" si="2"/>
        <v>1.5704911766735531E-2</v>
      </c>
      <c r="I60" s="78">
        <f t="shared" si="3"/>
        <v>26847418.407846045</v>
      </c>
    </row>
    <row r="61" spans="1:9">
      <c r="A61" s="30"/>
      <c r="B61" s="24"/>
      <c r="C61" s="24"/>
      <c r="D61" s="24"/>
      <c r="E61" s="24"/>
      <c r="F61" s="99">
        <v>862</v>
      </c>
      <c r="G61" s="120">
        <v>10000000</v>
      </c>
      <c r="H61" s="77">
        <f t="shared" si="2"/>
        <v>1.5297732033207643E-4</v>
      </c>
      <c r="I61" s="78">
        <f t="shared" si="3"/>
        <v>261513.47978697062</v>
      </c>
    </row>
    <row r="62" spans="1:9">
      <c r="A62" s="90"/>
      <c r="B62" s="74"/>
      <c r="C62" s="74"/>
      <c r="D62" s="74"/>
      <c r="E62" s="74"/>
      <c r="F62" s="121" t="s">
        <v>107</v>
      </c>
      <c r="G62" s="122">
        <f>SUM(G21:G61)</f>
        <v>65369167000</v>
      </c>
      <c r="H62" s="123"/>
      <c r="I62" s="124"/>
    </row>
    <row r="63" spans="1:9">
      <c r="G63" s="117"/>
      <c r="H63" s="117"/>
      <c r="I63" s="117"/>
    </row>
    <row r="64" spans="1:9">
      <c r="A64" s="51" t="s">
        <v>243</v>
      </c>
    </row>
    <row r="65" spans="1:9" ht="32">
      <c r="A65" s="29" t="s">
        <v>0</v>
      </c>
      <c r="B65" s="17" t="s">
        <v>1</v>
      </c>
      <c r="C65" s="17" t="s">
        <v>145</v>
      </c>
      <c r="D65" s="17" t="s">
        <v>3</v>
      </c>
      <c r="E65" s="17"/>
      <c r="F65" s="48" t="s">
        <v>218</v>
      </c>
      <c r="G65" s="48" t="s">
        <v>143</v>
      </c>
      <c r="H65" s="48" t="s">
        <v>116</v>
      </c>
      <c r="I65" s="49" t="s">
        <v>178</v>
      </c>
    </row>
    <row r="66" spans="1:9" ht="18.5" customHeight="1">
      <c r="A66" s="60" t="s">
        <v>244</v>
      </c>
      <c r="B66" s="115">
        <f>'[5]Weight%'!$B$49</f>
        <v>1.4678678446108248E-4</v>
      </c>
      <c r="C66" s="24" t="s">
        <v>634</v>
      </c>
      <c r="D66" s="114" t="s">
        <v>147</v>
      </c>
      <c r="E66" s="24"/>
      <c r="F66" s="99">
        <v>398</v>
      </c>
      <c r="G66" s="81">
        <f>[15]Production!$DF$3</f>
        <v>0.59435872887285046</v>
      </c>
      <c r="H66" s="38">
        <f>G66/$G$69</f>
        <v>0.59930197155905396</v>
      </c>
      <c r="I66" s="42">
        <f>H66*$B$70</f>
        <v>1134729.7139123955</v>
      </c>
    </row>
    <row r="67" spans="1:9" ht="24.5" customHeight="1">
      <c r="A67" s="60" t="s">
        <v>245</v>
      </c>
      <c r="B67" s="115">
        <f>'[5]Weight%'!$B$50</f>
        <v>1.704E-2</v>
      </c>
      <c r="C67" s="24" t="s">
        <v>634</v>
      </c>
      <c r="D67" s="114"/>
      <c r="E67" s="24"/>
      <c r="F67" s="99">
        <v>826</v>
      </c>
      <c r="G67" s="81">
        <f>[15]Production!$HR$3</f>
        <v>0.15322016423021689</v>
      </c>
      <c r="H67" s="38">
        <f>G67/$G$69</f>
        <v>0.15449448631789997</v>
      </c>
      <c r="I67" s="42">
        <f>H67*$B$70</f>
        <v>292522.78914500203</v>
      </c>
    </row>
    <row r="68" spans="1:9">
      <c r="A68" s="60" t="s">
        <v>246</v>
      </c>
      <c r="B68" s="41">
        <f>B66*data_1tier!B7</f>
        <v>1690983.7569916702</v>
      </c>
      <c r="C68" s="24" t="s">
        <v>8</v>
      </c>
      <c r="D68" s="24"/>
      <c r="E68" s="24"/>
      <c r="F68" s="99">
        <v>842</v>
      </c>
      <c r="G68" s="81">
        <f>[15]Production!$HT$3</f>
        <v>0.2441727731339986</v>
      </c>
      <c r="H68" s="38">
        <f>G68/$G$69</f>
        <v>0.24620354212304607</v>
      </c>
      <c r="I68" s="42">
        <f>H68*$B$70</f>
        <v>466166.45393427263</v>
      </c>
    </row>
    <row r="69" spans="1:9">
      <c r="A69" s="60" t="s">
        <v>247</v>
      </c>
      <c r="B69" s="41">
        <f>B67*data_1tier!Q7</f>
        <v>202435.19999999998</v>
      </c>
      <c r="C69" s="24" t="s">
        <v>8</v>
      </c>
      <c r="D69" s="24"/>
      <c r="E69" s="24"/>
      <c r="F69" s="99" t="s">
        <v>107</v>
      </c>
      <c r="G69" s="81">
        <f>SUM(G66:G68)</f>
        <v>0.99175166623706601</v>
      </c>
      <c r="H69" s="24"/>
      <c r="I69" s="28"/>
    </row>
    <row r="70" spans="1:9" ht="32">
      <c r="A70" s="60" t="s">
        <v>250</v>
      </c>
      <c r="B70" s="41">
        <f>SUM(B68:B69)</f>
        <v>1893418.9569916702</v>
      </c>
      <c r="C70" s="24" t="s">
        <v>8</v>
      </c>
      <c r="D70" s="24"/>
      <c r="E70" s="24"/>
      <c r="F70" s="24"/>
      <c r="G70" s="24"/>
      <c r="H70" s="24"/>
      <c r="I70" s="28"/>
    </row>
    <row r="71" spans="1:9">
      <c r="A71" s="60" t="s">
        <v>248</v>
      </c>
      <c r="B71" s="41">
        <f>B66*data_1tier!B8</f>
        <v>8971608.2662613615</v>
      </c>
      <c r="C71" s="24" t="s">
        <v>8</v>
      </c>
      <c r="D71" s="24"/>
      <c r="E71" s="24"/>
      <c r="F71" s="24"/>
      <c r="G71" s="24"/>
      <c r="H71" s="24"/>
      <c r="I71" s="28"/>
    </row>
    <row r="72" spans="1:9">
      <c r="A72" s="60" t="s">
        <v>249</v>
      </c>
      <c r="B72" s="41">
        <f>B67*data_1tier!Q9</f>
        <v>1214611.2</v>
      </c>
      <c r="C72" s="24" t="s">
        <v>8</v>
      </c>
      <c r="D72" s="24"/>
      <c r="E72" s="24"/>
      <c r="F72" s="24"/>
      <c r="G72" s="24"/>
      <c r="H72" s="24"/>
      <c r="I72" s="28"/>
    </row>
    <row r="73" spans="1:9">
      <c r="A73" s="73" t="s">
        <v>251</v>
      </c>
      <c r="B73" s="46">
        <f>SUM(B71:B72)</f>
        <v>10186219.466261361</v>
      </c>
      <c r="C73" s="74" t="s">
        <v>8</v>
      </c>
      <c r="D73" s="74"/>
      <c r="E73" s="74"/>
      <c r="F73" s="74"/>
      <c r="G73" s="74"/>
      <c r="H73" s="74"/>
      <c r="I73" s="47"/>
    </row>
    <row r="75" spans="1:9">
      <c r="A75" s="51" t="s">
        <v>252</v>
      </c>
    </row>
    <row r="76" spans="1:9" ht="32">
      <c r="A76" s="29" t="s">
        <v>0</v>
      </c>
      <c r="B76" s="17" t="s">
        <v>1</v>
      </c>
      <c r="C76" s="17" t="s">
        <v>145</v>
      </c>
      <c r="D76" s="17" t="s">
        <v>3</v>
      </c>
      <c r="E76" s="17"/>
      <c r="F76" s="48" t="s">
        <v>218</v>
      </c>
      <c r="G76" s="48" t="s">
        <v>143</v>
      </c>
      <c r="H76" s="48" t="s">
        <v>116</v>
      </c>
      <c r="I76" s="49" t="s">
        <v>178</v>
      </c>
    </row>
    <row r="77" spans="1:9">
      <c r="A77" s="60" t="s">
        <v>253</v>
      </c>
      <c r="B77" s="115">
        <f>'[5]Weight%'!$B$51/'[5]Weight%'!$B$24</f>
        <v>9.982490798236791E-3</v>
      </c>
      <c r="C77" s="24" t="s">
        <v>634</v>
      </c>
      <c r="D77" s="114" t="s">
        <v>147</v>
      </c>
      <c r="E77" s="24"/>
      <c r="F77" s="99">
        <v>442</v>
      </c>
      <c r="G77" s="50">
        <f>[16]Production!$DT$5</f>
        <v>2.2664427324801957E-2</v>
      </c>
      <c r="H77" s="38">
        <f>G77/$G$81</f>
        <v>2.4170882304898875E-2</v>
      </c>
      <c r="I77" s="42">
        <f>H77*$B$83</f>
        <v>3741677.2275891635</v>
      </c>
    </row>
    <row r="78" spans="1:9">
      <c r="A78" s="60" t="s">
        <v>499</v>
      </c>
      <c r="B78" s="115">
        <f>'[5]Weight%'!$B$52</f>
        <v>1.4175E-2</v>
      </c>
      <c r="C78" s="24" t="s">
        <v>634</v>
      </c>
      <c r="D78" s="114"/>
      <c r="E78" s="24"/>
      <c r="F78" s="99">
        <v>616</v>
      </c>
      <c r="G78" s="50">
        <f>[16]Production!$FO$5</f>
        <v>1.0328643324423898E-2</v>
      </c>
      <c r="H78" s="38">
        <f>G78/$G$81</f>
        <v>1.1015165686129286E-2</v>
      </c>
      <c r="I78" s="42">
        <f>H78*$B$83</f>
        <v>1705158.8802597476</v>
      </c>
    </row>
    <row r="79" spans="1:9">
      <c r="A79" s="60" t="s">
        <v>254</v>
      </c>
      <c r="B79" s="115">
        <f>'[5]Weight%'!$B$53</f>
        <v>0.1</v>
      </c>
      <c r="C79" s="24" t="s">
        <v>634</v>
      </c>
      <c r="D79" s="114"/>
      <c r="E79" s="24"/>
      <c r="F79" s="99">
        <v>792</v>
      </c>
      <c r="G79" s="50">
        <f>[16]Production!$HJ$5</f>
        <v>0.54705618810566581</v>
      </c>
      <c r="H79" s="38">
        <f>G79/$G$81</f>
        <v>0.58341781803587711</v>
      </c>
      <c r="I79" s="42">
        <f>H79*$B$83</f>
        <v>90313673.136878595</v>
      </c>
    </row>
    <row r="80" spans="1:9">
      <c r="A80" s="60" t="s">
        <v>257</v>
      </c>
      <c r="B80" s="41">
        <f>B77*data_2tier!B23</f>
        <v>4944477.1401279783</v>
      </c>
      <c r="C80" s="24" t="s">
        <v>8</v>
      </c>
      <c r="D80" s="24"/>
      <c r="E80" s="24"/>
      <c r="F80" s="99">
        <v>842</v>
      </c>
      <c r="G80" s="50">
        <f>[16]Production!$HT$5</f>
        <v>0.35762554512301242</v>
      </c>
      <c r="H80" s="38">
        <f>G80/$G$81</f>
        <v>0.38139613397309469</v>
      </c>
      <c r="I80" s="42">
        <f>H80*$B$83</f>
        <v>59040510.44460392</v>
      </c>
    </row>
    <row r="81" spans="1:9">
      <c r="A81" s="60" t="s">
        <v>500</v>
      </c>
      <c r="B81" s="41">
        <f>data_2tier!B6*data_rawmat!B78</f>
        <v>111455320.73102164</v>
      </c>
      <c r="C81" s="24" t="s">
        <v>8</v>
      </c>
      <c r="D81" s="24"/>
      <c r="E81" s="24"/>
      <c r="F81" s="24" t="s">
        <v>107</v>
      </c>
      <c r="G81" s="81">
        <f>SUM(G77:G80)</f>
        <v>0.93767480387790414</v>
      </c>
      <c r="H81" s="24"/>
      <c r="I81" s="28"/>
    </row>
    <row r="82" spans="1:9">
      <c r="A82" s="60" t="s">
        <v>258</v>
      </c>
      <c r="B82" s="41">
        <f>B79*data_2tier!B32</f>
        <v>38401221.81818182</v>
      </c>
      <c r="C82" s="24" t="s">
        <v>8</v>
      </c>
      <c r="D82" s="24"/>
      <c r="E82" s="24"/>
      <c r="F82" s="24"/>
      <c r="G82" s="24"/>
      <c r="H82" s="24"/>
      <c r="I82" s="28"/>
    </row>
    <row r="83" spans="1:9" ht="32">
      <c r="A83" s="60" t="s">
        <v>259</v>
      </c>
      <c r="B83" s="41">
        <f>SUM(B80:B82)</f>
        <v>154801019.68933144</v>
      </c>
      <c r="C83" s="24" t="s">
        <v>8</v>
      </c>
      <c r="D83" s="24"/>
      <c r="E83" s="24"/>
      <c r="F83" s="24"/>
      <c r="G83" s="24"/>
      <c r="H83" s="24"/>
      <c r="I83" s="28"/>
    </row>
    <row r="84" spans="1:9">
      <c r="A84" s="60" t="s">
        <v>255</v>
      </c>
      <c r="B84" s="41">
        <f>B77*data_2tier!B24</f>
        <v>26233198.160123441</v>
      </c>
      <c r="C84" s="24" t="s">
        <v>8</v>
      </c>
      <c r="D84" s="24"/>
      <c r="E84" s="24"/>
      <c r="F84" s="24"/>
      <c r="G84" s="24"/>
      <c r="H84" s="24"/>
      <c r="I84" s="28"/>
    </row>
    <row r="85" spans="1:9">
      <c r="A85" s="60" t="s">
        <v>501</v>
      </c>
      <c r="B85" s="41">
        <f>B78*data_2tier!B7</f>
        <v>591332396.10069823</v>
      </c>
      <c r="C85" s="24" t="s">
        <v>8</v>
      </c>
      <c r="D85" s="24"/>
      <c r="E85" s="24"/>
      <c r="F85" s="24"/>
      <c r="G85" s="24"/>
      <c r="H85" s="24"/>
      <c r="I85" s="28"/>
    </row>
    <row r="86" spans="1:9">
      <c r="A86" s="60" t="s">
        <v>256</v>
      </c>
      <c r="B86" s="41">
        <f>B79*data_2tier!B33</f>
        <v>296928157.09090912</v>
      </c>
      <c r="C86" s="24" t="s">
        <v>8</v>
      </c>
      <c r="D86" s="24"/>
      <c r="E86" s="24"/>
      <c r="F86" s="24"/>
      <c r="G86" s="24"/>
      <c r="H86" s="24"/>
      <c r="I86" s="28"/>
    </row>
    <row r="87" spans="1:9">
      <c r="A87" s="73" t="s">
        <v>260</v>
      </c>
      <c r="B87" s="46">
        <f>SUM(B84:B86)</f>
        <v>914493751.35173082</v>
      </c>
      <c r="C87" s="74" t="s">
        <v>8</v>
      </c>
      <c r="D87" s="74"/>
      <c r="E87" s="74"/>
      <c r="F87" s="74"/>
      <c r="G87" s="74"/>
      <c r="H87" s="74"/>
      <c r="I87" s="47"/>
    </row>
    <row r="89" spans="1:9">
      <c r="A89" s="51" t="s">
        <v>261</v>
      </c>
    </row>
    <row r="90" spans="1:9" ht="32">
      <c r="A90" s="29" t="s">
        <v>0</v>
      </c>
      <c r="B90" s="17" t="s">
        <v>1</v>
      </c>
      <c r="C90" s="17" t="s">
        <v>145</v>
      </c>
      <c r="D90" s="17" t="s">
        <v>3</v>
      </c>
      <c r="E90" s="17"/>
      <c r="F90" s="48" t="s">
        <v>218</v>
      </c>
      <c r="G90" s="48" t="s">
        <v>143</v>
      </c>
      <c r="H90" s="48" t="s">
        <v>116</v>
      </c>
      <c r="I90" s="49" t="s">
        <v>178</v>
      </c>
    </row>
    <row r="91" spans="1:9" ht="24" customHeight="1">
      <c r="A91" s="60" t="s">
        <v>262</v>
      </c>
      <c r="B91" s="125">
        <f>'[5]Weight%'!$B$54</f>
        <v>7.0000000000000007E-2</v>
      </c>
      <c r="C91" s="24" t="s">
        <v>634</v>
      </c>
      <c r="D91" s="114" t="s">
        <v>147</v>
      </c>
      <c r="E91" s="24"/>
      <c r="F91" s="99">
        <v>36</v>
      </c>
      <c r="G91" s="81">
        <f>[17]Production!$L$3</f>
        <v>9.0876059069349341E-2</v>
      </c>
      <c r="H91" s="38">
        <f>G91/$G$104</f>
        <v>9.1594901692503519E-2</v>
      </c>
      <c r="I91" s="42">
        <f t="shared" ref="I91:I103" si="4">H91*$B$95</f>
        <v>660198.34504532663</v>
      </c>
    </row>
    <row r="92" spans="1:9" ht="24" customHeight="1">
      <c r="A92" s="60" t="s">
        <v>263</v>
      </c>
      <c r="B92" s="115">
        <f>'[5]Weight%'!$B$55</f>
        <v>1.4999999999999999E-2</v>
      </c>
      <c r="C92" s="24" t="s">
        <v>634</v>
      </c>
      <c r="D92" s="114"/>
      <c r="E92" s="24"/>
      <c r="F92" s="99">
        <v>56</v>
      </c>
      <c r="G92" s="81">
        <f>[17]Production!$S$3</f>
        <v>9.6189028713574376E-2</v>
      </c>
      <c r="H92" s="38">
        <f t="shared" ref="H92:H103" si="5">G92/$G$104</f>
        <v>9.6949897686406397E-2</v>
      </c>
      <c r="I92" s="42">
        <f t="shared" si="4"/>
        <v>698796.12098669633</v>
      </c>
    </row>
    <row r="93" spans="1:9">
      <c r="A93" s="60" t="s">
        <v>264</v>
      </c>
      <c r="B93" s="41">
        <f>B91*data_2tier!B76</f>
        <v>6037500.0000000009</v>
      </c>
      <c r="C93" s="24" t="s">
        <v>8</v>
      </c>
      <c r="D93" s="24"/>
      <c r="E93" s="24"/>
      <c r="F93" s="99">
        <v>124</v>
      </c>
      <c r="G93" s="81">
        <f>[17]Production!$AM$3</f>
        <v>0.11499897996134403</v>
      </c>
      <c r="H93" s="38">
        <f t="shared" si="5"/>
        <v>0.11590863833850124</v>
      </c>
      <c r="I93" s="42">
        <f t="shared" si="4"/>
        <v>835447.05866307765</v>
      </c>
    </row>
    <row r="94" spans="1:9">
      <c r="A94" s="60" t="s">
        <v>265</v>
      </c>
      <c r="B94" s="41">
        <f>B92*data_3tier!B56</f>
        <v>1170306.688430124</v>
      </c>
      <c r="C94" s="24" t="s">
        <v>8</v>
      </c>
      <c r="D94" s="24"/>
      <c r="E94" s="24"/>
      <c r="F94" s="99">
        <v>156</v>
      </c>
      <c r="G94" s="81">
        <f>[17]Production!$AT$3</f>
        <v>6.4800747197154354E-2</v>
      </c>
      <c r="H94" s="38">
        <f t="shared" si="5"/>
        <v>6.5313330374446463E-2</v>
      </c>
      <c r="I94" s="42">
        <f t="shared" si="4"/>
        <v>470765.85951658164</v>
      </c>
    </row>
    <row r="95" spans="1:9" ht="32">
      <c r="A95" s="60" t="s">
        <v>268</v>
      </c>
      <c r="B95" s="41">
        <f>SUM(B93:B94)</f>
        <v>7207806.6884301249</v>
      </c>
      <c r="C95" s="24" t="s">
        <v>8</v>
      </c>
      <c r="D95" s="24"/>
      <c r="E95" s="24"/>
      <c r="F95" s="99">
        <v>392</v>
      </c>
      <c r="G95" s="81">
        <f>[17]Production!$DE$3</f>
        <v>1.2257727118217479E-2</v>
      </c>
      <c r="H95" s="38">
        <f t="shared" si="5"/>
        <v>1.2354687492663771E-2</v>
      </c>
      <c r="I95" s="42">
        <f t="shared" si="4"/>
        <v>89050.199143085934</v>
      </c>
    </row>
    <row r="96" spans="1:9">
      <c r="A96" s="60" t="s">
        <v>266</v>
      </c>
      <c r="B96" s="41">
        <f>B91*data_2tier!B77</f>
        <v>32128125.000000004</v>
      </c>
      <c r="C96" s="24" t="s">
        <v>8</v>
      </c>
      <c r="D96" s="24"/>
      <c r="E96" s="24"/>
      <c r="F96" s="99">
        <v>450</v>
      </c>
      <c r="G96" s="81">
        <f>[17]Production!$DV$3</f>
        <v>0.15978080061183139</v>
      </c>
      <c r="H96" s="38">
        <f t="shared" si="5"/>
        <v>0.16104468959444929</v>
      </c>
      <c r="I96" s="42">
        <f t="shared" si="4"/>
        <v>1160778.9907950249</v>
      </c>
    </row>
    <row r="97" spans="1:9">
      <c r="A97" s="60" t="s">
        <v>267</v>
      </c>
      <c r="B97" s="41">
        <f>B92*data_3tier!B60</f>
        <v>28052441.671707969</v>
      </c>
      <c r="C97" s="24" t="s">
        <v>8</v>
      </c>
      <c r="D97" s="24"/>
      <c r="E97" s="24"/>
      <c r="F97" s="99">
        <v>528</v>
      </c>
      <c r="G97" s="81">
        <f>[17]Production!$EO$3</f>
        <v>2.1309285722212714E-2</v>
      </c>
      <c r="H97" s="38">
        <f t="shared" si="5"/>
        <v>2.1477845219653152E-2</v>
      </c>
      <c r="I97" s="42">
        <f t="shared" si="4"/>
        <v>154808.15642728299</v>
      </c>
    </row>
    <row r="98" spans="1:9">
      <c r="A98" s="60" t="s">
        <v>269</v>
      </c>
      <c r="B98" s="41">
        <f>SUM(B96:B97)</f>
        <v>60180566.671707973</v>
      </c>
      <c r="C98" s="24" t="s">
        <v>8</v>
      </c>
      <c r="D98" s="24"/>
      <c r="E98" s="24"/>
      <c r="F98" s="99">
        <v>540</v>
      </c>
      <c r="G98" s="81">
        <f>[17]Production!$ET$3</f>
        <v>4.5646353077509375E-2</v>
      </c>
      <c r="H98" s="38">
        <f t="shared" si="5"/>
        <v>4.6007422258102018E-2</v>
      </c>
      <c r="I98" s="42">
        <f t="shared" si="4"/>
        <v>331612.60586937674</v>
      </c>
    </row>
    <row r="99" spans="1:9">
      <c r="A99" s="30"/>
      <c r="B99" s="24"/>
      <c r="C99" s="24"/>
      <c r="D99" s="24"/>
      <c r="E99" s="24"/>
      <c r="F99" s="99">
        <v>710</v>
      </c>
      <c r="G99" s="81">
        <f>[17]Production!$GQ$3</f>
        <v>4.3818367080468511E-2</v>
      </c>
      <c r="H99" s="38">
        <f t="shared" si="5"/>
        <v>4.4164976630409705E-2</v>
      </c>
      <c r="I99" s="42">
        <f t="shared" si="4"/>
        <v>318332.61395102722</v>
      </c>
    </row>
    <row r="100" spans="1:9">
      <c r="A100" s="30"/>
      <c r="B100" s="24"/>
      <c r="C100" s="24"/>
      <c r="D100" s="24"/>
      <c r="E100" s="24"/>
      <c r="F100" s="99">
        <v>792</v>
      </c>
      <c r="G100" s="81">
        <f>[17]Production!$HJ$3</f>
        <v>2.4633419754607061E-2</v>
      </c>
      <c r="H100" s="38">
        <f t="shared" si="5"/>
        <v>2.4828273627618285E-2</v>
      </c>
      <c r="I100" s="42">
        <f t="shared" si="4"/>
        <v>178957.39671532036</v>
      </c>
    </row>
    <row r="101" spans="1:9">
      <c r="A101" s="30"/>
      <c r="B101" s="24"/>
      <c r="C101" s="24"/>
      <c r="D101" s="24"/>
      <c r="E101" s="24"/>
      <c r="F101" s="99">
        <v>826</v>
      </c>
      <c r="G101" s="81">
        <f>[17]Production!$HR$3</f>
        <v>5.0987683769657323E-2</v>
      </c>
      <c r="H101" s="38">
        <f t="shared" si="5"/>
        <v>5.1391003639872708E-2</v>
      </c>
      <c r="I101" s="42">
        <f t="shared" si="4"/>
        <v>370416.41976061137</v>
      </c>
    </row>
    <row r="102" spans="1:9">
      <c r="A102" s="30"/>
      <c r="B102" s="24"/>
      <c r="C102" s="24"/>
      <c r="D102" s="24"/>
      <c r="E102" s="24"/>
      <c r="F102" s="99">
        <v>842</v>
      </c>
      <c r="G102" s="81">
        <f>[17]Production!$HT$3</f>
        <v>5.6554943775935118E-2</v>
      </c>
      <c r="H102" s="38">
        <f t="shared" si="5"/>
        <v>5.7002301468957503E-2</v>
      </c>
      <c r="I102" s="42">
        <f t="shared" si="4"/>
        <v>410861.56978386221</v>
      </c>
    </row>
    <row r="103" spans="1:9">
      <c r="A103" s="30"/>
      <c r="B103" s="24"/>
      <c r="C103" s="24"/>
      <c r="D103" s="24"/>
      <c r="E103" s="24"/>
      <c r="F103" s="99">
        <v>894</v>
      </c>
      <c r="G103" s="81">
        <f>[17]Production!$IB$3</f>
        <v>0.21029854044730717</v>
      </c>
      <c r="H103" s="38">
        <f t="shared" si="5"/>
        <v>0.21196203197641578</v>
      </c>
      <c r="I103" s="42">
        <f t="shared" si="4"/>
        <v>1527781.3517728497</v>
      </c>
    </row>
    <row r="104" spans="1:9">
      <c r="A104" s="90"/>
      <c r="B104" s="74"/>
      <c r="C104" s="74"/>
      <c r="D104" s="74"/>
      <c r="E104" s="74"/>
      <c r="F104" s="74" t="s">
        <v>107</v>
      </c>
      <c r="G104" s="91">
        <f>SUM(G91:G103)</f>
        <v>0.99215193629916842</v>
      </c>
      <c r="H104" s="74"/>
      <c r="I104" s="47"/>
    </row>
    <row r="106" spans="1:9">
      <c r="A106" s="51" t="s">
        <v>162</v>
      </c>
    </row>
    <row r="107" spans="1:9" ht="32">
      <c r="A107" s="29" t="s">
        <v>0</v>
      </c>
      <c r="B107" s="17" t="s">
        <v>1</v>
      </c>
      <c r="C107" s="17" t="s">
        <v>145</v>
      </c>
      <c r="D107" s="17" t="s">
        <v>3</v>
      </c>
      <c r="E107" s="17"/>
      <c r="F107" s="48" t="s">
        <v>218</v>
      </c>
      <c r="G107" s="48" t="s">
        <v>143</v>
      </c>
      <c r="H107" s="48" t="s">
        <v>116</v>
      </c>
      <c r="I107" s="49" t="s">
        <v>178</v>
      </c>
    </row>
    <row r="108" spans="1:9" ht="48">
      <c r="A108" s="60" t="s">
        <v>270</v>
      </c>
      <c r="B108" s="115">
        <f>'[5]Weight%'!$B$56</f>
        <v>0.11643999999999997</v>
      </c>
      <c r="C108" s="24" t="s">
        <v>634</v>
      </c>
      <c r="D108" s="67" t="s">
        <v>147</v>
      </c>
      <c r="E108" s="24"/>
      <c r="F108" s="99">
        <v>156</v>
      </c>
      <c r="G108" s="81">
        <f>[18]Production!$AT$8</f>
        <v>0.50517011091718356</v>
      </c>
      <c r="H108" s="38">
        <f>G108/$G$117</f>
        <v>0.51942686790976744</v>
      </c>
      <c r="I108" s="42">
        <f t="shared" ref="I108:I116" si="6">H108*$B$109</f>
        <v>718526.92625303008</v>
      </c>
    </row>
    <row r="109" spans="1:9">
      <c r="A109" s="60" t="s">
        <v>272</v>
      </c>
      <c r="B109" s="41">
        <f>B108*data_1tier!Q7</f>
        <v>1383307.1999999997</v>
      </c>
      <c r="C109" s="24" t="s">
        <v>8</v>
      </c>
      <c r="D109" s="24"/>
      <c r="E109" s="24"/>
      <c r="F109" s="99">
        <v>251</v>
      </c>
      <c r="G109" s="81">
        <f>[18]Production!$BW$8</f>
        <v>1.0867572498939009E-2</v>
      </c>
      <c r="H109" s="38">
        <f t="shared" ref="H109:H116" si="7">G109/$G$117</f>
        <v>1.1174273819678988E-2</v>
      </c>
      <c r="I109" s="42">
        <f t="shared" si="6"/>
        <v>15457.453429533443</v>
      </c>
    </row>
    <row r="110" spans="1:9">
      <c r="A110" s="60" t="s">
        <v>271</v>
      </c>
      <c r="B110" s="41">
        <f>B108*data_1tier!Q9</f>
        <v>8299843.1999999983</v>
      </c>
      <c r="C110" s="24" t="s">
        <v>8</v>
      </c>
      <c r="D110" s="24"/>
      <c r="E110" s="24"/>
      <c r="F110" s="99">
        <v>276</v>
      </c>
      <c r="G110" s="81">
        <f>[18]Production!$CE$8</f>
        <v>0.11272189672069584</v>
      </c>
      <c r="H110" s="38">
        <f t="shared" si="7"/>
        <v>0.11590309975420936</v>
      </c>
      <c r="I110" s="42">
        <f t="shared" si="6"/>
        <v>160329.592392316</v>
      </c>
    </row>
    <row r="111" spans="1:9">
      <c r="A111" s="30"/>
      <c r="B111" s="24"/>
      <c r="C111" s="24"/>
      <c r="D111" s="24"/>
      <c r="E111" s="24"/>
      <c r="F111" s="99">
        <v>381</v>
      </c>
      <c r="G111" s="81">
        <f>[18]Production!$DB$8</f>
        <v>2.1395842381908892E-2</v>
      </c>
      <c r="H111" s="38">
        <f t="shared" si="7"/>
        <v>2.1999669328314497E-2</v>
      </c>
      <c r="I111" s="42">
        <f t="shared" si="6"/>
        <v>30432.3009794766</v>
      </c>
    </row>
    <row r="112" spans="1:9">
      <c r="A112" s="30"/>
      <c r="B112" s="24"/>
      <c r="C112" s="24"/>
      <c r="D112" s="24"/>
      <c r="E112" s="24"/>
      <c r="F112" s="99">
        <v>392</v>
      </c>
      <c r="G112" s="81">
        <f>[18]Production!$DE$8</f>
        <v>1.9604332973660966E-2</v>
      </c>
      <c r="H112" s="38">
        <f t="shared" si="7"/>
        <v>2.0157600487251067E-2</v>
      </c>
      <c r="I112" s="42">
        <f t="shared" si="6"/>
        <v>27884.153888737903</v>
      </c>
    </row>
    <row r="113" spans="1:9">
      <c r="A113" s="30"/>
      <c r="B113" s="24"/>
      <c r="C113" s="24"/>
      <c r="D113" s="24"/>
      <c r="E113" s="24"/>
      <c r="F113" s="99">
        <v>410</v>
      </c>
      <c r="G113" s="81">
        <f>[18]Production!$DJ$8</f>
        <v>1.3056162497941819E-2</v>
      </c>
      <c r="H113" s="38">
        <f t="shared" si="7"/>
        <v>1.3424629538976555E-2</v>
      </c>
      <c r="I113" s="42">
        <f t="shared" si="6"/>
        <v>18570.386698598944</v>
      </c>
    </row>
    <row r="114" spans="1:9">
      <c r="A114" s="30"/>
      <c r="B114" s="24"/>
      <c r="C114" s="24"/>
      <c r="D114" s="24"/>
      <c r="E114" s="24"/>
      <c r="F114" s="99">
        <v>484</v>
      </c>
      <c r="G114" s="81">
        <f>[18]Production!$ED$8</f>
        <v>0.22303425813234451</v>
      </c>
      <c r="H114" s="38">
        <f t="shared" si="7"/>
        <v>0.22932866302783791</v>
      </c>
      <c r="I114" s="42">
        <f t="shared" si="6"/>
        <v>317231.99073278194</v>
      </c>
    </row>
    <row r="115" spans="1:9">
      <c r="A115" s="30"/>
      <c r="B115" s="24"/>
      <c r="C115" s="24"/>
      <c r="D115" s="24"/>
      <c r="E115" s="24"/>
      <c r="F115" s="99">
        <v>724</v>
      </c>
      <c r="G115" s="81">
        <f>[18]Production!$GS$8</f>
        <v>5.0349807235401084E-2</v>
      </c>
      <c r="H115" s="38">
        <f t="shared" si="7"/>
        <v>5.1770764158357747E-2</v>
      </c>
      <c r="I115" s="42">
        <f t="shared" si="6"/>
        <v>71614.870809758198</v>
      </c>
    </row>
    <row r="116" spans="1:9">
      <c r="A116" s="30"/>
      <c r="B116" s="24"/>
      <c r="C116" s="24"/>
      <c r="D116" s="24"/>
      <c r="E116" s="24"/>
      <c r="F116" s="99">
        <v>842</v>
      </c>
      <c r="G116" s="81">
        <f>[18]Production!$HT$8</f>
        <v>1.6352924715480943E-2</v>
      </c>
      <c r="H116" s="38">
        <f t="shared" si="7"/>
        <v>1.681443197560634E-2</v>
      </c>
      <c r="I116" s="42">
        <f t="shared" si="6"/>
        <v>23259.524815766468</v>
      </c>
    </row>
    <row r="117" spans="1:9">
      <c r="A117" s="90"/>
      <c r="B117" s="74"/>
      <c r="C117" s="74"/>
      <c r="D117" s="74"/>
      <c r="E117" s="74"/>
      <c r="F117" s="74" t="s">
        <v>107</v>
      </c>
      <c r="G117" s="91">
        <f>SUM(G108:G116)</f>
        <v>0.97255290807355665</v>
      </c>
      <c r="H117" s="74"/>
      <c r="I117" s="47"/>
    </row>
    <row r="119" spans="1:9">
      <c r="A119" s="51" t="s">
        <v>273</v>
      </c>
    </row>
    <row r="120" spans="1:9" ht="32">
      <c r="A120" s="29" t="s">
        <v>0</v>
      </c>
      <c r="B120" s="17" t="s">
        <v>1</v>
      </c>
      <c r="C120" s="17" t="s">
        <v>145</v>
      </c>
      <c r="D120" s="17" t="s">
        <v>3</v>
      </c>
      <c r="E120" s="17"/>
      <c r="F120" s="48" t="s">
        <v>218</v>
      </c>
      <c r="G120" s="48" t="s">
        <v>143</v>
      </c>
      <c r="H120" s="48" t="s">
        <v>116</v>
      </c>
      <c r="I120" s="49" t="s">
        <v>178</v>
      </c>
    </row>
    <row r="121" spans="1:9" ht="48">
      <c r="A121" s="60" t="s">
        <v>274</v>
      </c>
      <c r="B121" s="126">
        <f>'[5]Weight%'!$B$57/'[5]Weight%'!$B$24</f>
        <v>4.4046270005530729E-5</v>
      </c>
      <c r="C121" s="24" t="s">
        <v>634</v>
      </c>
      <c r="D121" s="67" t="s">
        <v>147</v>
      </c>
      <c r="E121" s="24"/>
      <c r="F121" s="99">
        <v>124</v>
      </c>
      <c r="G121" s="81">
        <f>[19]Production!$AM$3</f>
        <v>0.42274765593151248</v>
      </c>
      <c r="H121" s="38">
        <f>G121/$G$126</f>
        <v>0.42780528052805283</v>
      </c>
      <c r="I121" s="42">
        <f>H121*$B$122</f>
        <v>9333.3323832994993</v>
      </c>
    </row>
    <row r="122" spans="1:9">
      <c r="A122" s="60" t="s">
        <v>275</v>
      </c>
      <c r="B122" s="41">
        <f>B121*data_2tier!B23</f>
        <v>21816.776949969128</v>
      </c>
      <c r="C122" s="24" t="s">
        <v>8</v>
      </c>
      <c r="D122" s="24"/>
      <c r="E122" s="24"/>
      <c r="F122" s="99">
        <v>276</v>
      </c>
      <c r="G122" s="81">
        <f>[19]Production!$CE$3</f>
        <v>9.2947411333061558E-2</v>
      </c>
      <c r="H122" s="38">
        <f>G122/$G$126</f>
        <v>9.405940594059406E-2</v>
      </c>
      <c r="I122" s="42">
        <f>H122*$B$122</f>
        <v>2052.0730794525416</v>
      </c>
    </row>
    <row r="123" spans="1:9">
      <c r="A123" s="60" t="s">
        <v>276</v>
      </c>
      <c r="B123" s="41">
        <f>B121*data_2tier!B24</f>
        <v>115750.12215122509</v>
      </c>
      <c r="C123" s="24" t="s">
        <v>8</v>
      </c>
      <c r="D123" s="24"/>
      <c r="E123" s="24"/>
      <c r="F123" s="99">
        <v>410</v>
      </c>
      <c r="G123" s="81">
        <f>[19]Production!$DJ$3</f>
        <v>0.30819404810436202</v>
      </c>
      <c r="H123" s="38">
        <f>G123/$G$126</f>
        <v>0.31188118811881188</v>
      </c>
      <c r="I123" s="42">
        <f>H123*$B$122</f>
        <v>6804.2423160794806</v>
      </c>
    </row>
    <row r="124" spans="1:9">
      <c r="A124" s="30"/>
      <c r="B124" s="24"/>
      <c r="C124" s="24"/>
      <c r="D124" s="24"/>
      <c r="E124" s="24"/>
      <c r="F124" s="99">
        <v>528</v>
      </c>
      <c r="G124" s="81">
        <f>[19]Production!$EO$3</f>
        <v>0.15002038320423972</v>
      </c>
      <c r="H124" s="38">
        <f>G124/$G$126</f>
        <v>0.15181518151815182</v>
      </c>
      <c r="I124" s="42">
        <f>H124*$B$122</f>
        <v>3312.1179528005937</v>
      </c>
    </row>
    <row r="125" spans="1:9">
      <c r="A125" s="30"/>
      <c r="B125" s="24"/>
      <c r="C125" s="24"/>
      <c r="D125" s="24"/>
      <c r="E125" s="24"/>
      <c r="F125" s="99">
        <v>826</v>
      </c>
      <c r="G125" s="81">
        <f>[19]Production!$HR$3</f>
        <v>1.4268242967794538E-2</v>
      </c>
      <c r="H125" s="38">
        <f>G125/$G$126</f>
        <v>1.4438943894389438E-2</v>
      </c>
      <c r="I125" s="42">
        <f>H125*$B$122</f>
        <v>315.01121833701296</v>
      </c>
    </row>
    <row r="126" spans="1:9">
      <c r="A126" s="90"/>
      <c r="B126" s="74"/>
      <c r="C126" s="74"/>
      <c r="D126" s="74"/>
      <c r="E126" s="74"/>
      <c r="F126" s="121" t="s">
        <v>107</v>
      </c>
      <c r="G126" s="91">
        <f>SUM(G121:G125)</f>
        <v>0.98817774154097027</v>
      </c>
      <c r="H126" s="74"/>
      <c r="I126" s="47"/>
    </row>
    <row r="128" spans="1:9">
      <c r="A128" s="51" t="s">
        <v>277</v>
      </c>
    </row>
    <row r="129" spans="1:9" ht="32">
      <c r="A129" s="29" t="s">
        <v>0</v>
      </c>
      <c r="B129" s="17" t="s">
        <v>1</v>
      </c>
      <c r="C129" s="17" t="s">
        <v>145</v>
      </c>
      <c r="D129" s="17" t="s">
        <v>3</v>
      </c>
      <c r="E129" s="17"/>
      <c r="F129" s="48" t="s">
        <v>218</v>
      </c>
      <c r="G129" s="48" t="s">
        <v>143</v>
      </c>
      <c r="H129" s="48" t="s">
        <v>116</v>
      </c>
      <c r="I129" s="49" t="s">
        <v>178</v>
      </c>
    </row>
    <row r="130" spans="1:9" ht="48">
      <c r="A130" s="60" t="s">
        <v>278</v>
      </c>
      <c r="B130" s="115">
        <f>'[5]Weight%'!$B$58*'[5]Weight%'!$B$17/('[5]Weight%'!$B$17+'[5]Weight%'!$B$16)</f>
        <v>6.7259230769230766E-2</v>
      </c>
      <c r="C130" s="24" t="s">
        <v>634</v>
      </c>
      <c r="D130" s="67" t="s">
        <v>147</v>
      </c>
      <c r="E130" s="24"/>
      <c r="F130" s="99">
        <v>56</v>
      </c>
      <c r="G130" s="81">
        <f>[20]Production!$S$3</f>
        <v>0.29815534597566917</v>
      </c>
      <c r="H130" s="38">
        <f t="shared" ref="H130:H135" si="8">G130/$G$136</f>
        <v>0.29926982275553904</v>
      </c>
      <c r="I130" s="42">
        <f t="shared" ref="I130:I135" si="9">H130*$B$131</f>
        <v>239128.45788326126</v>
      </c>
    </row>
    <row r="131" spans="1:9">
      <c r="A131" s="60" t="s">
        <v>279</v>
      </c>
      <c r="B131" s="41">
        <f>B130*data_1tier!Q7</f>
        <v>799039.66153846146</v>
      </c>
      <c r="C131" s="24" t="s">
        <v>8</v>
      </c>
      <c r="D131" s="24"/>
      <c r="E131" s="24"/>
      <c r="F131" s="99">
        <v>251</v>
      </c>
      <c r="G131" s="81">
        <f>[20]Production!$BW$3</f>
        <v>2.3767234996055729E-2</v>
      </c>
      <c r="H131" s="38">
        <f t="shared" si="8"/>
        <v>2.3856074696172912E-2</v>
      </c>
      <c r="I131" s="42">
        <f t="shared" si="9"/>
        <v>19061.949850866258</v>
      </c>
    </row>
    <row r="132" spans="1:9">
      <c r="A132" s="60" t="s">
        <v>280</v>
      </c>
      <c r="B132" s="41">
        <f>B130*data_1tier!Q9</f>
        <v>4794237.9692307692</v>
      </c>
      <c r="C132" s="24" t="s">
        <v>8</v>
      </c>
      <c r="D132" s="24"/>
      <c r="E132" s="24"/>
      <c r="F132" s="99">
        <v>344</v>
      </c>
      <c r="G132" s="81">
        <f>[20]Production!$CT$3</f>
        <v>0.52968466727687835</v>
      </c>
      <c r="H132" s="38">
        <f t="shared" si="8"/>
        <v>0.53166457899169739</v>
      </c>
      <c r="I132" s="42">
        <f t="shared" si="9"/>
        <v>424821.08524951449</v>
      </c>
    </row>
    <row r="133" spans="1:9">
      <c r="A133" s="30"/>
      <c r="B133" s="24"/>
      <c r="C133" s="24"/>
      <c r="D133" s="24"/>
      <c r="E133" s="24"/>
      <c r="F133" s="99">
        <v>616</v>
      </c>
      <c r="G133" s="81">
        <f>[20]Production!$FO$3</f>
        <v>4.6533269535349212E-2</v>
      </c>
      <c r="H133" s="38">
        <f t="shared" si="8"/>
        <v>4.6707206541975292E-2</v>
      </c>
      <c r="I133" s="42">
        <f t="shared" si="9"/>
        <v>37320.910506706947</v>
      </c>
    </row>
    <row r="134" spans="1:9">
      <c r="A134" s="30"/>
      <c r="B134" s="24"/>
      <c r="C134" s="24"/>
      <c r="D134" s="24"/>
      <c r="E134" s="24"/>
      <c r="F134" s="99">
        <v>826</v>
      </c>
      <c r="G134" s="81">
        <f>[20]Production!$HR$3</f>
        <v>3.735982340726457E-2</v>
      </c>
      <c r="H134" s="38">
        <f t="shared" si="8"/>
        <v>3.7499470930776796E-2</v>
      </c>
      <c r="I134" s="42">
        <f t="shared" si="9"/>
        <v>29963.564560399263</v>
      </c>
    </row>
    <row r="135" spans="1:9">
      <c r="A135" s="30"/>
      <c r="B135" s="24"/>
      <c r="C135" s="24"/>
      <c r="D135" s="24"/>
      <c r="E135" s="24"/>
      <c r="F135" s="99">
        <v>842</v>
      </c>
      <c r="G135" s="81">
        <f>[20]Production!$HT$3</f>
        <v>6.0775672308546337E-2</v>
      </c>
      <c r="H135" s="38">
        <f t="shared" si="8"/>
        <v>6.1002846083838567E-2</v>
      </c>
      <c r="I135" s="42">
        <f t="shared" si="9"/>
        <v>48743.69348771323</v>
      </c>
    </row>
    <row r="136" spans="1:9">
      <c r="A136" s="90"/>
      <c r="B136" s="74"/>
      <c r="C136" s="74"/>
      <c r="D136" s="74"/>
      <c r="E136" s="74"/>
      <c r="F136" s="121" t="s">
        <v>107</v>
      </c>
      <c r="G136" s="91">
        <f>SUM(G130:G135)</f>
        <v>0.99627601349976336</v>
      </c>
      <c r="H136" s="74"/>
      <c r="I136" s="47"/>
    </row>
    <row r="137" spans="1:9">
      <c r="A137" s="51" t="s">
        <v>281</v>
      </c>
    </row>
    <row r="138" spans="1:9" ht="32">
      <c r="A138" s="29" t="s">
        <v>0</v>
      </c>
      <c r="B138" s="17" t="s">
        <v>1</v>
      </c>
      <c r="C138" s="17" t="s">
        <v>145</v>
      </c>
      <c r="D138" s="17" t="s">
        <v>3</v>
      </c>
      <c r="E138" s="17"/>
      <c r="F138" s="48" t="s">
        <v>218</v>
      </c>
      <c r="G138" s="48" t="s">
        <v>143</v>
      </c>
      <c r="H138" s="48" t="s">
        <v>116</v>
      </c>
      <c r="I138" s="49" t="s">
        <v>178</v>
      </c>
    </row>
    <row r="139" spans="1:9" ht="48">
      <c r="A139" s="60" t="s">
        <v>282</v>
      </c>
      <c r="B139" s="127">
        <f>'[5]Weight%'!$B$59/'[5]Weight%'!$B$24</f>
        <v>8.8092540011061458E-5</v>
      </c>
      <c r="C139" s="24" t="s">
        <v>634</v>
      </c>
      <c r="D139" s="67" t="s">
        <v>147</v>
      </c>
      <c r="E139" s="24"/>
      <c r="F139" s="99">
        <v>44</v>
      </c>
      <c r="G139" s="81">
        <f>[21]Production!$N$3</f>
        <v>1.7550246849402242E-2</v>
      </c>
      <c r="H139" s="38">
        <f>G139/$G$149</f>
        <v>1.7942069115358714E-2</v>
      </c>
      <c r="I139" s="42">
        <f t="shared" ref="I139:I148" si="10">$B$140*H139</f>
        <v>782.8762398214219</v>
      </c>
    </row>
    <row r="140" spans="1:9">
      <c r="A140" s="60" t="s">
        <v>283</v>
      </c>
      <c r="B140" s="41">
        <f>B139*data_2tier!B23</f>
        <v>43633.553899938255</v>
      </c>
      <c r="C140" s="24" t="s">
        <v>8</v>
      </c>
      <c r="D140" s="24"/>
      <c r="E140" s="24"/>
      <c r="F140" s="99">
        <v>56</v>
      </c>
      <c r="G140" s="81">
        <f>[21]Production!$S$3</f>
        <v>0.32230616571060444</v>
      </c>
      <c r="H140" s="38">
        <f t="shared" ref="H140:H148" si="11">G140/$G$149</f>
        <v>0.32950188969466754</v>
      </c>
      <c r="I140" s="42">
        <f t="shared" si="10"/>
        <v>14377.338464123786</v>
      </c>
    </row>
    <row r="141" spans="1:9">
      <c r="A141" s="60" t="s">
        <v>284</v>
      </c>
      <c r="B141" s="41">
        <f>B139*data_2tier!B24</f>
        <v>231500.24430245018</v>
      </c>
      <c r="C141" s="24" t="s">
        <v>8</v>
      </c>
      <c r="D141" s="24"/>
      <c r="E141" s="24"/>
      <c r="F141" s="99">
        <v>156</v>
      </c>
      <c r="G141" s="81">
        <f>[21]Production!$AT$3</f>
        <v>1.2385035558751485E-2</v>
      </c>
      <c r="H141" s="38">
        <f t="shared" si="11"/>
        <v>1.2661540655131186E-2</v>
      </c>
      <c r="I141" s="42">
        <f t="shared" si="10"/>
        <v>552.46801663192616</v>
      </c>
    </row>
    <row r="142" spans="1:9">
      <c r="A142" s="30"/>
      <c r="B142" s="24"/>
      <c r="C142" s="24"/>
      <c r="D142" s="24"/>
      <c r="E142" s="24"/>
      <c r="F142" s="99">
        <v>251</v>
      </c>
      <c r="G142" s="81">
        <f>[21]Production!$BW$3</f>
        <v>0.1093720660784786</v>
      </c>
      <c r="H142" s="38">
        <f t="shared" si="11"/>
        <v>0.11181387850031757</v>
      </c>
      <c r="I142" s="42">
        <f t="shared" si="10"/>
        <v>4878.8368943047535</v>
      </c>
    </row>
    <row r="143" spans="1:9">
      <c r="A143" s="30"/>
      <c r="B143" s="24"/>
      <c r="C143" s="24"/>
      <c r="D143" s="24"/>
      <c r="E143" s="24"/>
      <c r="F143" s="99">
        <v>381</v>
      </c>
      <c r="G143" s="81">
        <f>[21]Production!$DB$3</f>
        <v>2.3702010477741287E-2</v>
      </c>
      <c r="H143" s="38">
        <f t="shared" si="11"/>
        <v>2.423117542526617E-2</v>
      </c>
      <c r="I143" s="42">
        <f t="shared" si="10"/>
        <v>1057.2922989772107</v>
      </c>
    </row>
    <row r="144" spans="1:9">
      <c r="A144" s="30"/>
      <c r="B144" s="24"/>
      <c r="C144" s="24"/>
      <c r="D144" s="24"/>
      <c r="E144" s="24"/>
      <c r="F144" s="99">
        <v>392</v>
      </c>
      <c r="G144" s="81">
        <f>[21]Production!$DE$3</f>
        <v>9.8956512603900426E-2</v>
      </c>
      <c r="H144" s="38">
        <f t="shared" si="11"/>
        <v>0.10116579007630995</v>
      </c>
      <c r="I144" s="42">
        <f t="shared" si="10"/>
        <v>4414.2229541245088</v>
      </c>
    </row>
    <row r="145" spans="1:9">
      <c r="A145" s="30"/>
      <c r="B145" s="24"/>
      <c r="C145" s="24"/>
      <c r="D145" s="24"/>
      <c r="E145" s="24"/>
      <c r="F145" s="99">
        <v>410</v>
      </c>
      <c r="G145" s="81">
        <f>[21]Production!$DJ$3</f>
        <v>3.0296937763279359E-2</v>
      </c>
      <c r="H145" s="38">
        <f t="shared" si="11"/>
        <v>3.0973339349411735E-2</v>
      </c>
      <c r="I145" s="42">
        <f t="shared" si="10"/>
        <v>1351.4768719636354</v>
      </c>
    </row>
    <row r="146" spans="1:9">
      <c r="A146" s="30"/>
      <c r="B146" s="24"/>
      <c r="C146" s="24"/>
      <c r="D146" s="24"/>
      <c r="E146" s="24"/>
      <c r="F146" s="99">
        <v>643</v>
      </c>
      <c r="G146" s="81">
        <f>[21]Production!$FU$3</f>
        <v>0.29318657008838517</v>
      </c>
      <c r="H146" s="38">
        <f t="shared" si="11"/>
        <v>0.29973217752204645</v>
      </c>
      <c r="I146" s="42">
        <f t="shared" si="10"/>
        <v>13078.380123454075</v>
      </c>
    </row>
    <row r="147" spans="1:9">
      <c r="A147" s="30"/>
      <c r="B147" s="24"/>
      <c r="C147" s="24"/>
      <c r="D147" s="24"/>
      <c r="E147" s="24"/>
      <c r="F147" s="99">
        <v>702</v>
      </c>
      <c r="G147" s="81">
        <f>[21]Production!$GL$3</f>
        <v>1.1447991967507769E-2</v>
      </c>
      <c r="H147" s="38">
        <f t="shared" si="11"/>
        <v>1.1703576871347066E-2</v>
      </c>
      <c r="I147" s="42">
        <f t="shared" si="10"/>
        <v>510.66865223799294</v>
      </c>
    </row>
    <row r="148" spans="1:9">
      <c r="A148" s="30"/>
      <c r="B148" s="24"/>
      <c r="C148" s="24"/>
      <c r="D148" s="24"/>
      <c r="E148" s="24"/>
      <c r="F148" s="99">
        <v>842</v>
      </c>
      <c r="G148" s="81">
        <f>[21]Production!$HT$3</f>
        <v>5.8958275598286022E-2</v>
      </c>
      <c r="H148" s="38">
        <f t="shared" si="11"/>
        <v>6.0274562790143586E-2</v>
      </c>
      <c r="I148" s="42">
        <f t="shared" si="10"/>
        <v>2629.9933842989431</v>
      </c>
    </row>
    <row r="149" spans="1:9">
      <c r="A149" s="90"/>
      <c r="B149" s="74"/>
      <c r="C149" s="74"/>
      <c r="D149" s="74"/>
      <c r="E149" s="74"/>
      <c r="F149" s="74" t="s">
        <v>107</v>
      </c>
      <c r="G149" s="91">
        <f>SUM(G139:G148)</f>
        <v>0.97816181269633684</v>
      </c>
      <c r="H149" s="74"/>
      <c r="I149" s="47"/>
    </row>
    <row r="151" spans="1:9">
      <c r="A151" s="51" t="s">
        <v>288</v>
      </c>
    </row>
    <row r="152" spans="1:9" ht="32">
      <c r="A152" s="29" t="s">
        <v>0</v>
      </c>
      <c r="B152" s="17" t="s">
        <v>1</v>
      </c>
      <c r="C152" s="17" t="s">
        <v>145</v>
      </c>
      <c r="D152" s="17" t="s">
        <v>3</v>
      </c>
      <c r="E152" s="17"/>
      <c r="F152" s="48" t="s">
        <v>218</v>
      </c>
      <c r="G152" s="48" t="s">
        <v>143</v>
      </c>
      <c r="H152" s="48" t="s">
        <v>116</v>
      </c>
      <c r="I152" s="49" t="s">
        <v>178</v>
      </c>
    </row>
    <row r="153" spans="1:9" ht="24.5" customHeight="1">
      <c r="A153" s="60" t="s">
        <v>289</v>
      </c>
      <c r="B153" s="81">
        <f>'[5]Weight%'!$B$60</f>
        <v>7.0000000000000007E-2</v>
      </c>
      <c r="C153" s="24" t="s">
        <v>634</v>
      </c>
      <c r="D153" s="114" t="s">
        <v>147</v>
      </c>
      <c r="E153" s="24"/>
      <c r="F153" s="99">
        <v>32</v>
      </c>
      <c r="G153" s="81">
        <f>[22]Production!$K$5</f>
        <v>0.10930144184740619</v>
      </c>
      <c r="H153" s="38">
        <f>G153/$G$161</f>
        <v>0.11286425966592221</v>
      </c>
      <c r="I153" s="42">
        <f t="shared" ref="I153:I160" si="12">H153*$B$157</f>
        <v>2122514.6867660093</v>
      </c>
    </row>
    <row r="154" spans="1:9" ht="25" customHeight="1">
      <c r="A154" s="60" t="s">
        <v>290</v>
      </c>
      <c r="B154" s="81">
        <f>'[5]Weight%'!$B$61</f>
        <v>3.3250000000000002E-2</v>
      </c>
      <c r="C154" s="24" t="s">
        <v>634</v>
      </c>
      <c r="D154" s="114"/>
      <c r="E154" s="24"/>
      <c r="F154" s="99">
        <v>56</v>
      </c>
      <c r="G154" s="81">
        <f>[22]Production!$S$5</f>
        <v>1.4776903564388532E-2</v>
      </c>
      <c r="H154" s="38">
        <f t="shared" ref="H154:H160" si="13">G154/$G$161</f>
        <v>1.5258575301118195E-2</v>
      </c>
      <c r="I154" s="42">
        <f t="shared" si="12"/>
        <v>286951.33669075149</v>
      </c>
    </row>
    <row r="155" spans="1:9">
      <c r="A155" s="60" t="s">
        <v>293</v>
      </c>
      <c r="B155" s="41">
        <f>B153*data_2tier!B76</f>
        <v>6037500.0000000009</v>
      </c>
      <c r="C155" s="24" t="s">
        <v>8</v>
      </c>
      <c r="D155" s="24"/>
      <c r="E155" s="24"/>
      <c r="F155" s="99">
        <v>152</v>
      </c>
      <c r="G155" s="81">
        <f>[22]Production!$AS$5</f>
        <v>0.4547250977180029</v>
      </c>
      <c r="H155" s="38">
        <f t="shared" si="13"/>
        <v>0.46954743357463269</v>
      </c>
      <c r="I155" s="42">
        <f t="shared" si="12"/>
        <v>8830265.0178669523</v>
      </c>
    </row>
    <row r="156" spans="1:9">
      <c r="A156" s="60" t="s">
        <v>294</v>
      </c>
      <c r="B156" s="41">
        <f>B154*data_2tier!B32</f>
        <v>12768406.254545456</v>
      </c>
      <c r="C156" s="24" t="s">
        <v>8</v>
      </c>
      <c r="D156" s="24"/>
      <c r="E156" s="24"/>
      <c r="F156" s="99">
        <v>156</v>
      </c>
      <c r="G156" s="81">
        <f>[22]Production!$AT$5</f>
        <v>0.26004764648756634</v>
      </c>
      <c r="H156" s="38">
        <f t="shared" si="13"/>
        <v>0.26852422623719607</v>
      </c>
      <c r="I156" s="42">
        <f t="shared" si="12"/>
        <v>5049841.4256910654</v>
      </c>
    </row>
    <row r="157" spans="1:9">
      <c r="A157" s="60" t="s">
        <v>295</v>
      </c>
      <c r="B157" s="41">
        <f>SUM(B155:B156)</f>
        <v>18805906.254545458</v>
      </c>
      <c r="C157" s="24" t="s">
        <v>8</v>
      </c>
      <c r="D157" s="24"/>
      <c r="E157" s="24"/>
      <c r="F157" s="99">
        <v>276</v>
      </c>
      <c r="G157" s="81">
        <f>[22]Production!$CE$5</f>
        <v>1.13471666246977E-2</v>
      </c>
      <c r="H157" s="38">
        <f t="shared" si="13"/>
        <v>1.1717041776908263E-2</v>
      </c>
      <c r="I157" s="42">
        <f t="shared" si="12"/>
        <v>220349.58923712952</v>
      </c>
    </row>
    <row r="158" spans="1:9">
      <c r="A158" s="60" t="s">
        <v>291</v>
      </c>
      <c r="B158" s="41">
        <f>B153*data_2tier!B77</f>
        <v>32128125.000000004</v>
      </c>
      <c r="C158" s="24" t="s">
        <v>8</v>
      </c>
      <c r="D158" s="24"/>
      <c r="E158" s="24"/>
      <c r="F158" s="99">
        <v>528</v>
      </c>
      <c r="G158" s="81">
        <f>[22]Production!$EO$5</f>
        <v>5.202298662266315E-2</v>
      </c>
      <c r="H158" s="38">
        <f t="shared" si="13"/>
        <v>5.3718741231009552E-2</v>
      </c>
      <c r="I158" s="42">
        <f t="shared" si="12"/>
        <v>1010229.6117025515</v>
      </c>
    </row>
    <row r="159" spans="1:9">
      <c r="A159" s="60" t="s">
        <v>292</v>
      </c>
      <c r="B159" s="41">
        <f>B154*data_2tier!B33</f>
        <v>98728612.232727274</v>
      </c>
      <c r="C159" s="24" t="s">
        <v>8</v>
      </c>
      <c r="D159" s="24"/>
      <c r="E159" s="24"/>
      <c r="F159" s="99">
        <v>643</v>
      </c>
      <c r="G159" s="81">
        <f>[22]Production!$FU$5</f>
        <v>3.6686964696762671E-2</v>
      </c>
      <c r="H159" s="38">
        <f t="shared" si="13"/>
        <v>3.7882822402934335E-2</v>
      </c>
      <c r="I159" s="42">
        <f t="shared" si="12"/>
        <v>712420.80676717765</v>
      </c>
    </row>
    <row r="160" spans="1:9">
      <c r="A160" s="60" t="s">
        <v>296</v>
      </c>
      <c r="B160" s="41">
        <f>SUM(B158:B159)</f>
        <v>130856737.23272727</v>
      </c>
      <c r="C160" s="24" t="s">
        <v>8</v>
      </c>
      <c r="D160" s="24"/>
      <c r="E160" s="24"/>
      <c r="F160" s="99">
        <v>842</v>
      </c>
      <c r="G160" s="81">
        <f>[22]Production!$HT$5</f>
        <v>2.9524511272074571E-2</v>
      </c>
      <c r="H160" s="38">
        <f t="shared" si="13"/>
        <v>3.0486899810278661E-2</v>
      </c>
      <c r="I160" s="42">
        <f t="shared" si="12"/>
        <v>573333.77982382022</v>
      </c>
    </row>
    <row r="161" spans="1:9">
      <c r="A161" s="90"/>
      <c r="B161" s="74"/>
      <c r="C161" s="74"/>
      <c r="D161" s="74"/>
      <c r="E161" s="74"/>
      <c r="F161" s="74" t="s">
        <v>107</v>
      </c>
      <c r="G161" s="91">
        <f>SUM(G153:G160)</f>
        <v>0.96843271883356208</v>
      </c>
      <c r="H161" s="74"/>
      <c r="I161" s="47"/>
    </row>
    <row r="163" spans="1:9">
      <c r="A163" s="51" t="s">
        <v>297</v>
      </c>
    </row>
    <row r="164" spans="1:9" ht="32">
      <c r="A164" s="29" t="s">
        <v>0</v>
      </c>
      <c r="B164" s="17" t="s">
        <v>1</v>
      </c>
      <c r="C164" s="17" t="s">
        <v>145</v>
      </c>
      <c r="D164" s="17" t="s">
        <v>3</v>
      </c>
      <c r="E164" s="17"/>
      <c r="F164" s="48" t="s">
        <v>218</v>
      </c>
      <c r="G164" s="48" t="s">
        <v>143</v>
      </c>
      <c r="H164" s="48" t="s">
        <v>116</v>
      </c>
      <c r="I164" s="49" t="s">
        <v>178</v>
      </c>
    </row>
    <row r="165" spans="1:9" ht="23.5" customHeight="1">
      <c r="A165" s="60" t="s">
        <v>299</v>
      </c>
      <c r="B165" s="115">
        <f>'[5]Weight%'!$B$62</f>
        <v>6.7500000000000008E-3</v>
      </c>
      <c r="C165" s="24" t="s">
        <v>634</v>
      </c>
      <c r="D165" s="114" t="s">
        <v>147</v>
      </c>
      <c r="E165" s="24"/>
      <c r="F165" s="99">
        <v>40</v>
      </c>
      <c r="G165" s="81">
        <f>[23]Production!$M$3</f>
        <v>4.7803506181348737E-2</v>
      </c>
      <c r="H165" s="38">
        <f>G165/$G$174</f>
        <v>5.030987265264901E-2</v>
      </c>
      <c r="I165" s="42">
        <f t="shared" ref="I165:I173" si="14">H165*$B$169</f>
        <v>1475310.2438115596</v>
      </c>
    </row>
    <row r="166" spans="1:9" ht="24.5" customHeight="1">
      <c r="A166" s="60" t="s">
        <v>300</v>
      </c>
      <c r="B166" s="115">
        <f>'[5]Weight%'!$B$63</f>
        <v>4.3999999999999997E-2</v>
      </c>
      <c r="C166" s="24" t="s">
        <v>634</v>
      </c>
      <c r="D166" s="114"/>
      <c r="E166" s="24"/>
      <c r="F166" s="99">
        <v>156</v>
      </c>
      <c r="G166" s="81">
        <f>[23]Production!$AT$3</f>
        <v>0.74679786570042106</v>
      </c>
      <c r="H166" s="38">
        <f t="shared" ref="H166:H173" si="15">G166/$G$174</f>
        <v>0.78595292525461824</v>
      </c>
      <c r="I166" s="42">
        <f t="shared" si="14"/>
        <v>23047651.298730645</v>
      </c>
    </row>
    <row r="167" spans="1:9">
      <c r="A167" s="60" t="s">
        <v>301</v>
      </c>
      <c r="B167" s="41">
        <f>B165*data_3tier!B11</f>
        <v>12427930.263344493</v>
      </c>
      <c r="C167" s="24" t="s">
        <v>8</v>
      </c>
      <c r="D167" s="24"/>
      <c r="E167" s="24"/>
      <c r="F167" s="99">
        <v>276</v>
      </c>
      <c r="G167" s="81">
        <f>[23]Production!$CE$3</f>
        <v>4.4481931934810655E-2</v>
      </c>
      <c r="H167" s="38">
        <f t="shared" si="15"/>
        <v>4.6814146278192213E-2</v>
      </c>
      <c r="I167" s="42">
        <f t="shared" si="14"/>
        <v>1372799.9280847555</v>
      </c>
    </row>
    <row r="168" spans="1:9">
      <c r="A168" s="60" t="s">
        <v>302</v>
      </c>
      <c r="B168" s="41">
        <f>B166*data_2tier!B32</f>
        <v>16896537.599999998</v>
      </c>
      <c r="C168" s="24" t="s">
        <v>8</v>
      </c>
      <c r="D168" s="24"/>
      <c r="E168" s="24"/>
      <c r="F168" s="99">
        <v>528</v>
      </c>
      <c r="G168" s="81">
        <f>[23]Production!$EO$3</f>
        <v>1.4807060979248887E-2</v>
      </c>
      <c r="H168" s="38">
        <f t="shared" si="15"/>
        <v>1.5583404058271149E-2</v>
      </c>
      <c r="I168" s="42">
        <f t="shared" si="14"/>
        <v>456975.03150828439</v>
      </c>
    </row>
    <row r="169" spans="1:9" ht="32">
      <c r="A169" s="60" t="s">
        <v>303</v>
      </c>
      <c r="B169" s="41">
        <f>SUM(B167:B168)</f>
        <v>29324467.863344491</v>
      </c>
      <c r="C169" s="24" t="s">
        <v>8</v>
      </c>
      <c r="D169" s="24"/>
      <c r="E169" s="24"/>
      <c r="F169" s="99">
        <v>642</v>
      </c>
      <c r="G169" s="81">
        <f>[23]Production!$FT$3</f>
        <v>1.447665628409437E-2</v>
      </c>
      <c r="H169" s="38">
        <f t="shared" si="15"/>
        <v>1.5235676046982583E-2</v>
      </c>
      <c r="I169" s="42">
        <f t="shared" si="14"/>
        <v>446778.0926160682</v>
      </c>
    </row>
    <row r="170" spans="1:9">
      <c r="A170" s="60" t="s">
        <v>304</v>
      </c>
      <c r="B170" s="41">
        <f>B165*data_3tier!B15</f>
        <v>66230090.734061733</v>
      </c>
      <c r="C170" s="24" t="s">
        <v>8</v>
      </c>
      <c r="D170" s="24"/>
      <c r="E170" s="24"/>
      <c r="F170" s="99">
        <v>643</v>
      </c>
      <c r="G170" s="81">
        <f>[23]Production!$FU$3</f>
        <v>1.5881139256386938E-2</v>
      </c>
      <c r="H170" s="38">
        <f t="shared" si="15"/>
        <v>1.6713796903030206E-2</v>
      </c>
      <c r="I170" s="42">
        <f t="shared" si="14"/>
        <v>490123.20015737595</v>
      </c>
    </row>
    <row r="171" spans="1:9">
      <c r="A171" s="60" t="s">
        <v>305</v>
      </c>
      <c r="B171" s="41">
        <f>B166*data_2tier!B33</f>
        <v>130648389.11999999</v>
      </c>
      <c r="C171" s="24" t="s">
        <v>8</v>
      </c>
      <c r="D171" s="24"/>
      <c r="E171" s="24"/>
      <c r="F171" s="99">
        <v>703</v>
      </c>
      <c r="G171" s="81">
        <f>[23]Production!$GM$3</f>
        <v>1.2668947912078879E-2</v>
      </c>
      <c r="H171" s="38">
        <f t="shared" si="15"/>
        <v>1.3333188441905812E-2</v>
      </c>
      <c r="I171" s="42">
        <f t="shared" si="14"/>
        <v>390988.65598058316</v>
      </c>
    </row>
    <row r="172" spans="1:9">
      <c r="A172" s="60" t="s">
        <v>306</v>
      </c>
      <c r="B172" s="41">
        <f>SUM(B170:B171)</f>
        <v>196878479.85406172</v>
      </c>
      <c r="C172" s="24" t="s">
        <v>8</v>
      </c>
      <c r="D172" s="24"/>
      <c r="E172" s="24"/>
      <c r="F172" s="99">
        <v>792</v>
      </c>
      <c r="G172" s="81">
        <f>[23]Production!$HJ$3</f>
        <v>3.4670930947631316E-2</v>
      </c>
      <c r="H172" s="38">
        <f t="shared" si="15"/>
        <v>3.6488748630841651E-2</v>
      </c>
      <c r="I172" s="42">
        <f t="shared" si="14"/>
        <v>1070013.1365987712</v>
      </c>
    </row>
    <row r="173" spans="1:9">
      <c r="A173" s="30"/>
      <c r="B173" s="24"/>
      <c r="C173" s="24"/>
      <c r="D173" s="24"/>
      <c r="E173" s="24"/>
      <c r="F173" s="99">
        <v>842</v>
      </c>
      <c r="G173" s="81">
        <f>[23]Production!$HT$3</f>
        <v>1.8593379695559346E-2</v>
      </c>
      <c r="H173" s="38">
        <f t="shared" si="15"/>
        <v>1.9568241733509351E-2</v>
      </c>
      <c r="I173" s="42">
        <f t="shared" si="14"/>
        <v>573828.27585645148</v>
      </c>
    </row>
    <row r="174" spans="1:9">
      <c r="A174" s="90"/>
      <c r="B174" s="74"/>
      <c r="C174" s="74"/>
      <c r="D174" s="74"/>
      <c r="E174" s="74"/>
      <c r="F174" s="74" t="s">
        <v>107</v>
      </c>
      <c r="G174" s="91">
        <f>SUM(G165:G173)</f>
        <v>0.95018141889158003</v>
      </c>
      <c r="H174" s="74"/>
      <c r="I174" s="47"/>
    </row>
    <row r="176" spans="1:9">
      <c r="A176" s="51" t="s">
        <v>298</v>
      </c>
    </row>
    <row r="177" spans="1:9" ht="32">
      <c r="A177" s="29" t="s">
        <v>0</v>
      </c>
      <c r="B177" s="17" t="s">
        <v>1</v>
      </c>
      <c r="C177" s="17" t="s">
        <v>145</v>
      </c>
      <c r="D177" s="17" t="s">
        <v>3</v>
      </c>
      <c r="E177" s="17"/>
      <c r="F177" s="48" t="s">
        <v>310</v>
      </c>
      <c r="G177" s="48" t="s">
        <v>636</v>
      </c>
      <c r="H177" s="48" t="s">
        <v>116</v>
      </c>
      <c r="I177" s="49" t="s">
        <v>178</v>
      </c>
    </row>
    <row r="178" spans="1:9" ht="48">
      <c r="A178" s="60" t="s">
        <v>307</v>
      </c>
      <c r="B178" s="128">
        <f>'[5]Weight%'!$B$64</f>
        <v>0.16</v>
      </c>
      <c r="C178" s="24" t="s">
        <v>634</v>
      </c>
      <c r="D178" s="67" t="s">
        <v>147</v>
      </c>
      <c r="E178" s="24"/>
      <c r="F178" s="99">
        <v>40</v>
      </c>
      <c r="G178" s="129">
        <v>16500000</v>
      </c>
      <c r="H178" s="113">
        <f>G178/$G$194</f>
        <v>1.7216337365086518E-2</v>
      </c>
      <c r="I178" s="130">
        <f t="shared" ref="I178:I193" si="16">H178*$B$179</f>
        <v>237585.45563819396</v>
      </c>
    </row>
    <row r="179" spans="1:9">
      <c r="A179" s="60" t="s">
        <v>309</v>
      </c>
      <c r="B179" s="41">
        <f>B178*data_2tier!B76</f>
        <v>13800000</v>
      </c>
      <c r="C179" s="24" t="s">
        <v>8</v>
      </c>
      <c r="D179" s="24"/>
      <c r="E179" s="24"/>
      <c r="F179" s="99">
        <v>76</v>
      </c>
      <c r="G179" s="129">
        <v>95000000</v>
      </c>
      <c r="H179" s="113">
        <f t="shared" ref="H179:H193" si="17">G179/$G$194</f>
        <v>9.9124366647467849E-2</v>
      </c>
      <c r="I179" s="130">
        <f t="shared" si="16"/>
        <v>1367916.2597350562</v>
      </c>
    </row>
    <row r="180" spans="1:9">
      <c r="A180" s="60" t="s">
        <v>308</v>
      </c>
      <c r="B180" s="41">
        <f>B178*data_2tier!B77</f>
        <v>73435714.285714284</v>
      </c>
      <c r="C180" s="24" t="s">
        <v>8</v>
      </c>
      <c r="D180" s="24"/>
      <c r="E180" s="24"/>
      <c r="F180" s="99">
        <v>124</v>
      </c>
      <c r="G180" s="129">
        <v>8841000</v>
      </c>
      <c r="H180" s="113">
        <f t="shared" si="17"/>
        <v>9.2248265845290868E-3</v>
      </c>
      <c r="I180" s="130">
        <f t="shared" si="16"/>
        <v>127302.6068665014</v>
      </c>
    </row>
    <row r="181" spans="1:9">
      <c r="A181" s="30"/>
      <c r="B181" s="24"/>
      <c r="C181" s="24"/>
      <c r="D181" s="24"/>
      <c r="E181" s="24"/>
      <c r="F181" s="99">
        <v>144</v>
      </c>
      <c r="G181" s="129">
        <v>3700000</v>
      </c>
      <c r="H181" s="113">
        <f t="shared" si="17"/>
        <v>3.8606332273224317E-3</v>
      </c>
      <c r="I181" s="130">
        <f t="shared" si="16"/>
        <v>53276.738537049561</v>
      </c>
    </row>
    <row r="182" spans="1:9">
      <c r="A182" s="30"/>
      <c r="B182" s="24"/>
      <c r="C182" s="24"/>
      <c r="D182" s="24"/>
      <c r="E182" s="24"/>
      <c r="F182" s="99">
        <v>156</v>
      </c>
      <c r="G182" s="129">
        <v>650000000</v>
      </c>
      <c r="H182" s="113">
        <f t="shared" si="17"/>
        <v>0.67821935074583262</v>
      </c>
      <c r="I182" s="130">
        <f t="shared" si="16"/>
        <v>9359427.0402924903</v>
      </c>
    </row>
    <row r="183" spans="1:9">
      <c r="A183" s="30"/>
      <c r="B183" s="24"/>
      <c r="C183" s="24"/>
      <c r="D183" s="24"/>
      <c r="E183" s="24"/>
      <c r="F183" s="99">
        <v>276</v>
      </c>
      <c r="G183" s="129">
        <v>108000</v>
      </c>
      <c r="H183" s="113">
        <f t="shared" si="17"/>
        <v>1.126887536623845E-4</v>
      </c>
      <c r="I183" s="130">
        <f t="shared" si="16"/>
        <v>1555.1048005409061</v>
      </c>
    </row>
    <row r="184" spans="1:9">
      <c r="A184" s="30"/>
      <c r="B184" s="24"/>
      <c r="C184" s="24"/>
      <c r="D184" s="24"/>
      <c r="E184" s="24"/>
      <c r="F184" s="99">
        <v>408</v>
      </c>
      <c r="G184" s="129">
        <v>30000000</v>
      </c>
      <c r="H184" s="113">
        <f t="shared" si="17"/>
        <v>3.1302431572884579E-2</v>
      </c>
      <c r="I184" s="130">
        <f t="shared" si="16"/>
        <v>431973.55570580717</v>
      </c>
    </row>
    <row r="185" spans="1:9">
      <c r="A185" s="30"/>
      <c r="B185" s="24"/>
      <c r="C185" s="24"/>
      <c r="D185" s="24"/>
      <c r="E185" s="24"/>
      <c r="F185" s="99">
        <v>450</v>
      </c>
      <c r="G185" s="129">
        <v>48500000</v>
      </c>
      <c r="H185" s="113">
        <f t="shared" si="17"/>
        <v>5.0605597709496741E-2</v>
      </c>
      <c r="I185" s="130">
        <f t="shared" si="16"/>
        <v>698357.24839105504</v>
      </c>
    </row>
    <row r="186" spans="1:9">
      <c r="A186" s="30"/>
      <c r="B186" s="24"/>
      <c r="C186" s="24"/>
      <c r="D186" s="24"/>
      <c r="E186" s="24"/>
      <c r="F186" s="99">
        <v>484</v>
      </c>
      <c r="G186" s="129">
        <v>1461000</v>
      </c>
      <c r="H186" s="113">
        <f t="shared" si="17"/>
        <v>1.5244284175994791E-3</v>
      </c>
      <c r="I186" s="130">
        <f t="shared" si="16"/>
        <v>21037.112162872811</v>
      </c>
    </row>
    <row r="187" spans="1:9">
      <c r="A187" s="30"/>
      <c r="B187" s="24"/>
      <c r="C187" s="24"/>
      <c r="D187" s="24"/>
      <c r="E187" s="24"/>
      <c r="F187" s="99">
        <v>508</v>
      </c>
      <c r="G187" s="129">
        <v>18159000</v>
      </c>
      <c r="H187" s="113">
        <f t="shared" si="17"/>
        <v>1.8947361831067037E-2</v>
      </c>
      <c r="I187" s="130">
        <f t="shared" si="16"/>
        <v>261473.59326872512</v>
      </c>
    </row>
    <row r="188" spans="1:9">
      <c r="A188" s="30"/>
      <c r="B188" s="24"/>
      <c r="C188" s="24"/>
      <c r="D188" s="24"/>
      <c r="E188" s="24"/>
      <c r="F188" s="99">
        <v>579</v>
      </c>
      <c r="G188" s="129">
        <v>9000000</v>
      </c>
      <c r="H188" s="113">
        <f t="shared" si="17"/>
        <v>9.3907294718653753E-3</v>
      </c>
      <c r="I188" s="130">
        <f t="shared" si="16"/>
        <v>129592.06671174218</v>
      </c>
    </row>
    <row r="189" spans="1:9">
      <c r="A189" s="30"/>
      <c r="B189" s="24"/>
      <c r="C189" s="24"/>
      <c r="D189" s="24"/>
      <c r="E189" s="24"/>
      <c r="F189" s="99">
        <v>643</v>
      </c>
      <c r="G189" s="129">
        <v>16600000</v>
      </c>
      <c r="H189" s="113">
        <f t="shared" si="17"/>
        <v>1.7320678803662802E-2</v>
      </c>
      <c r="I189" s="130">
        <f t="shared" si="16"/>
        <v>239025.36749054666</v>
      </c>
    </row>
    <row r="190" spans="1:9">
      <c r="A190" s="30"/>
      <c r="B190" s="24"/>
      <c r="C190" s="24"/>
      <c r="D190" s="24"/>
      <c r="E190" s="24"/>
      <c r="F190" s="99">
        <v>699</v>
      </c>
      <c r="G190" s="129">
        <v>30168000</v>
      </c>
      <c r="H190" s="113">
        <f t="shared" si="17"/>
        <v>3.1477725189692739E-2</v>
      </c>
      <c r="I190" s="130">
        <f t="shared" si="16"/>
        <v>434392.60761775979</v>
      </c>
    </row>
    <row r="191" spans="1:9">
      <c r="A191" s="30"/>
      <c r="B191" s="24"/>
      <c r="C191" s="24"/>
      <c r="D191" s="24"/>
      <c r="E191" s="24"/>
      <c r="F191" s="99">
        <v>716</v>
      </c>
      <c r="G191" s="129">
        <v>150000</v>
      </c>
      <c r="H191" s="113">
        <f t="shared" si="17"/>
        <v>1.565121578644229E-4</v>
      </c>
      <c r="I191" s="130">
        <f t="shared" si="16"/>
        <v>2159.8677785290361</v>
      </c>
    </row>
    <row r="192" spans="1:9">
      <c r="A192" s="30"/>
      <c r="B192" s="24"/>
      <c r="C192" s="24"/>
      <c r="D192" s="24"/>
      <c r="E192" s="24"/>
      <c r="F192" s="99">
        <v>792</v>
      </c>
      <c r="G192" s="129">
        <v>15205000</v>
      </c>
      <c r="H192" s="113">
        <f t="shared" si="17"/>
        <v>1.5865115735523669E-2</v>
      </c>
      <c r="I192" s="130">
        <f t="shared" si="16"/>
        <v>218938.59715022662</v>
      </c>
    </row>
    <row r="193" spans="1:9">
      <c r="A193" s="30"/>
      <c r="B193" s="24"/>
      <c r="C193" s="24"/>
      <c r="D193" s="24"/>
      <c r="E193" s="24"/>
      <c r="F193" s="99">
        <v>804</v>
      </c>
      <c r="G193" s="129">
        <v>15000000</v>
      </c>
      <c r="H193" s="113">
        <f t="shared" si="17"/>
        <v>1.5651215786442289E-2</v>
      </c>
      <c r="I193" s="130">
        <f t="shared" si="16"/>
        <v>215986.77785290359</v>
      </c>
    </row>
    <row r="194" spans="1:9">
      <c r="A194" s="90"/>
      <c r="B194" s="74"/>
      <c r="C194" s="74"/>
      <c r="D194" s="74"/>
      <c r="E194" s="74"/>
      <c r="F194" s="74" t="s">
        <v>107</v>
      </c>
      <c r="G194" s="131">
        <f>SUM(G178:G193)</f>
        <v>958392000</v>
      </c>
      <c r="H194" s="123"/>
      <c r="I194" s="124"/>
    </row>
    <row r="196" spans="1:9">
      <c r="A196" s="51" t="s">
        <v>311</v>
      </c>
    </row>
    <row r="197" spans="1:9" ht="32">
      <c r="A197" s="29" t="s">
        <v>0</v>
      </c>
      <c r="B197" s="17" t="s">
        <v>1</v>
      </c>
      <c r="C197" s="17" t="s">
        <v>145</v>
      </c>
      <c r="D197" s="17" t="s">
        <v>3</v>
      </c>
      <c r="E197" s="17"/>
      <c r="F197" s="48" t="s">
        <v>218</v>
      </c>
      <c r="G197" s="48" t="s">
        <v>143</v>
      </c>
      <c r="H197" s="48" t="s">
        <v>116</v>
      </c>
      <c r="I197" s="49" t="s">
        <v>178</v>
      </c>
    </row>
    <row r="198" spans="1:9" ht="48">
      <c r="A198" s="60" t="s">
        <v>312</v>
      </c>
      <c r="B198" s="50">
        <f>'[5]Weight%'!$B$65</f>
        <v>0.3</v>
      </c>
      <c r="C198" s="24" t="s">
        <v>634</v>
      </c>
      <c r="D198" s="118" t="s">
        <v>147</v>
      </c>
      <c r="E198" s="24"/>
      <c r="F198" s="99">
        <v>36</v>
      </c>
      <c r="G198" s="81">
        <f>[24]Production!$L$3</f>
        <v>0.68069069929711234</v>
      </c>
      <c r="H198" s="38">
        <f>G198/$G$202</f>
        <v>0.71402827972605087</v>
      </c>
      <c r="I198" s="42">
        <f>H198*$B$199</f>
        <v>16712641.429833056</v>
      </c>
    </row>
    <row r="199" spans="1:9">
      <c r="A199" s="60" t="s">
        <v>313</v>
      </c>
      <c r="B199" s="41">
        <f>B198*data_3tier!B56</f>
        <v>23406133.768602479</v>
      </c>
      <c r="C199" s="24" t="s">
        <v>8</v>
      </c>
      <c r="D199" s="24"/>
      <c r="E199" s="24"/>
      <c r="F199" s="99">
        <v>156</v>
      </c>
      <c r="G199" s="81">
        <f>[24]Production!$AT$3</f>
        <v>0.16179190588742143</v>
      </c>
      <c r="H199" s="38">
        <f>G199/$G$202</f>
        <v>0.16971584355961644</v>
      </c>
      <c r="I199" s="42">
        <f>H199*$B$199</f>
        <v>3972391.7370075942</v>
      </c>
    </row>
    <row r="200" spans="1:9">
      <c r="A200" s="60" t="s">
        <v>314</v>
      </c>
      <c r="B200" s="41">
        <f>B198*data_3tier!B60</f>
        <v>561048833.4341594</v>
      </c>
      <c r="C200" s="24" t="s">
        <v>8</v>
      </c>
      <c r="D200" s="24"/>
      <c r="E200" s="24"/>
      <c r="F200" s="99">
        <v>704</v>
      </c>
      <c r="G200" s="81">
        <f>[24]Production!$GN$3</f>
        <v>8.0493148441535503E-2</v>
      </c>
      <c r="H200" s="38">
        <f>G200/$G$202</f>
        <v>8.4435389481289869E-2</v>
      </c>
      <c r="I200" s="42">
        <f>H200*$B$199</f>
        <v>1976306.0210031213</v>
      </c>
    </row>
    <row r="201" spans="1:9">
      <c r="A201" s="30"/>
      <c r="B201" s="24"/>
      <c r="C201" s="24"/>
      <c r="D201" s="24"/>
      <c r="E201" s="24"/>
      <c r="F201" s="99">
        <v>764</v>
      </c>
      <c r="G201" s="81">
        <f>[24]Production!$HC$3</f>
        <v>3.0334806507866848E-2</v>
      </c>
      <c r="H201" s="38">
        <f>G201/$G$202</f>
        <v>3.1820487233042857E-2</v>
      </c>
      <c r="I201" s="42">
        <f>H201*$B$199</f>
        <v>744794.58075870853</v>
      </c>
    </row>
    <row r="202" spans="1:9">
      <c r="A202" s="90"/>
      <c r="B202" s="74"/>
      <c r="C202" s="74"/>
      <c r="D202" s="74"/>
      <c r="E202" s="74"/>
      <c r="F202" s="74" t="s">
        <v>107</v>
      </c>
      <c r="G202" s="91">
        <f>SUM(G198:G201)</f>
        <v>0.95331056013393611</v>
      </c>
      <c r="H202" s="74"/>
      <c r="I202" s="47"/>
    </row>
    <row r="203" spans="1:9">
      <c r="G203" s="10"/>
    </row>
    <row r="204" spans="1:9">
      <c r="A204" s="54" t="s">
        <v>502</v>
      </c>
      <c r="G204" s="10"/>
    </row>
    <row r="205" spans="1:9" ht="32">
      <c r="A205" s="29" t="s">
        <v>0</v>
      </c>
      <c r="B205" s="17" t="s">
        <v>1</v>
      </c>
      <c r="C205" s="17" t="s">
        <v>145</v>
      </c>
      <c r="D205" s="17" t="s">
        <v>3</v>
      </c>
      <c r="E205" s="17"/>
      <c r="F205" s="48" t="s">
        <v>218</v>
      </c>
      <c r="G205" s="48" t="s">
        <v>143</v>
      </c>
      <c r="H205" s="48" t="s">
        <v>116</v>
      </c>
      <c r="I205" s="49" t="s">
        <v>178</v>
      </c>
    </row>
    <row r="206" spans="1:9" ht="48">
      <c r="A206" s="60" t="s">
        <v>503</v>
      </c>
      <c r="B206" s="50">
        <f>'[5]Weight%'!$B$66</f>
        <v>3.0000000000000001E-3</v>
      </c>
      <c r="C206" s="24" t="s">
        <v>634</v>
      </c>
      <c r="D206" s="67" t="s">
        <v>147</v>
      </c>
      <c r="E206" s="24"/>
      <c r="F206" s="99">
        <v>156</v>
      </c>
      <c r="G206" s="81">
        <f>[25]Production!$AT$5</f>
        <v>2.3317757629965071E-2</v>
      </c>
      <c r="H206" s="38">
        <f>G206/$G$212</f>
        <v>2.3747258093027315E-2</v>
      </c>
      <c r="I206" s="42">
        <f>$B$207*H206</f>
        <v>131168.56334479403</v>
      </c>
    </row>
    <row r="207" spans="1:9">
      <c r="A207" s="60" t="s">
        <v>504</v>
      </c>
      <c r="B207" s="41">
        <f>B206*data_3tier!B11</f>
        <v>5523524.5614864407</v>
      </c>
      <c r="C207" s="24" t="s">
        <v>8</v>
      </c>
      <c r="D207" s="24"/>
      <c r="E207" s="24"/>
      <c r="F207" s="99">
        <v>233</v>
      </c>
      <c r="G207" s="81">
        <f>[25]Production!$BQ$5</f>
        <v>3.5493002382839887E-2</v>
      </c>
      <c r="H207" s="38">
        <f t="shared" ref="H207:H211" si="18">G207/$G$212</f>
        <v>3.6146764258266066E-2</v>
      </c>
      <c r="I207" s="42">
        <f t="shared" ref="I207:I211" si="19">$B$207*H207</f>
        <v>199657.54019879282</v>
      </c>
    </row>
    <row r="208" spans="1:9">
      <c r="A208" s="60" t="s">
        <v>505</v>
      </c>
      <c r="B208" s="41">
        <f>B206*data_3tier!B15</f>
        <v>29435595.881805211</v>
      </c>
      <c r="C208" s="24" t="s">
        <v>8</v>
      </c>
      <c r="D208" s="24"/>
      <c r="E208" s="24"/>
      <c r="F208" s="99">
        <v>392</v>
      </c>
      <c r="G208" s="81">
        <f>[25]Production!$DE$5</f>
        <v>2.1022848792024287E-2</v>
      </c>
      <c r="H208" s="38">
        <f t="shared" si="18"/>
        <v>2.1410078277567038E-2</v>
      </c>
      <c r="I208" s="42">
        <f t="shared" si="19"/>
        <v>118259.09322948885</v>
      </c>
    </row>
    <row r="209" spans="1:9">
      <c r="A209" s="30"/>
      <c r="B209" s="24"/>
      <c r="C209" s="24"/>
      <c r="D209" s="24"/>
      <c r="E209" s="24"/>
      <c r="F209" s="99">
        <v>458</v>
      </c>
      <c r="G209" s="81">
        <f>[25]Production!$DX$5</f>
        <v>2.9333249066076063E-2</v>
      </c>
      <c r="H209" s="38">
        <f t="shared" si="18"/>
        <v>2.9873551622476669E-2</v>
      </c>
      <c r="I209" s="42">
        <f t="shared" si="19"/>
        <v>165007.296125583</v>
      </c>
    </row>
    <row r="210" spans="1:9">
      <c r="A210" s="30"/>
      <c r="B210" s="24"/>
      <c r="C210" s="24"/>
      <c r="D210" s="24"/>
      <c r="E210" s="24"/>
      <c r="F210" s="99">
        <v>704</v>
      </c>
      <c r="G210" s="81">
        <f>[25]Production!$GN$5</f>
        <v>0.63387525423294122</v>
      </c>
      <c r="H210" s="38">
        <f t="shared" si="18"/>
        <v>0.64555089301164115</v>
      </c>
      <c r="I210" s="42">
        <f t="shared" si="19"/>
        <v>3565716.2132393052</v>
      </c>
    </row>
    <row r="211" spans="1:9">
      <c r="A211" s="30"/>
      <c r="B211" s="24"/>
      <c r="C211" s="24"/>
      <c r="D211" s="24"/>
      <c r="E211" s="24"/>
      <c r="F211" s="99">
        <v>764</v>
      </c>
      <c r="G211" s="81">
        <f>[25]Production!$HC$5</f>
        <v>0.2388715698303068</v>
      </c>
      <c r="H211" s="38">
        <f t="shared" si="18"/>
        <v>0.2432714547370218</v>
      </c>
      <c r="I211" s="42">
        <f t="shared" si="19"/>
        <v>1343715.8553484769</v>
      </c>
    </row>
    <row r="212" spans="1:9">
      <c r="A212" s="90"/>
      <c r="B212" s="74"/>
      <c r="C212" s="74"/>
      <c r="D212" s="74"/>
      <c r="E212" s="74"/>
      <c r="F212" s="74" t="s">
        <v>107</v>
      </c>
      <c r="G212" s="91">
        <f>SUM(G206:G211)</f>
        <v>0.98191368193415329</v>
      </c>
      <c r="H212" s="74"/>
      <c r="I212" s="47"/>
    </row>
    <row r="213" spans="1:9">
      <c r="G213" s="10"/>
    </row>
    <row r="214" spans="1:9">
      <c r="A214" s="51" t="s">
        <v>315</v>
      </c>
    </row>
    <row r="215" spans="1:9" ht="32">
      <c r="A215" s="29" t="s">
        <v>0</v>
      </c>
      <c r="B215" s="17" t="s">
        <v>1</v>
      </c>
      <c r="C215" s="17" t="s">
        <v>145</v>
      </c>
      <c r="D215" s="17" t="s">
        <v>3</v>
      </c>
      <c r="E215" s="17"/>
      <c r="F215" s="48" t="s">
        <v>218</v>
      </c>
      <c r="G215" s="48" t="s">
        <v>143</v>
      </c>
      <c r="H215" s="48" t="s">
        <v>116</v>
      </c>
      <c r="I215" s="49" t="s">
        <v>178</v>
      </c>
    </row>
    <row r="216" spans="1:9">
      <c r="A216" s="60" t="s">
        <v>316</v>
      </c>
      <c r="B216" s="125">
        <f>'[5]Weight%'!$B$67/'[5]Weight%'!$B$24</f>
        <v>0.99824907982367905</v>
      </c>
      <c r="C216" s="24" t="s">
        <v>634</v>
      </c>
      <c r="D216" s="114" t="s">
        <v>147</v>
      </c>
      <c r="E216" s="24"/>
      <c r="F216" s="99">
        <v>36</v>
      </c>
      <c r="G216" s="50">
        <f>[26]Production!$L$5</f>
        <v>2.6894398335594771E-2</v>
      </c>
      <c r="H216" s="38">
        <f>G216/$G$228</f>
        <v>2.8989570612883476E-2</v>
      </c>
      <c r="I216" s="42">
        <f t="shared" ref="I216:I227" si="20">H216*$B$222</f>
        <v>21677596.129876129</v>
      </c>
    </row>
    <row r="217" spans="1:9">
      <c r="A217" s="60" t="s">
        <v>317</v>
      </c>
      <c r="B217" s="115">
        <f>'[5]Weight%'!$B$68</f>
        <v>4.0000000000000001E-3</v>
      </c>
      <c r="C217" s="24" t="s">
        <v>634</v>
      </c>
      <c r="D217" s="114"/>
      <c r="E217" s="24"/>
      <c r="F217" s="99">
        <v>76</v>
      </c>
      <c r="G217" s="50">
        <f>[26]Production!$Z$5</f>
        <v>0.11876503288440385</v>
      </c>
      <c r="H217" s="38">
        <f t="shared" ref="H217:H227" si="21">G217/$G$228</f>
        <v>0.12801726456870047</v>
      </c>
      <c r="I217" s="42">
        <f t="shared" si="20"/>
        <v>95727756.579412177</v>
      </c>
    </row>
    <row r="218" spans="1:9">
      <c r="A218" s="60" t="s">
        <v>318</v>
      </c>
      <c r="B218" s="115">
        <f>'[5]Weight%'!$B$69</f>
        <v>0.64049999999999996</v>
      </c>
      <c r="C218" s="24" t="s">
        <v>634</v>
      </c>
      <c r="D218" s="114"/>
      <c r="E218" s="24"/>
      <c r="F218" s="99">
        <v>124</v>
      </c>
      <c r="G218" s="50">
        <f>[26]Production!$AM$5</f>
        <v>1.4586561577749128E-2</v>
      </c>
      <c r="H218" s="38">
        <f t="shared" si="21"/>
        <v>1.5722908227237715E-2</v>
      </c>
      <c r="I218" s="42">
        <f t="shared" si="20"/>
        <v>11757154.291402055</v>
      </c>
    </row>
    <row r="219" spans="1:9">
      <c r="A219" s="60" t="s">
        <v>322</v>
      </c>
      <c r="B219" s="41">
        <f>B216*data_2tier!B23</f>
        <v>494447714.01279783</v>
      </c>
      <c r="C219" s="24" t="s">
        <v>8</v>
      </c>
      <c r="D219" s="24"/>
      <c r="E219" s="24"/>
      <c r="F219" s="99">
        <v>156</v>
      </c>
      <c r="G219" s="50">
        <f>[26]Production!$AT$5</f>
        <v>0.37806438274209836</v>
      </c>
      <c r="H219" s="38">
        <f t="shared" si="21"/>
        <v>0.40751698487386467</v>
      </c>
      <c r="I219" s="42">
        <f t="shared" si="20"/>
        <v>304729888.28039068</v>
      </c>
    </row>
    <row r="220" spans="1:9">
      <c r="A220" s="60" t="s">
        <v>323</v>
      </c>
      <c r="B220" s="41">
        <f>B217*data_3tier!B11</f>
        <v>7364699.4153152546</v>
      </c>
      <c r="C220" s="24" t="s">
        <v>8</v>
      </c>
      <c r="D220" s="24"/>
      <c r="E220" s="24"/>
      <c r="F220" s="99">
        <v>251</v>
      </c>
      <c r="G220" s="50">
        <f>[26]Production!$BW$5</f>
        <v>5.257083344338391E-2</v>
      </c>
      <c r="H220" s="38">
        <f t="shared" si="21"/>
        <v>5.666629419510346E-2</v>
      </c>
      <c r="I220" s="42">
        <f t="shared" si="20"/>
        <v>42373481.695940651</v>
      </c>
    </row>
    <row r="221" spans="1:9">
      <c r="A221" s="60" t="s">
        <v>324</v>
      </c>
      <c r="B221" s="41">
        <f>B218*data_2tier!B32</f>
        <v>245959825.74545452</v>
      </c>
      <c r="C221" s="24" t="s">
        <v>8</v>
      </c>
      <c r="D221" s="24"/>
      <c r="E221" s="24"/>
      <c r="F221" s="99">
        <v>276</v>
      </c>
      <c r="G221" s="50">
        <f>[26]Production!$CE$5</f>
        <v>5.4323876618742231E-2</v>
      </c>
      <c r="H221" s="38">
        <f t="shared" si="21"/>
        <v>5.8555905863873277E-2</v>
      </c>
      <c r="I221" s="42">
        <f t="shared" si="20"/>
        <v>43786480.844665162</v>
      </c>
    </row>
    <row r="222" spans="1:9">
      <c r="A222" s="60" t="s">
        <v>325</v>
      </c>
      <c r="B222" s="41">
        <f>SUM(B219:B221)</f>
        <v>747772239.17356765</v>
      </c>
      <c r="C222" s="24" t="s">
        <v>8</v>
      </c>
      <c r="D222" s="24"/>
      <c r="E222" s="24"/>
      <c r="F222" s="99">
        <v>352</v>
      </c>
      <c r="G222" s="50">
        <f>[26]Production!$CV$5</f>
        <v>1.2462915862716126E-2</v>
      </c>
      <c r="H222" s="38">
        <f t="shared" si="21"/>
        <v>1.3433822721605966E-2</v>
      </c>
      <c r="I222" s="42">
        <f t="shared" si="20"/>
        <v>10045439.697196044</v>
      </c>
    </row>
    <row r="223" spans="1:9">
      <c r="A223" s="60" t="s">
        <v>319</v>
      </c>
      <c r="B223" s="41">
        <f>B216*data_2tier!B24</f>
        <v>2623319816.0123439</v>
      </c>
      <c r="C223" s="24" t="s">
        <v>8</v>
      </c>
      <c r="D223" s="24"/>
      <c r="E223" s="24"/>
      <c r="F223" s="99">
        <v>410</v>
      </c>
      <c r="G223" s="50">
        <f>[26]Production!$DJ$5</f>
        <v>1.1698937823172034E-2</v>
      </c>
      <c r="H223" s="38">
        <f t="shared" si="21"/>
        <v>1.2610327990558437E-2</v>
      </c>
      <c r="I223" s="42">
        <f t="shared" si="20"/>
        <v>9429653.198212998</v>
      </c>
    </row>
    <row r="224" spans="1:9">
      <c r="A224" s="60" t="s">
        <v>320</v>
      </c>
      <c r="B224" s="41">
        <f>B217*data_3tier!B15</f>
        <v>39247461.175740279</v>
      </c>
      <c r="C224" s="24" t="s">
        <v>8</v>
      </c>
      <c r="D224" s="24"/>
      <c r="E224" s="24"/>
      <c r="F224" s="99">
        <v>458</v>
      </c>
      <c r="G224" s="50">
        <f>[26]Production!$DX$5</f>
        <v>3.7603506886013889E-2</v>
      </c>
      <c r="H224" s="38">
        <f t="shared" si="21"/>
        <v>4.0532957999710607E-2</v>
      </c>
      <c r="I224" s="42">
        <f t="shared" si="20"/>
        <v>30309420.763771772</v>
      </c>
    </row>
    <row r="225" spans="1:9">
      <c r="A225" s="60" t="s">
        <v>321</v>
      </c>
      <c r="B225" s="41">
        <f>data_2tier!B33</f>
        <v>2969281570.909091</v>
      </c>
      <c r="C225" s="24" t="s">
        <v>8</v>
      </c>
      <c r="D225" s="24"/>
      <c r="E225" s="24"/>
      <c r="F225" s="99">
        <v>528</v>
      </c>
      <c r="G225" s="50">
        <f>[26]Production!$EO$5</f>
        <v>5.2987008386638668E-2</v>
      </c>
      <c r="H225" s="38">
        <f t="shared" si="21"/>
        <v>5.7114890692941032E-2</v>
      </c>
      <c r="I225" s="42">
        <f t="shared" si="20"/>
        <v>42708929.703614078</v>
      </c>
    </row>
    <row r="226" spans="1:9">
      <c r="A226" s="60" t="s">
        <v>326</v>
      </c>
      <c r="B226" s="41">
        <f>SUM(B223:B225)</f>
        <v>5631848848.0971756</v>
      </c>
      <c r="C226" s="24" t="s">
        <v>8</v>
      </c>
      <c r="D226" s="24"/>
      <c r="E226" s="24"/>
      <c r="F226" s="99">
        <v>579</v>
      </c>
      <c r="G226" s="50">
        <f>[26]Production!$FB$5</f>
        <v>0.14980886661484616</v>
      </c>
      <c r="H226" s="38">
        <f t="shared" si="21"/>
        <v>0.16147952681355573</v>
      </c>
      <c r="I226" s="42">
        <f t="shared" si="20"/>
        <v>120749907.34606072</v>
      </c>
    </row>
    <row r="227" spans="1:9">
      <c r="A227" s="30"/>
      <c r="B227" s="24"/>
      <c r="C227" s="24"/>
      <c r="D227" s="24"/>
      <c r="E227" s="24"/>
      <c r="F227" s="99">
        <v>842</v>
      </c>
      <c r="G227" s="50">
        <f>[26]Production!$HT$5</f>
        <v>1.7960366975117679E-2</v>
      </c>
      <c r="H227" s="38">
        <f t="shared" si="21"/>
        <v>1.935954543996531E-2</v>
      </c>
      <c r="I227" s="42">
        <f t="shared" si="20"/>
        <v>14476530.64302529</v>
      </c>
    </row>
    <row r="228" spans="1:9">
      <c r="A228" s="90"/>
      <c r="B228" s="74"/>
      <c r="C228" s="74"/>
      <c r="D228" s="74"/>
      <c r="E228" s="74"/>
      <c r="F228" s="121" t="s">
        <v>107</v>
      </c>
      <c r="G228" s="116">
        <f>SUM(G216:G227)</f>
        <v>0.92772668815047665</v>
      </c>
      <c r="H228" s="74"/>
      <c r="I228" s="47"/>
    </row>
    <row r="230" spans="1:9">
      <c r="A230" s="51" t="s">
        <v>327</v>
      </c>
    </row>
    <row r="231" spans="1:9" ht="32">
      <c r="A231" s="29" t="s">
        <v>0</v>
      </c>
      <c r="B231" s="17" t="s">
        <v>1</v>
      </c>
      <c r="C231" s="17" t="s">
        <v>145</v>
      </c>
      <c r="D231" s="17" t="s">
        <v>3</v>
      </c>
      <c r="E231" s="17"/>
      <c r="F231" s="48" t="s">
        <v>218</v>
      </c>
      <c r="G231" s="48" t="s">
        <v>143</v>
      </c>
      <c r="H231" s="48" t="s">
        <v>116</v>
      </c>
      <c r="I231" s="49" t="s">
        <v>178</v>
      </c>
    </row>
    <row r="232" spans="1:9" ht="22.5" customHeight="1">
      <c r="A232" s="60" t="s">
        <v>328</v>
      </c>
      <c r="B232" s="50">
        <f>'[5]Weight%'!$B$70</f>
        <v>1.035E-2</v>
      </c>
      <c r="C232" s="24" t="s">
        <v>634</v>
      </c>
      <c r="D232" s="114" t="s">
        <v>147</v>
      </c>
      <c r="E232" s="24"/>
      <c r="F232" s="99">
        <v>124</v>
      </c>
      <c r="G232" s="81">
        <f>[27]Production!$AM$3</f>
        <v>1.6276315843921314E-2</v>
      </c>
      <c r="H232" s="38">
        <f>G232/$G$246</f>
        <v>1.7051994415751899E-2</v>
      </c>
      <c r="I232" s="42">
        <f t="shared" ref="I232:I245" si="22">H232*$B$236</f>
        <v>360048.9889860361</v>
      </c>
    </row>
    <row r="233" spans="1:9" ht="24.5" customHeight="1">
      <c r="A233" s="60" t="s">
        <v>329</v>
      </c>
      <c r="B233" s="50">
        <f>'[5]Weight%'!$B$71</f>
        <v>0.14995724999999999</v>
      </c>
      <c r="C233" s="24" t="s">
        <v>634</v>
      </c>
      <c r="D233" s="114"/>
      <c r="E233" s="24"/>
      <c r="F233" s="99">
        <v>156</v>
      </c>
      <c r="G233" s="81">
        <f>[27]Production!$AT$3</f>
        <v>3.9806480509998098E-2</v>
      </c>
      <c r="H233" s="38">
        <f t="shared" ref="H233:H245" si="23">G233/$G$246</f>
        <v>4.1703533519271627E-2</v>
      </c>
      <c r="I233" s="42">
        <f t="shared" si="22"/>
        <v>880560.63793268171</v>
      </c>
    </row>
    <row r="234" spans="1:9">
      <c r="A234" s="60" t="s">
        <v>330</v>
      </c>
      <c r="B234" s="41">
        <f>B232*data_3tier!B11</f>
        <v>19056159.73712822</v>
      </c>
      <c r="C234" s="24" t="s">
        <v>8</v>
      </c>
      <c r="D234" s="24"/>
      <c r="E234" s="24"/>
      <c r="F234" s="99">
        <v>203</v>
      </c>
      <c r="G234" s="81">
        <f>[27]Production!$BG$3</f>
        <v>1.7923675794424887E-2</v>
      </c>
      <c r="H234" s="38">
        <f t="shared" si="23"/>
        <v>1.8777862415985579E-2</v>
      </c>
      <c r="I234" s="42">
        <f t="shared" si="22"/>
        <v>396490.2998061633</v>
      </c>
    </row>
    <row r="235" spans="1:9">
      <c r="A235" s="60" t="s">
        <v>331</v>
      </c>
      <c r="B235" s="41">
        <f>B233*data_1tier!Q15</f>
        <v>2058613.1279999998</v>
      </c>
      <c r="C235" s="24" t="s">
        <v>8</v>
      </c>
      <c r="D235" s="24"/>
      <c r="E235" s="24"/>
      <c r="F235" s="99">
        <v>233</v>
      </c>
      <c r="G235" s="81">
        <f>[27]Production!$BQ$3</f>
        <v>1.0029917883137469E-2</v>
      </c>
      <c r="H235" s="38">
        <f t="shared" si="23"/>
        <v>1.0507912562877952E-2</v>
      </c>
      <c r="I235" s="42">
        <f t="shared" si="22"/>
        <v>221872.18705179531</v>
      </c>
    </row>
    <row r="236" spans="1:9">
      <c r="A236" s="60" t="s">
        <v>334</v>
      </c>
      <c r="B236" s="41">
        <f>SUM(B234:B235)</f>
        <v>21114772.865128219</v>
      </c>
      <c r="C236" s="24" t="s">
        <v>8</v>
      </c>
      <c r="D236" s="24"/>
      <c r="E236" s="24"/>
      <c r="F236" s="99">
        <v>251</v>
      </c>
      <c r="G236" s="81">
        <f>[27]Production!$BW$3</f>
        <v>1.0920505357808152E-2</v>
      </c>
      <c r="H236" s="38">
        <f t="shared" si="23"/>
        <v>1.1440942665663445E-2</v>
      </c>
      <c r="I236" s="42">
        <f t="shared" si="22"/>
        <v>241572.90574843824</v>
      </c>
    </row>
    <row r="237" spans="1:9">
      <c r="A237" s="60" t="s">
        <v>332</v>
      </c>
      <c r="B237" s="41">
        <f>B232*data_3tier!B15</f>
        <v>101552805.79222797</v>
      </c>
      <c r="C237" s="24" t="s">
        <v>8</v>
      </c>
      <c r="D237" s="24"/>
      <c r="E237" s="24"/>
      <c r="F237" s="99">
        <v>276</v>
      </c>
      <c r="G237" s="81">
        <f>[27]Production!$CE$3</f>
        <v>2.4860095690994372E-2</v>
      </c>
      <c r="H237" s="38">
        <f t="shared" si="23"/>
        <v>2.6044850503206003E-2</v>
      </c>
      <c r="I237" s="42">
        <f t="shared" si="22"/>
        <v>549931.10268141516</v>
      </c>
    </row>
    <row r="238" spans="1:9">
      <c r="A238" s="60" t="s">
        <v>333</v>
      </c>
      <c r="B238" s="41">
        <f>B233*data_1tier!Q16</f>
        <v>12351678.767999999</v>
      </c>
      <c r="C238" s="24" t="s">
        <v>8</v>
      </c>
      <c r="D238" s="24"/>
      <c r="E238" s="24"/>
      <c r="F238" s="99">
        <v>381</v>
      </c>
      <c r="G238" s="81">
        <f>[27]Production!$DB$3</f>
        <v>1.8216233794123241E-2</v>
      </c>
      <c r="H238" s="38">
        <f t="shared" si="23"/>
        <v>1.9084362819699666E-2</v>
      </c>
      <c r="I238" s="42">
        <f t="shared" si="22"/>
        <v>402961.98621365638</v>
      </c>
    </row>
    <row r="239" spans="1:9">
      <c r="A239" s="60" t="s">
        <v>335</v>
      </c>
      <c r="B239" s="41">
        <f>SUM(B237:B238)</f>
        <v>113904484.56022796</v>
      </c>
      <c r="C239" s="24" t="s">
        <v>8</v>
      </c>
      <c r="D239" s="24"/>
      <c r="E239" s="24"/>
      <c r="F239" s="99">
        <v>392</v>
      </c>
      <c r="G239" s="81">
        <f>[27]Production!$DE$3</f>
        <v>0.31556314953533604</v>
      </c>
      <c r="H239" s="38">
        <f t="shared" si="23"/>
        <v>0.33060190741526169</v>
      </c>
      <c r="I239" s="42">
        <f t="shared" si="22"/>
        <v>6980584.1838513995</v>
      </c>
    </row>
    <row r="240" spans="1:9">
      <c r="A240" s="30"/>
      <c r="B240" s="24"/>
      <c r="C240" s="24"/>
      <c r="D240" s="24"/>
      <c r="E240" s="24"/>
      <c r="F240" s="99">
        <v>398</v>
      </c>
      <c r="G240" s="81">
        <f>[27]Production!$DF$3</f>
        <v>0.18381546258138523</v>
      </c>
      <c r="H240" s="38">
        <f t="shared" si="23"/>
        <v>0.19257553561405233</v>
      </c>
      <c r="I240" s="42">
        <f t="shared" si="22"/>
        <v>4066188.6938711251</v>
      </c>
    </row>
    <row r="241" spans="1:9">
      <c r="A241" s="30"/>
      <c r="B241" s="24"/>
      <c r="C241" s="24"/>
      <c r="D241" s="24"/>
      <c r="E241" s="24"/>
      <c r="F241" s="99">
        <v>528</v>
      </c>
      <c r="G241" s="81">
        <f>[27]Production!$EO$3</f>
        <v>1.2302661046379639E-2</v>
      </c>
      <c r="H241" s="38">
        <f t="shared" si="23"/>
        <v>1.2888967593984236E-2</v>
      </c>
      <c r="I241" s="42">
        <f t="shared" si="22"/>
        <v>272147.62321297528</v>
      </c>
    </row>
    <row r="242" spans="1:9">
      <c r="A242" s="30"/>
      <c r="B242" s="24"/>
      <c r="C242" s="24"/>
      <c r="D242" s="24"/>
      <c r="E242" s="24"/>
      <c r="F242" s="99">
        <v>643</v>
      </c>
      <c r="G242" s="81">
        <f>[27]Production!$FU$3</f>
        <v>0.13297065730161442</v>
      </c>
      <c r="H242" s="38">
        <f t="shared" si="23"/>
        <v>0.13930762511055569</v>
      </c>
      <c r="I242" s="42">
        <f t="shared" si="22"/>
        <v>2941448.8625898161</v>
      </c>
    </row>
    <row r="243" spans="1:9">
      <c r="A243" s="30"/>
      <c r="B243" s="24"/>
      <c r="C243" s="24"/>
      <c r="D243" s="24"/>
      <c r="E243" s="24"/>
      <c r="F243" s="99">
        <v>804</v>
      </c>
      <c r="G243" s="81">
        <f>[27]Production!$HO$3</f>
        <v>6.9633498440323266E-2</v>
      </c>
      <c r="H243" s="38">
        <f t="shared" si="23"/>
        <v>7.2952014321908926E-2</v>
      </c>
      <c r="I243" s="42">
        <f t="shared" si="22"/>
        <v>1540365.2124606878</v>
      </c>
    </row>
    <row r="244" spans="1:9">
      <c r="A244" s="30"/>
      <c r="B244" s="24"/>
      <c r="C244" s="24"/>
      <c r="D244" s="24"/>
      <c r="E244" s="24"/>
      <c r="F244" s="99">
        <v>826</v>
      </c>
      <c r="G244" s="81">
        <f>[27]Production!$HR$3</f>
        <v>1.990441745028633E-2</v>
      </c>
      <c r="H244" s="38">
        <f t="shared" si="23"/>
        <v>2.0853000056387822E-2</v>
      </c>
      <c r="I244" s="42">
        <f t="shared" si="22"/>
        <v>440306.35974713479</v>
      </c>
    </row>
    <row r="245" spans="1:9">
      <c r="A245" s="30"/>
      <c r="B245" s="24"/>
      <c r="C245" s="24"/>
      <c r="D245" s="24"/>
      <c r="E245" s="24"/>
      <c r="F245" s="99">
        <v>842</v>
      </c>
      <c r="G245" s="81">
        <f>[27]Production!$HT$3</f>
        <v>8.228790543854235E-2</v>
      </c>
      <c r="H245" s="38">
        <f t="shared" si="23"/>
        <v>8.6209490985393045E-2</v>
      </c>
      <c r="I245" s="42">
        <f t="shared" si="22"/>
        <v>1820293.8209748929</v>
      </c>
    </row>
    <row r="246" spans="1:9">
      <c r="A246" s="90"/>
      <c r="B246" s="74"/>
      <c r="C246" s="74"/>
      <c r="D246" s="74"/>
      <c r="E246" s="74"/>
      <c r="F246" s="74" t="s">
        <v>107</v>
      </c>
      <c r="G246" s="91">
        <f>SUM(G232:G245)</f>
        <v>0.95451097666827489</v>
      </c>
      <c r="H246" s="74"/>
      <c r="I246" s="47"/>
    </row>
    <row r="248" spans="1:9">
      <c r="A248" s="51" t="s">
        <v>336</v>
      </c>
    </row>
    <row r="249" spans="1:9" ht="32">
      <c r="A249" s="29" t="s">
        <v>0</v>
      </c>
      <c r="B249" s="17" t="s">
        <v>1</v>
      </c>
      <c r="C249" s="17" t="s">
        <v>145</v>
      </c>
      <c r="D249" s="17" t="s">
        <v>3</v>
      </c>
      <c r="E249" s="17"/>
      <c r="F249" s="48" t="s">
        <v>218</v>
      </c>
      <c r="G249" s="48" t="s">
        <v>143</v>
      </c>
      <c r="H249" s="48" t="s">
        <v>116</v>
      </c>
      <c r="I249" s="49" t="s">
        <v>178</v>
      </c>
    </row>
    <row r="250" spans="1:9" ht="23" customHeight="1">
      <c r="A250" s="60" t="s">
        <v>337</v>
      </c>
      <c r="B250" s="115">
        <f>'[5]Weight%'!$B$72*'[5]Weight%'!$B$30</f>
        <v>4.3750000000000004E-2</v>
      </c>
      <c r="C250" s="24" t="s">
        <v>634</v>
      </c>
      <c r="D250" s="114" t="s">
        <v>147</v>
      </c>
      <c r="E250" s="24"/>
      <c r="F250" s="99">
        <v>76</v>
      </c>
      <c r="G250" s="81">
        <f>[28]Production!$Z$3</f>
        <v>7.5961126435226206E-2</v>
      </c>
      <c r="H250" s="38">
        <f>G250/$G$259</f>
        <v>7.9914537806475006E-2</v>
      </c>
      <c r="I250" s="42">
        <f>H250*$B$254</f>
        <v>1197156.3379927217</v>
      </c>
    </row>
    <row r="251" spans="1:9" ht="23" customHeight="1">
      <c r="A251" s="60" t="s">
        <v>525</v>
      </c>
      <c r="B251" s="115">
        <v>1</v>
      </c>
      <c r="C251" s="24" t="s">
        <v>634</v>
      </c>
      <c r="D251" s="114"/>
      <c r="E251" s="24"/>
      <c r="F251" s="99">
        <v>156</v>
      </c>
      <c r="G251" s="81">
        <f>[28]Production!$AT$3</f>
        <v>2.3853510610089921E-2</v>
      </c>
      <c r="H251" s="38">
        <f t="shared" ref="H251:H258" si="24">G251/$G$259</f>
        <v>2.5094971137542044E-2</v>
      </c>
      <c r="I251" s="42">
        <f t="shared" ref="I251:I258" si="25">H251*$B$254</f>
        <v>375934.14882540563</v>
      </c>
    </row>
    <row r="252" spans="1:9">
      <c r="A252" s="60" t="s">
        <v>338</v>
      </c>
      <c r="B252" s="41">
        <f>B250*data_2tier!B76</f>
        <v>3773437.5000000005</v>
      </c>
      <c r="C252" s="24" t="s">
        <v>8</v>
      </c>
      <c r="D252" s="24"/>
      <c r="E252" s="24"/>
      <c r="F252" s="99">
        <v>233</v>
      </c>
      <c r="G252" s="81">
        <f>[28]Production!$BQ$3</f>
        <v>1.4460214383637118E-2</v>
      </c>
      <c r="H252" s="38">
        <f t="shared" si="24"/>
        <v>1.5212799010244967E-2</v>
      </c>
      <c r="I252" s="42">
        <f t="shared" si="25"/>
        <v>227894.68917191867</v>
      </c>
    </row>
    <row r="253" spans="1:9">
      <c r="A253" s="60" t="s">
        <v>526</v>
      </c>
      <c r="B253" s="41">
        <f>B251*data_3tier!B71</f>
        <v>11207020.00939353</v>
      </c>
      <c r="C253" s="24" t="s">
        <v>8</v>
      </c>
      <c r="D253" s="24"/>
      <c r="E253" s="24"/>
      <c r="F253" s="99">
        <v>276</v>
      </c>
      <c r="G253" s="81">
        <f>[28]Production!$CE$3</f>
        <v>3.2716942446720486E-2</v>
      </c>
      <c r="H253" s="38">
        <f t="shared" si="24"/>
        <v>3.4419701981383936E-2</v>
      </c>
      <c r="I253" s="42">
        <f t="shared" si="25"/>
        <v>515622.88301811035</v>
      </c>
    </row>
    <row r="254" spans="1:9">
      <c r="A254" s="60" t="s">
        <v>376</v>
      </c>
      <c r="B254" s="41">
        <f>SUM(B252:B253)</f>
        <v>14980457.50939353</v>
      </c>
      <c r="C254" s="24" t="s">
        <v>8</v>
      </c>
      <c r="D254" s="24"/>
      <c r="E254" s="24"/>
      <c r="F254" s="99">
        <v>372</v>
      </c>
      <c r="G254" s="81">
        <f>[28]Production!$CZ$3</f>
        <v>0.70424021027043249</v>
      </c>
      <c r="H254" s="38">
        <f t="shared" si="24"/>
        <v>0.74089252687013274</v>
      </c>
      <c r="I254" s="42">
        <f t="shared" si="25"/>
        <v>11098909.017805228</v>
      </c>
    </row>
    <row r="255" spans="1:9">
      <c r="A255" s="60" t="s">
        <v>339</v>
      </c>
      <c r="B255" s="41">
        <f>B250*data_2tier!B77</f>
        <v>20080078.125</v>
      </c>
      <c r="C255" s="24" t="s">
        <v>8</v>
      </c>
      <c r="D255" s="24"/>
      <c r="E255" s="24"/>
      <c r="F255" s="99">
        <v>410</v>
      </c>
      <c r="G255" s="81">
        <f>[28]Production!$DJ$3</f>
        <v>1.2033195399150782E-2</v>
      </c>
      <c r="H255" s="38">
        <f t="shared" si="24"/>
        <v>1.2659465357956978E-2</v>
      </c>
      <c r="I255" s="42">
        <f t="shared" si="25"/>
        <v>189644.58288651388</v>
      </c>
    </row>
    <row r="256" spans="1:9">
      <c r="A256" s="60" t="s">
        <v>527</v>
      </c>
      <c r="B256" s="41">
        <f>B251*data_3tier!B75</f>
        <v>64135506.943932116</v>
      </c>
      <c r="C256" s="24" t="s">
        <v>8</v>
      </c>
      <c r="D256" s="24"/>
      <c r="E256" s="24"/>
      <c r="F256" s="99">
        <v>608</v>
      </c>
      <c r="G256" s="81">
        <f>[28]Production!$FM$3</f>
        <v>3.3292820142774966E-2</v>
      </c>
      <c r="H256" s="38">
        <f t="shared" si="24"/>
        <v>3.5025551342405384E-2</v>
      </c>
      <c r="I256" s="42">
        <f t="shared" si="25"/>
        <v>524698.78362798539</v>
      </c>
    </row>
    <row r="257" spans="1:9">
      <c r="A257" s="60" t="s">
        <v>377</v>
      </c>
      <c r="B257" s="41">
        <f>SUM(B255:B256)</f>
        <v>84215585.068932116</v>
      </c>
      <c r="C257" s="24" t="s">
        <v>8</v>
      </c>
      <c r="D257" s="24"/>
      <c r="E257" s="24"/>
      <c r="F257" s="99">
        <v>643</v>
      </c>
      <c r="G257" s="81">
        <f>[28]Production!$FU$3</f>
        <v>3.9605539510650448E-2</v>
      </c>
      <c r="H257" s="38">
        <f t="shared" si="24"/>
        <v>4.1666817398615497E-2</v>
      </c>
      <c r="I257" s="42">
        <f t="shared" si="25"/>
        <v>624187.98759161856</v>
      </c>
    </row>
    <row r="258" spans="1:9">
      <c r="A258" s="30"/>
      <c r="B258" s="24"/>
      <c r="C258" s="24"/>
      <c r="D258" s="24"/>
      <c r="E258" s="24"/>
      <c r="F258" s="99">
        <v>842</v>
      </c>
      <c r="G258" s="81">
        <f>[28]Production!$HT$3</f>
        <v>1.4365950452958427E-2</v>
      </c>
      <c r="H258" s="38">
        <f t="shared" si="24"/>
        <v>1.5113629095243341E-2</v>
      </c>
      <c r="I258" s="42">
        <f t="shared" si="25"/>
        <v>226409.07847402664</v>
      </c>
    </row>
    <row r="259" spans="1:9">
      <c r="A259" s="90"/>
      <c r="B259" s="74"/>
      <c r="C259" s="74"/>
      <c r="D259" s="74"/>
      <c r="E259" s="74"/>
      <c r="F259" s="74" t="s">
        <v>107</v>
      </c>
      <c r="G259" s="91">
        <f>SUM(G250:G258)</f>
        <v>0.95052950965164096</v>
      </c>
      <c r="H259" s="74"/>
      <c r="I259" s="47"/>
    </row>
    <row r="261" spans="1:9">
      <c r="A261" s="1" t="s">
        <v>558</v>
      </c>
    </row>
    <row r="262" spans="1:9">
      <c r="A262" t="s">
        <v>609</v>
      </c>
    </row>
  </sheetData>
  <mergeCells count="10">
    <mergeCell ref="D165:D166"/>
    <mergeCell ref="D216:D218"/>
    <mergeCell ref="D232:D233"/>
    <mergeCell ref="D250:D251"/>
    <mergeCell ref="D5:D6"/>
    <mergeCell ref="D21:D24"/>
    <mergeCell ref="D66:D67"/>
    <mergeCell ref="D77:D79"/>
    <mergeCell ref="D91:D92"/>
    <mergeCell ref="D153:D154"/>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topLeftCell="A199" workbookViewId="0">
      <selection activeCell="C205" sqref="C205"/>
    </sheetView>
  </sheetViews>
  <sheetFormatPr baseColWidth="10" defaultRowHeight="16"/>
  <cols>
    <col min="1" max="1" width="44.7265625" customWidth="1"/>
    <col min="2" max="2" width="35.81640625" customWidth="1"/>
    <col min="3" max="3" width="25.26953125" customWidth="1"/>
    <col min="4" max="4" width="21.1796875" customWidth="1"/>
    <col min="6" max="6" width="24" customWidth="1"/>
    <col min="7" max="7" width="24.1796875" customWidth="1"/>
    <col min="8" max="8" width="21.26953125" style="117" customWidth="1"/>
    <col min="9" max="9" width="19.26953125" customWidth="1"/>
  </cols>
  <sheetData>
    <row r="1" spans="1:9">
      <c r="A1" s="1" t="s">
        <v>375</v>
      </c>
    </row>
    <row r="3" spans="1:9">
      <c r="A3" s="51" t="s">
        <v>379</v>
      </c>
    </row>
    <row r="4" spans="1:9" ht="32">
      <c r="A4" s="29" t="s">
        <v>0</v>
      </c>
      <c r="B4" s="17" t="s">
        <v>1</v>
      </c>
      <c r="C4" s="17" t="s">
        <v>145</v>
      </c>
      <c r="D4" s="17" t="s">
        <v>3</v>
      </c>
      <c r="E4" s="17"/>
      <c r="F4" s="48" t="s">
        <v>218</v>
      </c>
      <c r="G4" s="48" t="s">
        <v>143</v>
      </c>
      <c r="H4" s="48" t="s">
        <v>116</v>
      </c>
      <c r="I4" s="49" t="s">
        <v>178</v>
      </c>
    </row>
    <row r="5" spans="1:9" ht="48">
      <c r="A5" s="60" t="s">
        <v>380</v>
      </c>
      <c r="B5" s="81">
        <f>'[5]Weight%'!$B$75</f>
        <v>0.8</v>
      </c>
      <c r="C5" s="24" t="s">
        <v>634</v>
      </c>
      <c r="D5" s="118" t="s">
        <v>147</v>
      </c>
      <c r="E5" s="24"/>
      <c r="F5" s="99">
        <v>56</v>
      </c>
      <c r="G5" s="81">
        <f>[14]Production!$S$6</f>
        <v>0.15565111109725258</v>
      </c>
      <c r="H5" s="113">
        <f>G5/$G$16</f>
        <v>0.16295672431304586</v>
      </c>
      <c r="I5" s="42">
        <f>$B$6*H5</f>
        <v>6684143.2018786725</v>
      </c>
    </row>
    <row r="6" spans="1:9">
      <c r="A6" s="60" t="s">
        <v>381</v>
      </c>
      <c r="B6" s="41">
        <f>B5*data_rawmat!B9</f>
        <v>41017903.557254791</v>
      </c>
      <c r="C6" s="24" t="s">
        <v>8</v>
      </c>
      <c r="D6" s="24"/>
      <c r="E6" s="24"/>
      <c r="F6" s="99">
        <v>68</v>
      </c>
      <c r="G6" s="81">
        <f>[14]Production!$V$6</f>
        <v>3.4147493751454497E-2</v>
      </c>
      <c r="H6" s="113">
        <f t="shared" ref="H6:H15" si="0">G6/$G$16</f>
        <v>3.5750234521361203E-2</v>
      </c>
      <c r="I6" s="42">
        <f t="shared" ref="I6:I15" si="1">$B$6*H6</f>
        <v>1466399.6717464346</v>
      </c>
    </row>
    <row r="7" spans="1:9">
      <c r="A7" s="60" t="s">
        <v>382</v>
      </c>
      <c r="B7" s="41">
        <f>B5*data_rawmat!B12</f>
        <v>209916284.61395365</v>
      </c>
      <c r="C7" s="24" t="s">
        <v>8</v>
      </c>
      <c r="D7" s="24"/>
      <c r="E7" s="24"/>
      <c r="F7" s="99">
        <v>104</v>
      </c>
      <c r="G7" s="81">
        <f>[14]Production!$AH$6</f>
        <v>4.5934389686706267E-2</v>
      </c>
      <c r="H7" s="113">
        <f t="shared" si="0"/>
        <v>4.8090358134274411E-2</v>
      </c>
      <c r="I7" s="42">
        <f t="shared" si="1"/>
        <v>1972565.6719855112</v>
      </c>
    </row>
    <row r="8" spans="1:9">
      <c r="A8" s="30"/>
      <c r="B8" s="24"/>
      <c r="C8" s="24"/>
      <c r="D8" s="24"/>
      <c r="E8" s="24"/>
      <c r="F8" s="99">
        <v>156</v>
      </c>
      <c r="G8" s="81">
        <f>[14]Production!$AT$6</f>
        <v>0.46388400947731928</v>
      </c>
      <c r="H8" s="113">
        <f t="shared" si="0"/>
        <v>0.4856567878811639</v>
      </c>
      <c r="I8" s="42">
        <f t="shared" si="1"/>
        <v>19920623.287235729</v>
      </c>
    </row>
    <row r="9" spans="1:9">
      <c r="A9" s="30"/>
      <c r="B9" s="24"/>
      <c r="C9" s="24"/>
      <c r="D9" s="24"/>
      <c r="E9" s="24"/>
      <c r="F9" s="99">
        <v>251</v>
      </c>
      <c r="G9" s="81">
        <f>[14]Production!$BW$6</f>
        <v>0.10607534735783873</v>
      </c>
      <c r="H9" s="113">
        <f t="shared" si="0"/>
        <v>0.11105408123300584</v>
      </c>
      <c r="I9" s="42">
        <f t="shared" si="1"/>
        <v>4555205.5936549725</v>
      </c>
    </row>
    <row r="10" spans="1:9">
      <c r="A10" s="30"/>
      <c r="B10" s="24"/>
      <c r="C10" s="24"/>
      <c r="D10" s="24"/>
      <c r="E10" s="24"/>
      <c r="F10" s="99">
        <v>381</v>
      </c>
      <c r="G10" s="81">
        <f>[14]Production!$DB$6</f>
        <v>1.2127030482754585E-2</v>
      </c>
      <c r="H10" s="113">
        <f t="shared" si="0"/>
        <v>1.2696222655804891E-2</v>
      </c>
      <c r="I10" s="42">
        <f t="shared" si="1"/>
        <v>520772.4364372383</v>
      </c>
    </row>
    <row r="11" spans="1:9">
      <c r="A11" s="30"/>
      <c r="B11" s="24"/>
      <c r="C11" s="24"/>
      <c r="D11" s="24"/>
      <c r="E11" s="24"/>
      <c r="F11" s="99">
        <v>392</v>
      </c>
      <c r="G11" s="81">
        <f>[14]Production!$DE$6</f>
        <v>2.5709893830670138E-2</v>
      </c>
      <c r="H11" s="113">
        <f t="shared" si="0"/>
        <v>2.6916608892463882E-2</v>
      </c>
      <c r="I11" s="42">
        <f t="shared" si="1"/>
        <v>1104062.8676394303</v>
      </c>
    </row>
    <row r="12" spans="1:9">
      <c r="A12" s="30"/>
      <c r="B12" s="24"/>
      <c r="C12" s="24"/>
      <c r="D12" s="24"/>
      <c r="E12" s="24"/>
      <c r="F12" s="99">
        <v>410</v>
      </c>
      <c r="G12" s="81">
        <f>[14]Production!$DJ$6</f>
        <v>2.1395587554600082E-2</v>
      </c>
      <c r="H12" s="113">
        <f t="shared" si="0"/>
        <v>2.2399807094677027E-2</v>
      </c>
      <c r="I12" s="42">
        <f t="shared" si="1"/>
        <v>918793.12711057393</v>
      </c>
    </row>
    <row r="13" spans="1:9">
      <c r="A13" s="30"/>
      <c r="B13" s="24"/>
      <c r="C13" s="24"/>
      <c r="D13" s="24"/>
      <c r="E13" s="24"/>
      <c r="F13" s="99">
        <v>724</v>
      </c>
      <c r="G13" s="81">
        <f>[14]Production!$GS$6</f>
        <v>3.0384045442099709E-2</v>
      </c>
      <c r="H13" s="113">
        <f t="shared" si="0"/>
        <v>3.1810145663076453E-2</v>
      </c>
      <c r="I13" s="42">
        <f t="shared" si="1"/>
        <v>1304785.4869502967</v>
      </c>
    </row>
    <row r="14" spans="1:9">
      <c r="A14" s="30"/>
      <c r="B14" s="24"/>
      <c r="C14" s="24"/>
      <c r="D14" s="24"/>
      <c r="E14" s="24"/>
      <c r="F14" s="99">
        <v>764</v>
      </c>
      <c r="G14" s="81">
        <f>[14]Production!$HC$6</f>
        <v>3.2830102010452389E-2</v>
      </c>
      <c r="H14" s="113">
        <f t="shared" si="0"/>
        <v>3.4371009912957148E-2</v>
      </c>
      <c r="I14" s="42">
        <f t="shared" si="1"/>
        <v>1409826.7697751247</v>
      </c>
    </row>
    <row r="15" spans="1:9">
      <c r="A15" s="30"/>
      <c r="B15" s="24"/>
      <c r="C15" s="24"/>
      <c r="D15" s="24"/>
      <c r="E15" s="24"/>
      <c r="F15" s="99">
        <v>842</v>
      </c>
      <c r="G15" s="81">
        <f>[14]Production!$HT$6</f>
        <v>2.7029373758216839E-2</v>
      </c>
      <c r="H15" s="113">
        <f t="shared" si="0"/>
        <v>2.8298019698169467E-2</v>
      </c>
      <c r="I15" s="42">
        <f t="shared" si="1"/>
        <v>1160725.4428408116</v>
      </c>
    </row>
    <row r="16" spans="1:9">
      <c r="A16" s="90"/>
      <c r="B16" s="74"/>
      <c r="C16" s="74"/>
      <c r="D16" s="74"/>
      <c r="E16" s="74"/>
      <c r="F16" s="74" t="s">
        <v>107</v>
      </c>
      <c r="G16" s="91">
        <f>SUM(G5:G15)</f>
        <v>0.95516838444936503</v>
      </c>
      <c r="H16" s="123"/>
      <c r="I16" s="47"/>
    </row>
    <row r="18" spans="1:9">
      <c r="A18" s="51" t="s">
        <v>383</v>
      </c>
    </row>
    <row r="19" spans="1:9" ht="32">
      <c r="A19" s="29" t="s">
        <v>0</v>
      </c>
      <c r="B19" s="17" t="s">
        <v>1</v>
      </c>
      <c r="C19" s="17" t="s">
        <v>145</v>
      </c>
      <c r="D19" s="17" t="s">
        <v>3</v>
      </c>
      <c r="E19" s="17"/>
      <c r="F19" s="48" t="s">
        <v>218</v>
      </c>
      <c r="G19" s="48" t="s">
        <v>635</v>
      </c>
      <c r="H19" s="48" t="s">
        <v>116</v>
      </c>
      <c r="I19" s="49" t="s">
        <v>178</v>
      </c>
    </row>
    <row r="20" spans="1:9" ht="48">
      <c r="A20" s="60" t="s">
        <v>384</v>
      </c>
      <c r="B20" s="50">
        <f>'[5]Weight%'!$B$77</f>
        <v>0.65</v>
      </c>
      <c r="C20" s="24" t="s">
        <v>634</v>
      </c>
      <c r="D20" s="67" t="s">
        <v>147</v>
      </c>
      <c r="E20" s="24"/>
      <c r="F20" s="99">
        <v>36</v>
      </c>
      <c r="G20" s="120">
        <v>20836304000</v>
      </c>
      <c r="H20" s="113">
        <f>G20/$G$46</f>
        <v>0.15472028316042205</v>
      </c>
      <c r="I20" s="78">
        <f>$B$21*H20</f>
        <v>171920489.33004627</v>
      </c>
    </row>
    <row r="21" spans="1:9">
      <c r="A21" s="60" t="s">
        <v>385</v>
      </c>
      <c r="B21" s="24">
        <f>B20*data_rawmat!B29</f>
        <v>1111169691.6414647</v>
      </c>
      <c r="C21" s="24" t="s">
        <v>8</v>
      </c>
      <c r="D21" s="24"/>
      <c r="E21" s="24"/>
      <c r="F21" s="99">
        <v>70</v>
      </c>
      <c r="G21" s="120">
        <v>122241000</v>
      </c>
      <c r="H21" s="113">
        <f t="shared" ref="H21:H46" si="2">G21/$G$46</f>
        <v>9.0770235132935052E-4</v>
      </c>
      <c r="I21" s="78">
        <f t="shared" ref="I21:I45" si="3">$B$21*H21</f>
        <v>1008611.3418288669</v>
      </c>
    </row>
    <row r="22" spans="1:9">
      <c r="A22" s="60" t="s">
        <v>386</v>
      </c>
      <c r="B22" s="24">
        <f>B20*data_rawmat!B34</f>
        <v>5981842334.7277737</v>
      </c>
      <c r="C22" s="24" t="s">
        <v>8</v>
      </c>
      <c r="D22" s="24"/>
      <c r="E22" s="24"/>
      <c r="F22" s="99">
        <v>76</v>
      </c>
      <c r="G22" s="120">
        <v>10185000000</v>
      </c>
      <c r="H22" s="113">
        <f t="shared" si="2"/>
        <v>7.5628867959926988E-2</v>
      </c>
      <c r="I22" s="78">
        <f t="shared" si="3"/>
        <v>84036505.890225127</v>
      </c>
    </row>
    <row r="23" spans="1:9">
      <c r="A23" s="30"/>
      <c r="B23" s="24"/>
      <c r="C23" s="24"/>
      <c r="D23" s="24"/>
      <c r="E23" s="24"/>
      <c r="F23" s="99">
        <v>124</v>
      </c>
      <c r="G23" s="120">
        <v>1518000000</v>
      </c>
      <c r="H23" s="113">
        <f t="shared" si="2"/>
        <v>1.1271931424955245E-2</v>
      </c>
      <c r="I23" s="78">
        <f t="shared" si="3"/>
        <v>12525028.565671256</v>
      </c>
    </row>
    <row r="24" spans="1:9">
      <c r="A24" s="30"/>
      <c r="B24" s="24"/>
      <c r="C24" s="24"/>
      <c r="D24" s="24"/>
      <c r="E24" s="24"/>
      <c r="F24" s="99">
        <v>156</v>
      </c>
      <c r="G24" s="120">
        <v>73131900000</v>
      </c>
      <c r="H24" s="113">
        <f t="shared" si="2"/>
        <v>0.54304200380545753</v>
      </c>
      <c r="I24" s="78">
        <f t="shared" si="3"/>
        <v>603411815.91687334</v>
      </c>
    </row>
    <row r="25" spans="1:9">
      <c r="A25" s="30"/>
      <c r="B25" s="24"/>
      <c r="C25" s="24"/>
      <c r="D25" s="24"/>
      <c r="E25" s="24"/>
      <c r="F25" s="99">
        <v>251</v>
      </c>
      <c r="G25" s="120">
        <v>500000000</v>
      </c>
      <c r="H25" s="113">
        <f t="shared" si="2"/>
        <v>3.7127573863488948E-3</v>
      </c>
      <c r="I25" s="78">
        <f t="shared" si="3"/>
        <v>4125503.4801288717</v>
      </c>
    </row>
    <row r="26" spans="1:9">
      <c r="A26" s="30"/>
      <c r="B26" s="24"/>
      <c r="C26" s="24"/>
      <c r="D26" s="24"/>
      <c r="E26" s="24"/>
      <c r="F26" s="99">
        <v>276</v>
      </c>
      <c r="G26" s="120">
        <v>1050000000</v>
      </c>
      <c r="H26" s="113">
        <f t="shared" si="2"/>
        <v>7.7967905113326798E-3</v>
      </c>
      <c r="I26" s="78">
        <f t="shared" si="3"/>
        <v>8663557.3082706314</v>
      </c>
    </row>
    <row r="27" spans="1:9">
      <c r="A27" s="30"/>
      <c r="B27" s="24"/>
      <c r="C27" s="24"/>
      <c r="D27" s="24"/>
      <c r="E27" s="24"/>
      <c r="F27" s="99">
        <v>300</v>
      </c>
      <c r="G27" s="120">
        <v>680000000</v>
      </c>
      <c r="H27" s="113">
        <f t="shared" si="2"/>
        <v>5.0493500454344975E-3</v>
      </c>
      <c r="I27" s="78">
        <f t="shared" si="3"/>
        <v>5610684.7329752669</v>
      </c>
    </row>
    <row r="28" spans="1:9">
      <c r="A28" s="30"/>
      <c r="B28" s="24"/>
      <c r="C28" s="24"/>
      <c r="D28" s="24"/>
      <c r="E28" s="24"/>
      <c r="F28" s="99">
        <v>324</v>
      </c>
      <c r="G28" s="120">
        <v>453353000</v>
      </c>
      <c r="H28" s="113">
        <f t="shared" si="2"/>
        <v>3.3663793987468611E-3</v>
      </c>
      <c r="I28" s="78">
        <f t="shared" si="3"/>
        <v>3740618.7584537291</v>
      </c>
    </row>
    <row r="29" spans="1:9">
      <c r="A29" s="30"/>
      <c r="B29" s="24"/>
      <c r="C29" s="24"/>
      <c r="D29" s="24"/>
      <c r="E29" s="24"/>
      <c r="F29" s="99">
        <v>360</v>
      </c>
      <c r="G29" s="120">
        <v>1162100000</v>
      </c>
      <c r="H29" s="113">
        <f t="shared" si="2"/>
        <v>8.6291907173521015E-3</v>
      </c>
      <c r="I29" s="78">
        <f t="shared" si="3"/>
        <v>9588495.1885155234</v>
      </c>
    </row>
    <row r="30" spans="1:9">
      <c r="A30" s="30"/>
      <c r="B30" s="24"/>
      <c r="C30" s="24"/>
      <c r="D30" s="24"/>
      <c r="E30" s="24"/>
      <c r="F30" s="99">
        <v>364</v>
      </c>
      <c r="G30" s="120">
        <v>232000000</v>
      </c>
      <c r="H30" s="113">
        <f t="shared" si="2"/>
        <v>1.7227194272658873E-3</v>
      </c>
      <c r="I30" s="78">
        <f t="shared" si="3"/>
        <v>1914233.6147797967</v>
      </c>
    </row>
    <row r="31" spans="1:9">
      <c r="A31" s="30"/>
      <c r="B31" s="24"/>
      <c r="C31" s="24"/>
      <c r="D31" s="24"/>
      <c r="E31" s="24"/>
      <c r="F31" s="99">
        <v>372</v>
      </c>
      <c r="G31" s="120">
        <v>1822368000</v>
      </c>
      <c r="H31" s="113">
        <f t="shared" si="2"/>
        <v>1.3532020505291726E-2</v>
      </c>
      <c r="I31" s="78">
        <f t="shared" si="3"/>
        <v>15036371.052150983</v>
      </c>
    </row>
    <row r="32" spans="1:9">
      <c r="A32" s="30"/>
      <c r="B32" s="24"/>
      <c r="C32" s="24"/>
      <c r="D32" s="24"/>
      <c r="E32" s="24"/>
      <c r="F32" s="99">
        <v>388</v>
      </c>
      <c r="G32" s="120">
        <v>1620943000</v>
      </c>
      <c r="H32" s="113">
        <f t="shared" si="2"/>
        <v>1.2036336192201074E-2</v>
      </c>
      <c r="I32" s="78">
        <f t="shared" si="3"/>
        <v>13374411.975181069</v>
      </c>
    </row>
    <row r="33" spans="1:9">
      <c r="A33" s="30"/>
      <c r="B33" s="24"/>
      <c r="C33" s="24"/>
      <c r="D33" s="24"/>
      <c r="E33" s="24"/>
      <c r="F33" s="99">
        <v>392</v>
      </c>
      <c r="G33" s="120">
        <v>18000000</v>
      </c>
      <c r="H33" s="113">
        <f t="shared" si="2"/>
        <v>1.3365926590856023E-4</v>
      </c>
      <c r="I33" s="78">
        <f t="shared" si="3"/>
        <v>148518.12528463942</v>
      </c>
    </row>
    <row r="34" spans="1:9">
      <c r="A34" s="30"/>
      <c r="B34" s="24"/>
      <c r="C34" s="24"/>
      <c r="D34" s="24"/>
      <c r="E34" s="24"/>
      <c r="F34" s="99">
        <v>398</v>
      </c>
      <c r="G34" s="120">
        <v>1399949000</v>
      </c>
      <c r="H34" s="113">
        <f t="shared" si="2"/>
        <v>1.0395341980523498E-2</v>
      </c>
      <c r="I34" s="78">
        <f t="shared" si="3"/>
        <v>11550988.943005869</v>
      </c>
    </row>
    <row r="35" spans="1:9">
      <c r="A35" s="30"/>
      <c r="B35" s="24"/>
      <c r="C35" s="24"/>
      <c r="D35" s="24"/>
      <c r="E35" s="24"/>
      <c r="F35" s="99">
        <v>642</v>
      </c>
      <c r="G35" s="120">
        <v>426393000</v>
      </c>
      <c r="H35" s="113">
        <f t="shared" si="2"/>
        <v>3.1661875204749288E-3</v>
      </c>
      <c r="I35" s="78">
        <f t="shared" si="3"/>
        <v>3518171.6108051804</v>
      </c>
    </row>
    <row r="36" spans="1:9">
      <c r="A36" s="30"/>
      <c r="B36" s="24"/>
      <c r="C36" s="24"/>
      <c r="D36" s="24"/>
      <c r="E36" s="24"/>
      <c r="F36" s="99">
        <v>643</v>
      </c>
      <c r="G36" s="120">
        <v>2873000000</v>
      </c>
      <c r="H36" s="113">
        <f t="shared" si="2"/>
        <v>2.1333503941960749E-2</v>
      </c>
      <c r="I36" s="78">
        <f t="shared" si="3"/>
        <v>23705142.996820498</v>
      </c>
    </row>
    <row r="37" spans="1:9">
      <c r="A37" s="30"/>
      <c r="B37" s="24"/>
      <c r="C37" s="24"/>
      <c r="D37" s="24"/>
      <c r="E37" s="24"/>
      <c r="F37" s="99">
        <v>682</v>
      </c>
      <c r="G37" s="120">
        <v>1782041000</v>
      </c>
      <c r="H37" s="113">
        <f t="shared" si="2"/>
        <v>1.3232571771053142E-2</v>
      </c>
      <c r="I37" s="78">
        <f t="shared" si="3"/>
        <v>14703632.69446467</v>
      </c>
    </row>
    <row r="38" spans="1:9">
      <c r="A38" s="30"/>
      <c r="B38" s="24"/>
      <c r="C38" s="24"/>
      <c r="D38" s="24"/>
      <c r="E38" s="24"/>
      <c r="F38" s="99">
        <v>699</v>
      </c>
      <c r="G38" s="120">
        <v>6624500000</v>
      </c>
      <c r="H38" s="113">
        <f t="shared" si="2"/>
        <v>4.919032261173651E-2</v>
      </c>
      <c r="I38" s="78">
        <f t="shared" si="3"/>
        <v>54658795.608227424</v>
      </c>
    </row>
    <row r="39" spans="1:9">
      <c r="A39" s="30"/>
      <c r="B39" s="24"/>
      <c r="C39" s="24"/>
      <c r="D39" s="24"/>
      <c r="E39" s="24"/>
      <c r="F39" s="99">
        <v>704</v>
      </c>
      <c r="G39" s="120">
        <v>1384706000</v>
      </c>
      <c r="H39" s="113">
        <f t="shared" si="2"/>
        <v>1.0282154858843266E-2</v>
      </c>
      <c r="I39" s="78">
        <f t="shared" si="3"/>
        <v>11425218.843910659</v>
      </c>
    </row>
    <row r="40" spans="1:9">
      <c r="A40" s="30"/>
      <c r="B40" s="24"/>
      <c r="C40" s="24"/>
      <c r="D40" s="24"/>
      <c r="E40" s="24"/>
      <c r="F40" s="99">
        <v>724</v>
      </c>
      <c r="G40" s="120">
        <v>1553000000</v>
      </c>
      <c r="H40" s="113">
        <f t="shared" si="2"/>
        <v>1.1531824441999667E-2</v>
      </c>
      <c r="I40" s="78">
        <f t="shared" si="3"/>
        <v>12813813.809280276</v>
      </c>
    </row>
    <row r="41" spans="1:9">
      <c r="A41" s="30"/>
      <c r="B41" s="24"/>
      <c r="C41" s="24"/>
      <c r="D41" s="24"/>
      <c r="E41" s="24"/>
      <c r="F41" s="99">
        <v>784</v>
      </c>
      <c r="G41" s="120">
        <v>1920000000</v>
      </c>
      <c r="H41" s="113">
        <f t="shared" si="2"/>
        <v>1.4256988363579757E-2</v>
      </c>
      <c r="I41" s="78">
        <f t="shared" si="3"/>
        <v>15841933.363694869</v>
      </c>
    </row>
    <row r="42" spans="1:9">
      <c r="A42" s="30"/>
      <c r="B42" s="24"/>
      <c r="C42" s="24"/>
      <c r="D42" s="24"/>
      <c r="E42" s="24"/>
      <c r="F42" s="99">
        <v>792</v>
      </c>
      <c r="G42" s="120">
        <v>260000000</v>
      </c>
      <c r="H42" s="113">
        <f t="shared" si="2"/>
        <v>1.9306338409014255E-3</v>
      </c>
      <c r="I42" s="78">
        <f t="shared" si="3"/>
        <v>2145261.8096670136</v>
      </c>
    </row>
    <row r="43" spans="1:9">
      <c r="A43" s="30"/>
      <c r="B43" s="24"/>
      <c r="C43" s="24"/>
      <c r="D43" s="24"/>
      <c r="E43" s="24"/>
      <c r="F43" s="99">
        <v>804</v>
      </c>
      <c r="G43" s="120">
        <v>1725000000</v>
      </c>
      <c r="H43" s="113">
        <f t="shared" si="2"/>
        <v>1.2809012982903687E-2</v>
      </c>
      <c r="I43" s="78">
        <f t="shared" si="3"/>
        <v>14232987.006444609</v>
      </c>
    </row>
    <row r="44" spans="1:9">
      <c r="A44" s="30"/>
      <c r="B44" s="24"/>
      <c r="C44" s="24"/>
      <c r="D44" s="24"/>
      <c r="E44" s="24"/>
      <c r="F44" s="99">
        <v>842</v>
      </c>
      <c r="G44" s="120">
        <v>1340000000</v>
      </c>
      <c r="H44" s="113">
        <f t="shared" si="2"/>
        <v>9.9501897954150393E-3</v>
      </c>
      <c r="I44" s="78">
        <f t="shared" si="3"/>
        <v>11056349.326745378</v>
      </c>
    </row>
    <row r="45" spans="1:9">
      <c r="A45" s="30"/>
      <c r="B45" s="24"/>
      <c r="C45" s="24"/>
      <c r="D45" s="24"/>
      <c r="E45" s="24"/>
      <c r="F45" s="99">
        <v>862</v>
      </c>
      <c r="G45" s="119">
        <v>50000000</v>
      </c>
      <c r="H45" s="113">
        <f t="shared" si="2"/>
        <v>3.7127573863488948E-4</v>
      </c>
      <c r="I45" s="42">
        <f t="shared" si="3"/>
        <v>412550.34801288717</v>
      </c>
    </row>
    <row r="46" spans="1:9">
      <c r="A46" s="90"/>
      <c r="B46" s="74"/>
      <c r="C46" s="74"/>
      <c r="D46" s="74"/>
      <c r="E46" s="74"/>
      <c r="F46" s="121" t="s">
        <v>107</v>
      </c>
      <c r="G46" s="132">
        <f>SUM(G20:G45)</f>
        <v>134670798000</v>
      </c>
      <c r="H46" s="133">
        <f t="shared" si="2"/>
        <v>1</v>
      </c>
      <c r="I46" s="47"/>
    </row>
    <row r="48" spans="1:9">
      <c r="A48" s="51" t="s">
        <v>387</v>
      </c>
    </row>
    <row r="49" spans="1:9" ht="32">
      <c r="A49" s="29" t="s">
        <v>0</v>
      </c>
      <c r="B49" s="17" t="s">
        <v>1</v>
      </c>
      <c r="C49" s="17" t="s">
        <v>145</v>
      </c>
      <c r="D49" s="17" t="s">
        <v>3</v>
      </c>
      <c r="E49" s="17"/>
      <c r="F49" s="48" t="s">
        <v>218</v>
      </c>
      <c r="G49" s="48" t="s">
        <v>143</v>
      </c>
      <c r="H49" s="48" t="s">
        <v>116</v>
      </c>
      <c r="I49" s="49" t="s">
        <v>178</v>
      </c>
    </row>
    <row r="50" spans="1:9" ht="48">
      <c r="A50" s="60" t="s">
        <v>388</v>
      </c>
      <c r="B50" s="50">
        <f>'[5]Weight%'!$B$78</f>
        <v>0.35</v>
      </c>
      <c r="C50" s="24" t="s">
        <v>634</v>
      </c>
      <c r="D50" s="67" t="s">
        <v>147</v>
      </c>
      <c r="E50" s="24"/>
      <c r="F50" s="99">
        <v>36</v>
      </c>
      <c r="G50" s="81">
        <f>[29]Production!$L$11</f>
        <v>2.5532204241762578E-2</v>
      </c>
      <c r="H50" s="113">
        <f>G50/$G$72</f>
        <v>3.1300386876594283E-2</v>
      </c>
      <c r="I50" s="42">
        <f>$B$51*H50</f>
        <v>18727714.510574363</v>
      </c>
    </row>
    <row r="51" spans="1:9">
      <c r="A51" s="60" t="s">
        <v>389</v>
      </c>
      <c r="B51" s="41">
        <f>B50*data_rawmat!B29</f>
        <v>598322141.65309632</v>
      </c>
      <c r="C51" s="24" t="s">
        <v>8</v>
      </c>
      <c r="D51" s="24"/>
      <c r="E51" s="24"/>
      <c r="F51" s="99">
        <v>40</v>
      </c>
      <c r="G51" s="81">
        <f>[29]Production!$M$11</f>
        <v>1.7694640733066445E-2</v>
      </c>
      <c r="H51" s="113">
        <f t="shared" ref="H51:H71" si="4">G51/$G$72</f>
        <v>2.1692177273178882E-2</v>
      </c>
      <c r="I51" s="42">
        <f t="shared" ref="I51:I71" si="5">$B$51*H51</f>
        <v>12978909.963207012</v>
      </c>
    </row>
    <row r="52" spans="1:9">
      <c r="A52" s="60" t="s">
        <v>390</v>
      </c>
      <c r="B52" s="41">
        <f>B50*data_rawmat!B34</f>
        <v>3220992026.3918781</v>
      </c>
      <c r="C52" s="24" t="s">
        <v>8</v>
      </c>
      <c r="D52" s="24"/>
      <c r="E52" s="24"/>
      <c r="F52" s="99">
        <v>56</v>
      </c>
      <c r="G52" s="81">
        <f>[29]Production!$S$11</f>
        <v>2.8929553924792743E-2</v>
      </c>
      <c r="H52" s="113">
        <f t="shared" si="4"/>
        <v>3.5465258754752899E-2</v>
      </c>
      <c r="I52" s="42">
        <f t="shared" si="5"/>
        <v>21219649.572424978</v>
      </c>
    </row>
    <row r="53" spans="1:9">
      <c r="A53" s="30"/>
      <c r="B53" s="24"/>
      <c r="C53" s="24"/>
      <c r="D53" s="24"/>
      <c r="E53" s="24"/>
      <c r="F53" s="99">
        <v>124</v>
      </c>
      <c r="G53" s="81">
        <f>[29]Production!$AM$11</f>
        <v>5.2342653714016772E-2</v>
      </c>
      <c r="H53" s="113">
        <f t="shared" si="4"/>
        <v>6.4167797495388867E-2</v>
      </c>
      <c r="I53" s="42">
        <f t="shared" si="5"/>
        <v>38393014.022603258</v>
      </c>
    </row>
    <row r="54" spans="1:9">
      <c r="A54" s="30"/>
      <c r="B54" s="24"/>
      <c r="C54" s="24"/>
      <c r="D54" s="24"/>
      <c r="E54" s="24"/>
      <c r="F54" s="99">
        <v>208</v>
      </c>
      <c r="G54" s="81">
        <f>[29]Production!$BI$11</f>
        <v>1.3432602565140214E-2</v>
      </c>
      <c r="H54" s="113">
        <f t="shared" si="4"/>
        <v>1.6467268280766213E-2</v>
      </c>
      <c r="I54" s="42">
        <f t="shared" si="5"/>
        <v>9852731.2249241415</v>
      </c>
    </row>
    <row r="55" spans="1:9">
      <c r="A55" s="30"/>
      <c r="B55" s="24"/>
      <c r="C55" s="24"/>
      <c r="D55" s="24"/>
      <c r="E55" s="24"/>
      <c r="F55" s="99">
        <v>251</v>
      </c>
      <c r="G55" s="81">
        <f>[29]Production!$BW$11</f>
        <v>5.1023392662757107E-2</v>
      </c>
      <c r="H55" s="113">
        <f t="shared" si="4"/>
        <v>6.2550491723249252E-2</v>
      </c>
      <c r="I55" s="42">
        <f t="shared" si="5"/>
        <v>37425344.169308767</v>
      </c>
    </row>
    <row r="56" spans="1:9">
      <c r="A56" s="30"/>
      <c r="B56" s="24"/>
      <c r="C56" s="24"/>
      <c r="D56" s="24"/>
      <c r="E56" s="24"/>
      <c r="F56" s="99">
        <v>276</v>
      </c>
      <c r="G56" s="81">
        <f>[29]Production!$CE$11</f>
        <v>0.11284180018185373</v>
      </c>
      <c r="H56" s="113">
        <f t="shared" si="4"/>
        <v>0.13833478567299534</v>
      </c>
      <c r="I56" s="42">
        <f t="shared" si="5"/>
        <v>82768765.228988633</v>
      </c>
    </row>
    <row r="57" spans="1:9">
      <c r="A57" s="30"/>
      <c r="B57" s="24"/>
      <c r="C57" s="24"/>
      <c r="D57" s="24"/>
      <c r="E57" s="24"/>
      <c r="F57" s="99">
        <v>344</v>
      </c>
      <c r="G57" s="81">
        <f>[29]Production!$CT$11</f>
        <v>2.031875350631385E-2</v>
      </c>
      <c r="H57" s="113">
        <f t="shared" si="4"/>
        <v>2.490912416239844E-2</v>
      </c>
      <c r="I57" s="42">
        <f t="shared" si="5"/>
        <v>14903680.515549123</v>
      </c>
    </row>
    <row r="58" spans="1:9">
      <c r="A58" s="30"/>
      <c r="B58" s="24"/>
      <c r="C58" s="24"/>
      <c r="D58" s="24"/>
      <c r="E58" s="24"/>
      <c r="F58" s="99">
        <v>381</v>
      </c>
      <c r="G58" s="81">
        <f>[29]Production!$DB$11</f>
        <v>1.405989900462443E-2</v>
      </c>
      <c r="H58" s="113">
        <f t="shared" si="4"/>
        <v>1.7236282231001269E-2</v>
      </c>
      <c r="I58" s="42">
        <f t="shared" si="5"/>
        <v>10312849.298589889</v>
      </c>
    </row>
    <row r="59" spans="1:9">
      <c r="A59" s="30"/>
      <c r="B59" s="24"/>
      <c r="C59" s="24"/>
      <c r="D59" s="24"/>
      <c r="E59" s="24"/>
      <c r="F59" s="99">
        <v>392</v>
      </c>
      <c r="G59" s="81">
        <f>[29]Production!$DE$11</f>
        <v>3.100149687836817E-2</v>
      </c>
      <c r="H59" s="113">
        <f t="shared" si="4"/>
        <v>3.8005290763703618E-2</v>
      </c>
      <c r="I59" s="42">
        <f t="shared" si="5"/>
        <v>22739406.963887788</v>
      </c>
    </row>
    <row r="60" spans="1:9">
      <c r="A60" s="30"/>
      <c r="B60" s="24"/>
      <c r="C60" s="24"/>
      <c r="D60" s="24"/>
      <c r="E60" s="24"/>
      <c r="F60" s="99">
        <v>458</v>
      </c>
      <c r="G60" s="81">
        <f>[29]Production!$DX$11</f>
        <v>1.6334250021547276E-2</v>
      </c>
      <c r="H60" s="113">
        <f t="shared" si="4"/>
        <v>2.0024449913226668E-2</v>
      </c>
      <c r="I60" s="42">
        <f t="shared" si="5"/>
        <v>11981071.757506939</v>
      </c>
    </row>
    <row r="61" spans="1:9">
      <c r="A61" s="30"/>
      <c r="B61" s="24"/>
      <c r="C61" s="24"/>
      <c r="D61" s="24"/>
      <c r="E61" s="24"/>
      <c r="F61" s="99">
        <v>484</v>
      </c>
      <c r="G61" s="81">
        <f>[29]Production!$ED$11</f>
        <v>2.691285176538695E-2</v>
      </c>
      <c r="H61" s="113">
        <f t="shared" si="4"/>
        <v>3.2992947425634897E-2</v>
      </c>
      <c r="I61" s="42">
        <f t="shared" si="5"/>
        <v>19740410.963153884</v>
      </c>
    </row>
    <row r="62" spans="1:9">
      <c r="A62" s="30"/>
      <c r="B62" s="24"/>
      <c r="C62" s="24"/>
      <c r="D62" s="24"/>
      <c r="E62" s="24"/>
      <c r="F62" s="99">
        <v>528</v>
      </c>
      <c r="G62" s="81">
        <f>[29]Production!$EO$11</f>
        <v>5.2216585317632985E-2</v>
      </c>
      <c r="H62" s="113">
        <f t="shared" si="4"/>
        <v>6.4013247988328678E-2</v>
      </c>
      <c r="I62" s="42">
        <f t="shared" si="5"/>
        <v>38300543.630547576</v>
      </c>
    </row>
    <row r="63" spans="1:9">
      <c r="A63" s="30"/>
      <c r="B63" s="24"/>
      <c r="C63" s="24"/>
      <c r="D63" s="24"/>
      <c r="E63" s="24"/>
      <c r="F63" s="99">
        <v>616</v>
      </c>
      <c r="G63" s="81">
        <f>[29]Production!$FO$11</f>
        <v>2.5607197893740115E-2</v>
      </c>
      <c r="H63" s="113">
        <f t="shared" si="4"/>
        <v>3.1392322938908326E-2</v>
      </c>
      <c r="I63" s="42">
        <f t="shared" si="5"/>
        <v>18782721.892273251</v>
      </c>
    </row>
    <row r="64" spans="1:9">
      <c r="A64" s="30"/>
      <c r="B64" s="24"/>
      <c r="C64" s="24"/>
      <c r="D64" s="24"/>
      <c r="E64" s="24"/>
      <c r="F64" s="99">
        <v>682</v>
      </c>
      <c r="G64" s="81">
        <f>[29]Production!$GF$11</f>
        <v>1.6696022102710876E-2</v>
      </c>
      <c r="H64" s="113">
        <f t="shared" si="4"/>
        <v>2.0467952792741065E-2</v>
      </c>
      <c r="I64" s="42">
        <f t="shared" si="5"/>
        <v>12246429.350207308</v>
      </c>
    </row>
    <row r="65" spans="1:9">
      <c r="A65" s="30"/>
      <c r="B65" s="24"/>
      <c r="C65" s="24"/>
      <c r="D65" s="24"/>
      <c r="E65" s="24"/>
      <c r="F65" s="99">
        <v>724</v>
      </c>
      <c r="G65" s="81">
        <f>[29]Production!$GS$11</f>
        <v>1.6162069600167861E-2</v>
      </c>
      <c r="H65" s="113">
        <f t="shared" si="4"/>
        <v>1.9813370848108761E-2</v>
      </c>
      <c r="I65" s="42">
        <f t="shared" si="5"/>
        <v>11854778.47920746</v>
      </c>
    </row>
    <row r="66" spans="1:9">
      <c r="A66" s="30"/>
      <c r="B66" s="24"/>
      <c r="C66" s="24"/>
      <c r="D66" s="24"/>
      <c r="E66" s="24"/>
      <c r="F66" s="99">
        <v>752</v>
      </c>
      <c r="G66" s="81">
        <f>[29]Production!$GY$11</f>
        <v>1.8024395276316101E-2</v>
      </c>
      <c r="H66" s="113">
        <f t="shared" si="4"/>
        <v>2.2096429279010257E-2</v>
      </c>
      <c r="I66" s="42">
        <f t="shared" si="5"/>
        <v>13220782.889103599</v>
      </c>
    </row>
    <row r="67" spans="1:9">
      <c r="A67" s="30"/>
      <c r="B67" s="24"/>
      <c r="C67" s="24"/>
      <c r="D67" s="24"/>
      <c r="E67" s="24"/>
      <c r="F67" s="99">
        <v>757</v>
      </c>
      <c r="G67" s="81">
        <f>[29]Production!$GZ$11</f>
        <v>1.5872864663093209E-2</v>
      </c>
      <c r="H67" s="113">
        <f t="shared" si="4"/>
        <v>1.9458829331389607E-2</v>
      </c>
      <c r="I67" s="42">
        <f t="shared" si="5"/>
        <v>11642648.439619118</v>
      </c>
    </row>
    <row r="68" spans="1:9">
      <c r="A68" s="30"/>
      <c r="B68" s="24"/>
      <c r="C68" s="24"/>
      <c r="D68" s="24"/>
      <c r="E68" s="24"/>
      <c r="F68" s="99">
        <v>764</v>
      </c>
      <c r="G68" s="81">
        <f>[29]Production!$HC$11</f>
        <v>1.1863803280694354E-2</v>
      </c>
      <c r="H68" s="113">
        <f t="shared" si="4"/>
        <v>1.454404911527947E-2</v>
      </c>
      <c r="I68" s="42">
        <f t="shared" si="5"/>
        <v>8702026.6149618328</v>
      </c>
    </row>
    <row r="69" spans="1:9">
      <c r="A69" s="30"/>
      <c r="B69" s="24"/>
      <c r="C69" s="24"/>
      <c r="D69" s="24"/>
      <c r="E69" s="24"/>
      <c r="F69" s="99">
        <v>784</v>
      </c>
      <c r="G69" s="81">
        <f>[29]Production!$HH$11</f>
        <v>2.0121966487574201E-2</v>
      </c>
      <c r="H69" s="113">
        <f t="shared" si="4"/>
        <v>2.466787942847266E-2</v>
      </c>
      <c r="I69" s="42">
        <f t="shared" si="5"/>
        <v>14759338.449684119</v>
      </c>
    </row>
    <row r="70" spans="1:9">
      <c r="A70" s="30"/>
      <c r="B70" s="24"/>
      <c r="C70" s="24"/>
      <c r="D70" s="24"/>
      <c r="E70" s="24"/>
      <c r="F70" s="99">
        <v>826</v>
      </c>
      <c r="G70" s="81">
        <f>[29]Production!$HR$11</f>
        <v>4.8344665367637714E-2</v>
      </c>
      <c r="H70" s="113">
        <f t="shared" si="4"/>
        <v>5.9266591912633379E-2</v>
      </c>
      <c r="I70" s="42">
        <f t="shared" si="5"/>
        <v>35460514.201646879</v>
      </c>
    </row>
    <row r="71" spans="1:9">
      <c r="A71" s="30"/>
      <c r="B71" s="24"/>
      <c r="C71" s="24"/>
      <c r="D71" s="24"/>
      <c r="E71" s="24"/>
      <c r="F71" s="99">
        <v>842</v>
      </c>
      <c r="G71" s="81">
        <f>[29]Production!$HT$11</f>
        <v>0.18038162348199213</v>
      </c>
      <c r="H71" s="113">
        <f t="shared" si="4"/>
        <v>0.22113306579223704</v>
      </c>
      <c r="I71" s="42">
        <f t="shared" si="5"/>
        <v>132308809.51512632</v>
      </c>
    </row>
    <row r="72" spans="1:9">
      <c r="A72" s="90"/>
      <c r="B72" s="74"/>
      <c r="C72" s="74"/>
      <c r="D72" s="74"/>
      <c r="E72" s="74"/>
      <c r="F72" s="74" t="s">
        <v>107</v>
      </c>
      <c r="G72" s="91">
        <f>SUM(G50:G71)</f>
        <v>0.81571529267118992</v>
      </c>
      <c r="H72" s="123"/>
      <c r="I72" s="47"/>
    </row>
    <row r="74" spans="1:9">
      <c r="A74" s="51" t="s">
        <v>391</v>
      </c>
    </row>
    <row r="75" spans="1:9" ht="32">
      <c r="A75" s="29" t="s">
        <v>0</v>
      </c>
      <c r="B75" s="17" t="s">
        <v>1</v>
      </c>
      <c r="C75" s="17" t="s">
        <v>145</v>
      </c>
      <c r="D75" s="17" t="s">
        <v>3</v>
      </c>
      <c r="E75" s="17"/>
      <c r="F75" s="48" t="s">
        <v>218</v>
      </c>
      <c r="G75" s="48" t="s">
        <v>143</v>
      </c>
      <c r="H75" s="48" t="s">
        <v>116</v>
      </c>
      <c r="I75" s="49" t="s">
        <v>178</v>
      </c>
    </row>
    <row r="76" spans="1:9" ht="48">
      <c r="A76" s="60" t="s">
        <v>392</v>
      </c>
      <c r="B76" s="50">
        <f>'[5]Weight%'!$B$79</f>
        <v>0.17499999999999999</v>
      </c>
      <c r="C76" s="24" t="s">
        <v>634</v>
      </c>
      <c r="D76" s="67" t="s">
        <v>147</v>
      </c>
      <c r="E76" s="24"/>
      <c r="F76" s="99">
        <v>70</v>
      </c>
      <c r="G76" s="81">
        <f>[15]Production!$W$6</f>
        <v>5.7849851643122396E-2</v>
      </c>
      <c r="H76" s="113">
        <f t="shared" ref="H76:H81" si="6">G76/$G$82</f>
        <v>5.8542112551932514E-2</v>
      </c>
      <c r="I76" s="42">
        <f t="shared" ref="I76:I81" si="7">H76*$B$77</f>
        <v>19397.830495429578</v>
      </c>
    </row>
    <row r="77" spans="1:9">
      <c r="A77" s="60" t="s">
        <v>393</v>
      </c>
      <c r="B77" s="41">
        <f>B76*data_rawmat!B70</f>
        <v>331348.31747354224</v>
      </c>
      <c r="C77" s="24" t="s">
        <v>8</v>
      </c>
      <c r="D77" s="24"/>
      <c r="E77" s="24"/>
      <c r="F77" s="99">
        <v>442</v>
      </c>
      <c r="G77" s="81">
        <f>[15]Production!$DT$6</f>
        <v>6.7056064592780587E-2</v>
      </c>
      <c r="H77" s="113">
        <f t="shared" si="6"/>
        <v>6.7858491753745434E-2</v>
      </c>
      <c r="I77" s="42">
        <f t="shared" si="7"/>
        <v>22484.79706889579</v>
      </c>
    </row>
    <row r="78" spans="1:9">
      <c r="A78" s="60" t="s">
        <v>394</v>
      </c>
      <c r="B78" s="41">
        <f>B76*data_rawmat!B73</f>
        <v>1782588.4065957381</v>
      </c>
      <c r="C78" s="24" t="s">
        <v>8</v>
      </c>
      <c r="D78" s="24"/>
      <c r="E78" s="24"/>
      <c r="F78" s="99">
        <v>608</v>
      </c>
      <c r="G78" s="81">
        <f>[15]Production!$FM$6</f>
        <v>0.1052058646064655</v>
      </c>
      <c r="H78" s="113">
        <f t="shared" si="6"/>
        <v>0.10646481178396072</v>
      </c>
      <c r="I78" s="42">
        <f t="shared" si="7"/>
        <v>35276.936254752734</v>
      </c>
    </row>
    <row r="79" spans="1:9">
      <c r="A79" s="30"/>
      <c r="B79" s="24"/>
      <c r="C79" s="24"/>
      <c r="D79" s="24"/>
      <c r="E79" s="24"/>
      <c r="F79" s="99">
        <v>757</v>
      </c>
      <c r="G79" s="81">
        <f>[15]Production!$GZ$6</f>
        <v>0.70302498740366137</v>
      </c>
      <c r="H79" s="113">
        <f t="shared" si="6"/>
        <v>0.71143774392546899</v>
      </c>
      <c r="I79" s="42">
        <f t="shared" si="7"/>
        <v>235733.69943687695</v>
      </c>
    </row>
    <row r="80" spans="1:9">
      <c r="A80" s="30"/>
      <c r="B80" s="24"/>
      <c r="C80" s="24"/>
      <c r="D80" s="24"/>
      <c r="E80" s="24"/>
      <c r="F80" s="99">
        <v>764</v>
      </c>
      <c r="G80" s="81">
        <f>[15]Production!$HC$6</f>
        <v>2.9770902146664925E-2</v>
      </c>
      <c r="H80" s="113">
        <f t="shared" si="6"/>
        <v>3.0127155986403122E-2</v>
      </c>
      <c r="I80" s="42">
        <f t="shared" si="7"/>
        <v>9982.58244635763</v>
      </c>
    </row>
    <row r="81" spans="1:9">
      <c r="A81" s="30"/>
      <c r="B81" s="24"/>
      <c r="C81" s="24"/>
      <c r="D81" s="24"/>
      <c r="E81" s="24"/>
      <c r="F81" s="99">
        <v>842</v>
      </c>
      <c r="G81" s="81">
        <f>[15]Production!$HT$6</f>
        <v>2.5267322298318622E-2</v>
      </c>
      <c r="H81" s="113">
        <f t="shared" si="6"/>
        <v>2.5569683998489235E-2</v>
      </c>
      <c r="I81" s="42">
        <f t="shared" si="7"/>
        <v>8472.4717712295642</v>
      </c>
    </row>
    <row r="82" spans="1:9">
      <c r="A82" s="90"/>
      <c r="B82" s="74"/>
      <c r="C82" s="74"/>
      <c r="D82" s="74"/>
      <c r="E82" s="74"/>
      <c r="F82" s="74" t="s">
        <v>107</v>
      </c>
      <c r="G82" s="91">
        <f>SUM(G76:G81)</f>
        <v>0.98817499269101339</v>
      </c>
      <c r="H82" s="123"/>
      <c r="I82" s="47"/>
    </row>
    <row r="84" spans="1:9">
      <c r="A84" s="51" t="s">
        <v>395</v>
      </c>
    </row>
    <row r="85" spans="1:9" ht="32">
      <c r="A85" s="29" t="s">
        <v>0</v>
      </c>
      <c r="B85" s="17" t="s">
        <v>1</v>
      </c>
      <c r="C85" s="17" t="s">
        <v>145</v>
      </c>
      <c r="D85" s="17" t="s">
        <v>3</v>
      </c>
      <c r="E85" s="17"/>
      <c r="F85" s="48" t="s">
        <v>218</v>
      </c>
      <c r="G85" s="48" t="s">
        <v>143</v>
      </c>
      <c r="H85" s="48" t="s">
        <v>116</v>
      </c>
      <c r="I85" s="49" t="s">
        <v>178</v>
      </c>
    </row>
    <row r="86" spans="1:9" ht="48">
      <c r="A86" s="60" t="s">
        <v>396</v>
      </c>
      <c r="B86" s="50">
        <f>'[5]Weight%'!$B$80</f>
        <v>1</v>
      </c>
      <c r="C86" s="24" t="s">
        <v>634</v>
      </c>
      <c r="D86" s="67" t="s">
        <v>147</v>
      </c>
      <c r="E86" s="24"/>
      <c r="F86" s="99">
        <v>32</v>
      </c>
      <c r="G86" s="81">
        <f>[16]Production!$K$8</f>
        <v>2.6431215030201689E-2</v>
      </c>
      <c r="H86" s="113">
        <f>G86/$G$94</f>
        <v>2.7905077994551282E-2</v>
      </c>
      <c r="I86" s="42">
        <f>H86*$B$87</f>
        <v>4319734.5280668624</v>
      </c>
    </row>
    <row r="87" spans="1:9">
      <c r="A87" s="60" t="s">
        <v>397</v>
      </c>
      <c r="B87" s="41">
        <f>B86*data_rawmat!B83</f>
        <v>154801019.68933144</v>
      </c>
      <c r="C87" s="24" t="s">
        <v>8</v>
      </c>
      <c r="D87" s="24"/>
      <c r="E87" s="24"/>
      <c r="F87" s="99">
        <v>152</v>
      </c>
      <c r="G87" s="81">
        <f>[16]Production!$AS$8</f>
        <v>0.13312753392016688</v>
      </c>
      <c r="H87" s="113">
        <f t="shared" ref="H87:H93" si="8">G87/$G$94</f>
        <v>0.14055101942985404</v>
      </c>
      <c r="I87" s="42">
        <f t="shared" ref="I87:I93" si="9">H87*$B$87</f>
        <v>21757441.12611644</v>
      </c>
    </row>
    <row r="88" spans="1:9">
      <c r="A88" s="60" t="s">
        <v>398</v>
      </c>
      <c r="B88" s="41">
        <f>B86*data_rawmat!B87</f>
        <v>914493751.35173082</v>
      </c>
      <c r="C88" s="24" t="s">
        <v>8</v>
      </c>
      <c r="D88" s="24"/>
      <c r="E88" s="24"/>
      <c r="F88" s="99">
        <v>442</v>
      </c>
      <c r="G88" s="81">
        <f>[16]Production!$DT$8</f>
        <v>2.6784077332891509E-2</v>
      </c>
      <c r="H88" s="113">
        <f t="shared" si="8"/>
        <v>2.8277616679081866E-2</v>
      </c>
      <c r="I88" s="42">
        <f t="shared" si="9"/>
        <v>4377403.8963059187</v>
      </c>
    </row>
    <row r="89" spans="1:9">
      <c r="A89" s="30"/>
      <c r="B89" s="24"/>
      <c r="C89" s="24"/>
      <c r="D89" s="24"/>
      <c r="E89" s="24"/>
      <c r="F89" s="99">
        <v>528</v>
      </c>
      <c r="G89" s="81">
        <f>[16]Production!$EO$8</f>
        <v>2.2245827373682702E-2</v>
      </c>
      <c r="H89" s="113">
        <f t="shared" si="8"/>
        <v>2.3486303872395333E-2</v>
      </c>
      <c r="I89" s="42">
        <f t="shared" si="9"/>
        <v>3635703.7881802912</v>
      </c>
    </row>
    <row r="90" spans="1:9">
      <c r="A90" s="30"/>
      <c r="B90" s="24"/>
      <c r="C90" s="24"/>
      <c r="D90" s="24"/>
      <c r="E90" s="24"/>
      <c r="F90" s="99">
        <v>604</v>
      </c>
      <c r="G90" s="81">
        <f>[16]Production!$FL$8</f>
        <v>4.2798235092148022E-2</v>
      </c>
      <c r="H90" s="113">
        <f t="shared" si="8"/>
        <v>4.5184759267058894E-2</v>
      </c>
      <c r="I90" s="42">
        <f t="shared" si="9"/>
        <v>6994646.8089576848</v>
      </c>
    </row>
    <row r="91" spans="1:9">
      <c r="A91" s="30"/>
      <c r="B91" s="24"/>
      <c r="C91" s="24"/>
      <c r="D91" s="24"/>
      <c r="E91" s="24"/>
      <c r="F91" s="99">
        <v>643</v>
      </c>
      <c r="G91" s="81">
        <f>[16]Production!$FU$8</f>
        <v>0.11145165105755893</v>
      </c>
      <c r="H91" s="113">
        <f t="shared" si="8"/>
        <v>0.11766644143407597</v>
      </c>
      <c r="I91" s="42">
        <f t="shared" si="9"/>
        <v>18214885.11720996</v>
      </c>
    </row>
    <row r="92" spans="1:9">
      <c r="A92" s="30"/>
      <c r="B92" s="24"/>
      <c r="C92" s="24"/>
      <c r="D92" s="24"/>
      <c r="E92" s="24"/>
      <c r="F92" s="99">
        <v>792</v>
      </c>
      <c r="G92" s="81">
        <f>[16]Production!$HJ$8</f>
        <v>0.31529253847055727</v>
      </c>
      <c r="H92" s="113">
        <f t="shared" si="8"/>
        <v>0.33287394722745833</v>
      </c>
      <c r="I92" s="42">
        <f t="shared" si="9"/>
        <v>51529226.458823256</v>
      </c>
    </row>
    <row r="93" spans="1:9">
      <c r="A93" s="30"/>
      <c r="B93" s="24"/>
      <c r="C93" s="24"/>
      <c r="D93" s="24"/>
      <c r="E93" s="24"/>
      <c r="F93" s="99">
        <v>842</v>
      </c>
      <c r="G93" s="81">
        <f>[16]Production!$HT$8</f>
        <v>0.26905190524151401</v>
      </c>
      <c r="H93" s="113">
        <f t="shared" si="8"/>
        <v>0.28405483409552429</v>
      </c>
      <c r="I93" s="42">
        <f t="shared" si="9"/>
        <v>43971977.965671033</v>
      </c>
    </row>
    <row r="94" spans="1:9">
      <c r="A94" s="90"/>
      <c r="B94" s="74"/>
      <c r="C94" s="74"/>
      <c r="D94" s="74"/>
      <c r="E94" s="74"/>
      <c r="F94" s="74" t="s">
        <v>107</v>
      </c>
      <c r="G94" s="91">
        <f>SUM(G86:G93)</f>
        <v>0.94718298351872099</v>
      </c>
      <c r="H94" s="123"/>
      <c r="I94" s="47"/>
    </row>
    <row r="96" spans="1:9">
      <c r="A96" s="51" t="s">
        <v>399</v>
      </c>
    </row>
    <row r="97" spans="1:9" ht="32">
      <c r="A97" s="29" t="s">
        <v>0</v>
      </c>
      <c r="B97" s="17" t="s">
        <v>1</v>
      </c>
      <c r="C97" s="17" t="s">
        <v>145</v>
      </c>
      <c r="D97" s="17" t="s">
        <v>3</v>
      </c>
      <c r="E97" s="17"/>
      <c r="F97" s="48" t="s">
        <v>242</v>
      </c>
      <c r="G97" s="48" t="s">
        <v>635</v>
      </c>
      <c r="H97" s="48" t="s">
        <v>116</v>
      </c>
      <c r="I97" s="49" t="s">
        <v>178</v>
      </c>
    </row>
    <row r="98" spans="1:9" ht="48">
      <c r="A98" s="60" t="s">
        <v>400</v>
      </c>
      <c r="B98" s="50">
        <f>'[5]Weight%'!$B$81</f>
        <v>0.67999999999999994</v>
      </c>
      <c r="C98" s="24" t="s">
        <v>634</v>
      </c>
      <c r="D98" s="67" t="s">
        <v>147</v>
      </c>
      <c r="E98" s="24"/>
      <c r="F98" s="99">
        <v>36</v>
      </c>
      <c r="G98" s="134">
        <v>3300000</v>
      </c>
      <c r="H98" s="113">
        <f>G98/$G$110</f>
        <v>2.5091050098463363E-2</v>
      </c>
      <c r="I98" s="42">
        <f>H98*$B$99</f>
        <v>122978.97832921891</v>
      </c>
    </row>
    <row r="99" spans="1:9">
      <c r="A99" s="60" t="s">
        <v>401</v>
      </c>
      <c r="B99" s="41">
        <f>B98*data_rawmat!B95</f>
        <v>4901308.5481324848</v>
      </c>
      <c r="C99" s="24" t="s">
        <v>8</v>
      </c>
      <c r="D99" s="24"/>
      <c r="E99" s="24"/>
      <c r="F99" s="99">
        <v>56</v>
      </c>
      <c r="G99" s="134">
        <v>6500000</v>
      </c>
      <c r="H99" s="113">
        <f t="shared" ref="H99:H109" si="10">G99/$G$110</f>
        <v>4.9421765345458141E-2</v>
      </c>
      <c r="I99" s="42">
        <f t="shared" ref="I99:I109" si="11">H99*$B$99</f>
        <v>242231.3209514918</v>
      </c>
    </row>
    <row r="100" spans="1:9">
      <c r="A100" s="60" t="s">
        <v>402</v>
      </c>
      <c r="B100" s="41">
        <f>B98*data_rawmat!B98</f>
        <v>40922785.336761415</v>
      </c>
      <c r="C100" s="24" t="s">
        <v>8</v>
      </c>
      <c r="D100" s="24"/>
      <c r="E100" s="24"/>
      <c r="F100" s="99">
        <v>124</v>
      </c>
      <c r="G100" s="134">
        <v>5965000</v>
      </c>
      <c r="H100" s="113">
        <f t="shared" si="10"/>
        <v>4.53539738901012E-2</v>
      </c>
      <c r="I100" s="42">
        <f t="shared" si="11"/>
        <v>222293.81991933053</v>
      </c>
    </row>
    <row r="101" spans="1:9">
      <c r="A101" s="30"/>
      <c r="B101" s="24"/>
      <c r="C101" s="24"/>
      <c r="D101" s="24"/>
      <c r="E101" s="24"/>
      <c r="F101" s="99">
        <v>156</v>
      </c>
      <c r="G101" s="134">
        <v>86000000</v>
      </c>
      <c r="H101" s="113">
        <f t="shared" si="10"/>
        <v>0.65388797226298467</v>
      </c>
      <c r="I101" s="42">
        <f t="shared" si="11"/>
        <v>3204906.7079735841</v>
      </c>
    </row>
    <row r="102" spans="1:9">
      <c r="A102" s="30"/>
      <c r="B102" s="24"/>
      <c r="C102" s="24"/>
      <c r="D102" s="24"/>
      <c r="E102" s="24"/>
      <c r="F102" s="99">
        <v>246</v>
      </c>
      <c r="G102" s="134">
        <v>15148000</v>
      </c>
      <c r="H102" s="113">
        <f t="shared" si="10"/>
        <v>0.11517552330046152</v>
      </c>
      <c r="I102" s="42">
        <f t="shared" si="11"/>
        <v>564510.77688818425</v>
      </c>
    </row>
    <row r="103" spans="1:9">
      <c r="A103" s="30"/>
      <c r="B103" s="24"/>
      <c r="C103" s="24"/>
      <c r="D103" s="24"/>
      <c r="E103" s="24"/>
      <c r="F103" s="99">
        <v>392</v>
      </c>
      <c r="G103" s="134">
        <v>3467000</v>
      </c>
      <c r="H103" s="113">
        <f t="shared" si="10"/>
        <v>2.6360809300415903E-2</v>
      </c>
      <c r="I103" s="42">
        <f t="shared" si="11"/>
        <v>129202.45995981878</v>
      </c>
    </row>
    <row r="104" spans="1:9">
      <c r="A104" s="30"/>
      <c r="B104" s="24"/>
      <c r="C104" s="24"/>
      <c r="D104" s="24"/>
      <c r="E104" s="24"/>
      <c r="F104" s="99">
        <v>450</v>
      </c>
      <c r="G104" s="134">
        <v>963000</v>
      </c>
      <c r="H104" s="113">
        <f t="shared" si="10"/>
        <v>7.3220246196424909E-3</v>
      </c>
      <c r="I104" s="42">
        <f t="shared" si="11"/>
        <v>35887.501857890245</v>
      </c>
    </row>
    <row r="105" spans="1:9">
      <c r="A105" s="30"/>
      <c r="B105" s="24"/>
      <c r="C105" s="24"/>
      <c r="D105" s="24"/>
      <c r="E105" s="24"/>
      <c r="F105" s="99">
        <v>504</v>
      </c>
      <c r="G105" s="134">
        <v>2416000</v>
      </c>
      <c r="H105" s="113">
        <f t="shared" si="10"/>
        <v>1.8369690011481057E-2</v>
      </c>
      <c r="I105" s="42">
        <f t="shared" si="11"/>
        <v>90035.518679816028</v>
      </c>
    </row>
    <row r="106" spans="1:9">
      <c r="A106" s="30"/>
      <c r="B106" s="24"/>
      <c r="C106" s="24"/>
      <c r="D106" s="24"/>
      <c r="E106" s="24"/>
      <c r="F106" s="99">
        <v>540</v>
      </c>
      <c r="G106" s="134">
        <v>681000</v>
      </c>
      <c r="H106" s="113">
        <f t="shared" si="10"/>
        <v>5.1778803385010763E-3</v>
      </c>
      <c r="I106" s="42">
        <f t="shared" si="11"/>
        <v>25378.389164302451</v>
      </c>
    </row>
    <row r="107" spans="1:9">
      <c r="A107" s="30"/>
      <c r="B107" s="24"/>
      <c r="C107" s="24"/>
      <c r="D107" s="24"/>
      <c r="E107" s="24"/>
      <c r="F107" s="99">
        <v>579</v>
      </c>
      <c r="G107" s="134">
        <v>4384000</v>
      </c>
      <c r="H107" s="113">
        <f t="shared" si="10"/>
        <v>3.3333079888382841E-2</v>
      </c>
      <c r="I107" s="42">
        <f t="shared" si="11"/>
        <v>163375.70939251382</v>
      </c>
    </row>
    <row r="108" spans="1:9">
      <c r="A108" s="30"/>
      <c r="B108" s="24"/>
      <c r="C108" s="24"/>
      <c r="D108" s="24"/>
      <c r="E108" s="24"/>
      <c r="F108" s="99">
        <v>643</v>
      </c>
      <c r="G108" s="134">
        <v>1800000</v>
      </c>
      <c r="H108" s="113">
        <f t="shared" si="10"/>
        <v>1.3686027326434562E-2</v>
      </c>
      <c r="I108" s="42">
        <f t="shared" si="11"/>
        <v>67079.442725028493</v>
      </c>
    </row>
    <row r="109" spans="1:9">
      <c r="A109" s="30"/>
      <c r="B109" s="24"/>
      <c r="C109" s="24"/>
      <c r="D109" s="24"/>
      <c r="E109" s="24"/>
      <c r="F109" s="99">
        <v>710</v>
      </c>
      <c r="G109" s="134">
        <v>897000</v>
      </c>
      <c r="H109" s="113">
        <f t="shared" si="10"/>
        <v>6.8202036176732237E-3</v>
      </c>
      <c r="I109" s="42">
        <f t="shared" si="11"/>
        <v>33427.922291305869</v>
      </c>
    </row>
    <row r="110" spans="1:9">
      <c r="A110" s="90"/>
      <c r="B110" s="74"/>
      <c r="C110" s="74"/>
      <c r="D110" s="74"/>
      <c r="E110" s="74"/>
      <c r="F110" s="121" t="s">
        <v>107</v>
      </c>
      <c r="G110" s="132">
        <f>SUM(G98:G109)</f>
        <v>131521000</v>
      </c>
      <c r="H110" s="123"/>
      <c r="I110" s="47"/>
    </row>
    <row r="112" spans="1:9">
      <c r="A112" s="51" t="s">
        <v>403</v>
      </c>
    </row>
    <row r="113" spans="1:9" ht="32">
      <c r="A113" s="29" t="s">
        <v>0</v>
      </c>
      <c r="B113" s="17" t="s">
        <v>1</v>
      </c>
      <c r="C113" s="17" t="s">
        <v>145</v>
      </c>
      <c r="D113" s="17" t="s">
        <v>3</v>
      </c>
      <c r="E113" s="17"/>
      <c r="F113" s="48" t="s">
        <v>218</v>
      </c>
      <c r="G113" s="48" t="s">
        <v>143</v>
      </c>
      <c r="H113" s="48" t="s">
        <v>116</v>
      </c>
      <c r="I113" s="49" t="s">
        <v>178</v>
      </c>
    </row>
    <row r="114" spans="1:9" ht="48">
      <c r="A114" s="60" t="s">
        <v>404</v>
      </c>
      <c r="B114" s="50">
        <f>'[5]Weight%'!$B$82</f>
        <v>0.32</v>
      </c>
      <c r="C114" s="24" t="s">
        <v>634</v>
      </c>
      <c r="D114" s="67" t="s">
        <v>147</v>
      </c>
      <c r="E114" s="24"/>
      <c r="F114" s="99">
        <v>40</v>
      </c>
      <c r="G114" s="81">
        <f>[17]Production!$M$12</f>
        <v>1.8156550443914295E-2</v>
      </c>
      <c r="H114" s="113">
        <f>G114/$G$129</f>
        <v>1.9642328876528063E-2</v>
      </c>
      <c r="I114" s="42">
        <f>H114*$B$115</f>
        <v>45304.99502482661</v>
      </c>
    </row>
    <row r="115" spans="1:9">
      <c r="A115" s="60" t="s">
        <v>405</v>
      </c>
      <c r="B115" s="41">
        <f>B114*data_rawmat!B95</f>
        <v>2306498.1402976401</v>
      </c>
      <c r="C115" s="24" t="s">
        <v>8</v>
      </c>
      <c r="D115" s="24"/>
      <c r="E115" s="24"/>
      <c r="F115" s="99">
        <v>124</v>
      </c>
      <c r="G115" s="81">
        <f>[17]Production!$AM$12</f>
        <v>1.7441288483740186E-2</v>
      </c>
      <c r="H115" s="113">
        <f t="shared" ref="H115:H128" si="12">G115/$G$129</f>
        <v>1.8868535930670387E-2</v>
      </c>
      <c r="I115" s="42">
        <f t="shared" ref="I115:I128" si="13">H115*$B$115</f>
        <v>43520.243034230451</v>
      </c>
    </row>
    <row r="116" spans="1:9">
      <c r="A116" s="60" t="s">
        <v>406</v>
      </c>
      <c r="B116" s="41">
        <f>B114*data_rawmat!B98</f>
        <v>19257781.33494655</v>
      </c>
      <c r="C116" s="24" t="s">
        <v>8</v>
      </c>
      <c r="D116" s="24"/>
      <c r="E116" s="24"/>
      <c r="F116" s="99">
        <v>251</v>
      </c>
      <c r="G116" s="81">
        <f>[17]Production!$BW$12</f>
        <v>4.9971376610727328E-2</v>
      </c>
      <c r="H116" s="113">
        <f t="shared" si="12"/>
        <v>5.406061117351426E-2</v>
      </c>
      <c r="I116" s="42">
        <f t="shared" si="13"/>
        <v>124690.69913506447</v>
      </c>
    </row>
    <row r="117" spans="1:9">
      <c r="A117" s="30"/>
      <c r="B117" s="24"/>
      <c r="C117" s="24"/>
      <c r="D117" s="24"/>
      <c r="E117" s="24"/>
      <c r="F117" s="99">
        <v>276</v>
      </c>
      <c r="G117" s="81">
        <f>[17]Production!$CE$12</f>
        <v>0.16917714146719595</v>
      </c>
      <c r="H117" s="113">
        <f t="shared" si="12"/>
        <v>0.18302116700826226</v>
      </c>
      <c r="I117" s="42">
        <f t="shared" si="13"/>
        <v>422137.98133966071</v>
      </c>
    </row>
    <row r="118" spans="1:9">
      <c r="A118" s="30"/>
      <c r="B118" s="24"/>
      <c r="C118" s="24"/>
      <c r="D118" s="24"/>
      <c r="E118" s="24"/>
      <c r="F118" s="99">
        <v>360</v>
      </c>
      <c r="G118" s="81">
        <f>[17]Production!$CW$12</f>
        <v>3.2956017586664832E-2</v>
      </c>
      <c r="H118" s="113">
        <f t="shared" si="12"/>
        <v>3.5652859164934943E-2</v>
      </c>
      <c r="I118" s="42">
        <f t="shared" si="13"/>
        <v>82233.253360216113</v>
      </c>
    </row>
    <row r="119" spans="1:9">
      <c r="A119" s="30"/>
      <c r="B119" s="24"/>
      <c r="C119" s="24"/>
      <c r="D119" s="24"/>
      <c r="E119" s="24"/>
      <c r="F119" s="99">
        <v>372</v>
      </c>
      <c r="G119" s="81">
        <f>[17]Production!$CZ$12</f>
        <v>4.4077953741401041E-2</v>
      </c>
      <c r="H119" s="113">
        <f t="shared" si="12"/>
        <v>4.7684920451571036E-2</v>
      </c>
      <c r="I119" s="42">
        <f t="shared" si="13"/>
        <v>109985.1803417895</v>
      </c>
    </row>
    <row r="120" spans="1:9">
      <c r="A120" s="30"/>
      <c r="B120" s="24"/>
      <c r="C120" s="24"/>
      <c r="D120" s="24"/>
      <c r="E120" s="24"/>
      <c r="F120" s="99">
        <v>381</v>
      </c>
      <c r="G120" s="81">
        <f>[17]Production!$DB$12</f>
        <v>1.0377882964035235E-2</v>
      </c>
      <c r="H120" s="113">
        <f t="shared" si="12"/>
        <v>1.1227121079600387E-2</v>
      </c>
      <c r="I120" s="42">
        <f t="shared" si="13"/>
        <v>25895.333890994727</v>
      </c>
    </row>
    <row r="121" spans="1:9">
      <c r="A121" s="30"/>
      <c r="B121" s="24"/>
      <c r="C121" s="24"/>
      <c r="D121" s="24"/>
      <c r="E121" s="24"/>
      <c r="F121" s="99">
        <v>392</v>
      </c>
      <c r="G121" s="81">
        <f>[17]Production!$DE$12</f>
        <v>0.13916505947906724</v>
      </c>
      <c r="H121" s="113">
        <f t="shared" si="12"/>
        <v>0.1505531502172347</v>
      </c>
      <c r="I121" s="42">
        <f t="shared" si="13"/>
        <v>347250.56099200307</v>
      </c>
    </row>
    <row r="122" spans="1:9">
      <c r="A122" s="30"/>
      <c r="B122" s="24"/>
      <c r="C122" s="24"/>
      <c r="D122" s="24"/>
      <c r="E122" s="24"/>
      <c r="F122" s="99">
        <v>410</v>
      </c>
      <c r="G122" s="81">
        <f>[17]Production!$DJ$12</f>
        <v>0.11263465064617592</v>
      </c>
      <c r="H122" s="113">
        <f t="shared" si="12"/>
        <v>0.12185171724767714</v>
      </c>
      <c r="I122" s="42">
        <f t="shared" si="13"/>
        <v>281050.75922384119</v>
      </c>
    </row>
    <row r="123" spans="1:9">
      <c r="A123" s="30"/>
      <c r="B123" s="24"/>
      <c r="C123" s="24"/>
      <c r="D123" s="24"/>
      <c r="E123" s="24"/>
      <c r="F123" s="99">
        <v>528</v>
      </c>
      <c r="G123" s="81">
        <f>[17]Production!$EO$12</f>
        <v>2.0221514305110096E-2</v>
      </c>
      <c r="H123" s="113">
        <f t="shared" si="12"/>
        <v>2.1876271904695526E-2</v>
      </c>
      <c r="I123" s="42">
        <f t="shared" si="13"/>
        <v>50457.580464825747</v>
      </c>
    </row>
    <row r="124" spans="1:9">
      <c r="A124" s="30"/>
      <c r="B124" s="24"/>
      <c r="C124" s="24"/>
      <c r="D124" s="24"/>
      <c r="E124" s="24"/>
      <c r="F124" s="99">
        <v>643</v>
      </c>
      <c r="G124" s="81">
        <f>[17]Production!$FU$12</f>
        <v>1.0669410311701866E-2</v>
      </c>
      <c r="H124" s="113">
        <f t="shared" si="12"/>
        <v>1.1542504558255015E-2</v>
      </c>
      <c r="I124" s="42">
        <f t="shared" si="13"/>
        <v>26622.765297992228</v>
      </c>
    </row>
    <row r="125" spans="1:9">
      <c r="A125" s="30"/>
      <c r="B125" s="24"/>
      <c r="C125" s="24"/>
      <c r="D125" s="24"/>
      <c r="E125" s="24"/>
      <c r="F125" s="99">
        <v>702</v>
      </c>
      <c r="G125" s="81">
        <f>[17]Production!$GL$12</f>
        <v>1.773539800454824E-2</v>
      </c>
      <c r="H125" s="113">
        <f t="shared" si="12"/>
        <v>1.9186712885663849E-2</v>
      </c>
      <c r="I125" s="42">
        <f t="shared" si="13"/>
        <v>44254.117589208436</v>
      </c>
    </row>
    <row r="126" spans="1:9">
      <c r="A126" s="30"/>
      <c r="B126" s="24"/>
      <c r="C126" s="24"/>
      <c r="D126" s="24"/>
      <c r="E126" s="24"/>
      <c r="F126" s="99">
        <v>788</v>
      </c>
      <c r="G126" s="81">
        <f>[17]Production!$HI$12</f>
        <v>1.0906066480113264E-2</v>
      </c>
      <c r="H126" s="113">
        <f t="shared" si="12"/>
        <v>1.1798526664709369E-2</v>
      </c>
      <c r="I126" s="42">
        <f t="shared" si="13"/>
        <v>27213.279810404278</v>
      </c>
    </row>
    <row r="127" spans="1:9">
      <c r="A127" s="30"/>
      <c r="B127" s="24"/>
      <c r="C127" s="24"/>
      <c r="D127" s="24"/>
      <c r="E127" s="24"/>
      <c r="F127" s="99">
        <v>826</v>
      </c>
      <c r="G127" s="81">
        <f>[17]Production!$HR$12</f>
        <v>0.10611079020437125</v>
      </c>
      <c r="H127" s="113">
        <f t="shared" si="12"/>
        <v>0.114793999277607</v>
      </c>
      <c r="I127" s="42">
        <f t="shared" si="13"/>
        <v>264772.1458511292</v>
      </c>
    </row>
    <row r="128" spans="1:9">
      <c r="A128" s="30"/>
      <c r="B128" s="24"/>
      <c r="C128" s="24"/>
      <c r="D128" s="24"/>
      <c r="E128" s="24"/>
      <c r="F128" s="99">
        <v>842</v>
      </c>
      <c r="G128" s="81">
        <f>[17]Production!$HT$12</f>
        <v>0.16475723570102258</v>
      </c>
      <c r="H128" s="113">
        <f t="shared" si="12"/>
        <v>0.17823957355907602</v>
      </c>
      <c r="I128" s="42">
        <f t="shared" si="13"/>
        <v>411109.24494145327</v>
      </c>
    </row>
    <row r="129" spans="1:9">
      <c r="A129" s="90"/>
      <c r="B129" s="74"/>
      <c r="C129" s="74"/>
      <c r="D129" s="74"/>
      <c r="E129" s="74"/>
      <c r="F129" s="74" t="s">
        <v>107</v>
      </c>
      <c r="G129" s="91">
        <f>SUM(G114:G128)</f>
        <v>0.92435833642978937</v>
      </c>
      <c r="H129" s="123"/>
      <c r="I129" s="47"/>
    </row>
    <row r="131" spans="1:9">
      <c r="A131" s="51" t="s">
        <v>378</v>
      </c>
    </row>
    <row r="132" spans="1:9" ht="32">
      <c r="A132" s="29" t="s">
        <v>0</v>
      </c>
      <c r="B132" s="17" t="s">
        <v>1</v>
      </c>
      <c r="C132" s="17" t="s">
        <v>145</v>
      </c>
      <c r="D132" s="17" t="s">
        <v>3</v>
      </c>
      <c r="E132" s="17"/>
      <c r="F132" s="48" t="s">
        <v>242</v>
      </c>
      <c r="G132" s="48" t="s">
        <v>635</v>
      </c>
      <c r="H132" s="48" t="s">
        <v>116</v>
      </c>
      <c r="I132" s="49" t="s">
        <v>178</v>
      </c>
    </row>
    <row r="133" spans="1:9" ht="48">
      <c r="A133" s="60" t="s">
        <v>407</v>
      </c>
      <c r="B133" s="50">
        <f>'[5]Weight%'!$B$83</f>
        <v>0.66999999999999993</v>
      </c>
      <c r="C133" s="24" t="s">
        <v>634</v>
      </c>
      <c r="D133" s="67" t="s">
        <v>147</v>
      </c>
      <c r="E133" s="24"/>
      <c r="F133" s="99">
        <v>76</v>
      </c>
      <c r="G133" s="134">
        <v>20000000</v>
      </c>
      <c r="H133" s="113">
        <f t="shared" ref="H133:H138" si="14">G133/$G$139</f>
        <v>2.1146231477222867E-2</v>
      </c>
      <c r="I133" s="42">
        <f t="shared" ref="I133:I138" si="15">H133*$B$134</f>
        <v>415468.33020772599</v>
      </c>
    </row>
    <row r="134" spans="1:9">
      <c r="A134" s="60" t="s">
        <v>408</v>
      </c>
      <c r="B134" s="41">
        <f>B133*data_rawmat!B169</f>
        <v>19647393.468440808</v>
      </c>
      <c r="C134" s="24" t="s">
        <v>8</v>
      </c>
      <c r="D134" s="24"/>
      <c r="E134" s="24"/>
      <c r="F134" s="99">
        <v>156</v>
      </c>
      <c r="G134" s="119">
        <v>858000000</v>
      </c>
      <c r="H134" s="113">
        <f t="shared" si="14"/>
        <v>0.90717333037286096</v>
      </c>
      <c r="I134" s="42">
        <f t="shared" si="15"/>
        <v>17823591.365911443</v>
      </c>
    </row>
    <row r="135" spans="1:9">
      <c r="A135" s="60" t="s">
        <v>409</v>
      </c>
      <c r="B135" s="41">
        <f>B133*data_rawmat!B172</f>
        <v>131908581.50222135</v>
      </c>
      <c r="C135" s="24" t="s">
        <v>8</v>
      </c>
      <c r="D135" s="24"/>
      <c r="E135" s="24"/>
      <c r="F135" s="99">
        <v>376</v>
      </c>
      <c r="G135" s="119">
        <v>18500000</v>
      </c>
      <c r="H135" s="113">
        <f t="shared" si="14"/>
        <v>1.956026411643115E-2</v>
      </c>
      <c r="I135" s="42">
        <f t="shared" si="15"/>
        <v>384308.20544214651</v>
      </c>
    </row>
    <row r="136" spans="1:9">
      <c r="A136" s="30"/>
      <c r="B136" s="24"/>
      <c r="C136" s="24"/>
      <c r="D136" s="24"/>
      <c r="E136" s="24"/>
      <c r="F136" s="99">
        <v>643</v>
      </c>
      <c r="G136" s="119">
        <v>12795000</v>
      </c>
      <c r="H136" s="113">
        <f t="shared" si="14"/>
        <v>1.3528301587553328E-2</v>
      </c>
      <c r="I136" s="42">
        <f t="shared" si="15"/>
        <v>265795.86425039271</v>
      </c>
    </row>
    <row r="137" spans="1:9">
      <c r="A137" s="30"/>
      <c r="B137" s="24"/>
      <c r="C137" s="24"/>
      <c r="D137" s="24"/>
      <c r="E137" s="24"/>
      <c r="F137" s="99">
        <v>792</v>
      </c>
      <c r="G137" s="119">
        <v>4500000</v>
      </c>
      <c r="H137" s="113">
        <f t="shared" si="14"/>
        <v>4.7579020823751445E-3</v>
      </c>
      <c r="I137" s="42">
        <f t="shared" si="15"/>
        <v>93480.37429673833</v>
      </c>
    </row>
    <row r="138" spans="1:9">
      <c r="A138" s="30"/>
      <c r="B138" s="24"/>
      <c r="C138" s="24"/>
      <c r="D138" s="24"/>
      <c r="E138" s="24"/>
      <c r="F138" s="99">
        <v>842</v>
      </c>
      <c r="G138" s="119">
        <v>32000000</v>
      </c>
      <c r="H138" s="113">
        <f t="shared" si="14"/>
        <v>3.3833970363556586E-2</v>
      </c>
      <c r="I138" s="42">
        <f t="shared" si="15"/>
        <v>664749.32833236153</v>
      </c>
    </row>
    <row r="139" spans="1:9">
      <c r="A139" s="90"/>
      <c r="B139" s="74"/>
      <c r="C139" s="74"/>
      <c r="D139" s="74"/>
      <c r="E139" s="74"/>
      <c r="F139" s="121" t="s">
        <v>107</v>
      </c>
      <c r="G139" s="135">
        <f>SUM(G133:G138)</f>
        <v>945795000</v>
      </c>
      <c r="H139" s="123"/>
      <c r="I139" s="47"/>
    </row>
    <row r="141" spans="1:9">
      <c r="A141" s="51" t="s">
        <v>410</v>
      </c>
    </row>
    <row r="142" spans="1:9" ht="32">
      <c r="A142" s="29" t="s">
        <v>0</v>
      </c>
      <c r="B142" s="17" t="s">
        <v>1</v>
      </c>
      <c r="C142" s="17" t="s">
        <v>145</v>
      </c>
      <c r="D142" s="17" t="s">
        <v>3</v>
      </c>
      <c r="E142" s="17"/>
      <c r="F142" s="48" t="s">
        <v>218</v>
      </c>
      <c r="G142" s="48" t="s">
        <v>143</v>
      </c>
      <c r="H142" s="48" t="s">
        <v>116</v>
      </c>
      <c r="I142" s="49" t="s">
        <v>178</v>
      </c>
    </row>
    <row r="143" spans="1:9" ht="48">
      <c r="A143" s="60" t="s">
        <v>411</v>
      </c>
      <c r="B143" s="50">
        <f>'[5]Weight%'!$B$84</f>
        <v>0.33</v>
      </c>
      <c r="C143" s="24" t="s">
        <v>634</v>
      </c>
      <c r="D143" s="67" t="s">
        <v>147</v>
      </c>
      <c r="E143" s="24"/>
      <c r="F143" s="99">
        <v>40</v>
      </c>
      <c r="G143" s="81">
        <f>[23]Production!$M$11</f>
        <v>4.3291342081859814E-2</v>
      </c>
      <c r="H143" s="113">
        <f>G143/$G$158</f>
        <v>4.8204987735168972E-2</v>
      </c>
      <c r="I143" s="136">
        <f>H143*$B$144</f>
        <v>466483.25251864968</v>
      </c>
    </row>
    <row r="144" spans="1:9">
      <c r="A144" s="60" t="s">
        <v>412</v>
      </c>
      <c r="B144" s="41">
        <f>B143*data_rawmat!B169</f>
        <v>9677074.3949036822</v>
      </c>
      <c r="C144" s="24" t="s">
        <v>8</v>
      </c>
      <c r="D144" s="24"/>
      <c r="E144" s="24"/>
      <c r="F144" s="99">
        <v>124</v>
      </c>
      <c r="G144" s="81">
        <f>[23]Production!$AM$11</f>
        <v>0.12172224382110139</v>
      </c>
      <c r="H144" s="113">
        <f t="shared" ref="H144:H157" si="16">G144/$G$158</f>
        <v>0.13553793872683201</v>
      </c>
      <c r="I144" s="136">
        <f t="shared" ref="I144:I157" si="17">H144*$B$144</f>
        <v>1311610.7163914503</v>
      </c>
    </row>
    <row r="145" spans="1:9">
      <c r="A145" s="60" t="s">
        <v>413</v>
      </c>
      <c r="B145" s="41">
        <f>B143*data_rawmat!B172</f>
        <v>64969898.351840369</v>
      </c>
      <c r="C145" s="24" t="s">
        <v>8</v>
      </c>
      <c r="D145" s="24"/>
      <c r="E145" s="24"/>
      <c r="F145" s="99">
        <v>156</v>
      </c>
      <c r="G145" s="81">
        <f>[23]Production!$AT$11</f>
        <v>7.7634986013017437E-2</v>
      </c>
      <c r="H145" s="113">
        <f t="shared" si="16"/>
        <v>8.6446697390462277E-2</v>
      </c>
      <c r="I145" s="136">
        <f t="shared" si="17"/>
        <v>836551.1218412295</v>
      </c>
    </row>
    <row r="146" spans="1:9">
      <c r="A146" s="30"/>
      <c r="B146" s="24"/>
      <c r="C146" s="24"/>
      <c r="D146" s="24"/>
      <c r="E146" s="24"/>
      <c r="F146" s="99">
        <v>276</v>
      </c>
      <c r="G146" s="81">
        <f>[23]Production!$CE$11</f>
        <v>7.1219089463745874E-2</v>
      </c>
      <c r="H146" s="113">
        <f t="shared" si="16"/>
        <v>7.9302584974567825E-2</v>
      </c>
      <c r="I146" s="136">
        <f t="shared" si="17"/>
        <v>767417.01450706378</v>
      </c>
    </row>
    <row r="147" spans="1:9">
      <c r="A147" s="30"/>
      <c r="B147" s="24"/>
      <c r="C147" s="24"/>
      <c r="D147" s="24"/>
      <c r="E147" s="24"/>
      <c r="F147" s="99">
        <v>381</v>
      </c>
      <c r="G147" s="81">
        <f>[23]Production!$DB$11</f>
        <v>1.791939423076409E-2</v>
      </c>
      <c r="H147" s="113">
        <f t="shared" si="16"/>
        <v>1.9953277897512833E-2</v>
      </c>
      <c r="I147" s="136">
        <f t="shared" si="17"/>
        <v>193089.35463641901</v>
      </c>
    </row>
    <row r="148" spans="1:9">
      <c r="A148" s="30"/>
      <c r="B148" s="24"/>
      <c r="C148" s="24"/>
      <c r="D148" s="24"/>
      <c r="E148" s="24"/>
      <c r="F148" s="99">
        <v>410</v>
      </c>
      <c r="G148" s="81">
        <f>[23]Production!$DJ$11</f>
        <v>1.0279322528427184E-2</v>
      </c>
      <c r="H148" s="113">
        <f t="shared" si="16"/>
        <v>1.1446044233780222E-2</v>
      </c>
      <c r="I148" s="136">
        <f t="shared" si="17"/>
        <v>110764.22157764951</v>
      </c>
    </row>
    <row r="149" spans="1:9">
      <c r="A149" s="30"/>
      <c r="B149" s="24"/>
      <c r="C149" s="24"/>
      <c r="D149" s="24"/>
      <c r="E149" s="24"/>
      <c r="F149" s="99">
        <v>484</v>
      </c>
      <c r="G149" s="81">
        <f>[23]Production!$ED$11</f>
        <v>5.7595177525852255E-2</v>
      </c>
      <c r="H149" s="113">
        <f t="shared" si="16"/>
        <v>6.4132334381981668E-2</v>
      </c>
      <c r="I149" s="136">
        <f t="shared" si="17"/>
        <v>620613.3709332759</v>
      </c>
    </row>
    <row r="150" spans="1:9">
      <c r="A150" s="30"/>
      <c r="B150" s="24"/>
      <c r="C150" s="24"/>
      <c r="D150" s="24"/>
      <c r="E150" s="24"/>
      <c r="F150" s="99">
        <v>528</v>
      </c>
      <c r="G150" s="81">
        <f>[23]Production!$EO$11</f>
        <v>1.7202210429887808E-2</v>
      </c>
      <c r="H150" s="113">
        <f t="shared" si="16"/>
        <v>1.9154692437636563E-2</v>
      </c>
      <c r="I150" s="136">
        <f t="shared" si="17"/>
        <v>185361.38373050798</v>
      </c>
    </row>
    <row r="151" spans="1:9">
      <c r="A151" s="30"/>
      <c r="B151" s="24"/>
      <c r="C151" s="24"/>
      <c r="D151" s="24"/>
      <c r="E151" s="24"/>
      <c r="F151" s="99">
        <v>554</v>
      </c>
      <c r="G151" s="81">
        <f>[23]Production!$EV$11</f>
        <v>0.35071243769228422</v>
      </c>
      <c r="H151" s="113">
        <f t="shared" si="16"/>
        <v>0.39051893391431403</v>
      </c>
      <c r="I151" s="136">
        <f t="shared" si="17"/>
        <v>3779080.7761072912</v>
      </c>
    </row>
    <row r="152" spans="1:9">
      <c r="A152" s="30"/>
      <c r="B152" s="24"/>
      <c r="C152" s="24"/>
      <c r="D152" s="24"/>
      <c r="E152" s="24"/>
      <c r="F152" s="99">
        <v>616</v>
      </c>
      <c r="G152" s="81">
        <f>[23]Production!$FO$11</f>
        <v>2.3496539752603407E-2</v>
      </c>
      <c r="H152" s="113">
        <f t="shared" si="16"/>
        <v>2.6163439526809384E-2</v>
      </c>
      <c r="I152" s="136">
        <f t="shared" si="17"/>
        <v>253185.55072749802</v>
      </c>
    </row>
    <row r="153" spans="1:9">
      <c r="A153" s="30"/>
      <c r="B153" s="24"/>
      <c r="C153" s="24"/>
      <c r="D153" s="24"/>
      <c r="E153" s="24"/>
      <c r="F153" s="99">
        <v>642</v>
      </c>
      <c r="G153" s="81">
        <f>[23]Production!$FT$11</f>
        <v>1.0691351600815635E-2</v>
      </c>
      <c r="H153" s="113">
        <f t="shared" si="16"/>
        <v>1.1904839351368893E-2</v>
      </c>
      <c r="I153" s="136">
        <f t="shared" si="17"/>
        <v>115204.01606257368</v>
      </c>
    </row>
    <row r="154" spans="1:9">
      <c r="A154" s="30"/>
      <c r="B154" s="24"/>
      <c r="C154" s="24"/>
      <c r="D154" s="24"/>
      <c r="E154" s="24"/>
      <c r="F154" s="99">
        <v>699</v>
      </c>
      <c r="G154" s="81">
        <f>[23]Production!$GK$11</f>
        <v>1.3811430019898896E-2</v>
      </c>
      <c r="H154" s="113">
        <f t="shared" si="16"/>
        <v>1.5379052316175472E-2</v>
      </c>
      <c r="I154" s="136">
        <f t="shared" si="17"/>
        <v>148824.23338674582</v>
      </c>
    </row>
    <row r="155" spans="1:9">
      <c r="A155" s="30"/>
      <c r="B155" s="24"/>
      <c r="C155" s="24"/>
      <c r="D155" s="24"/>
      <c r="E155" s="24"/>
      <c r="F155" s="99">
        <v>724</v>
      </c>
      <c r="G155" s="81">
        <f>[23]Production!$GS$11</f>
        <v>2.6161205655971031E-2</v>
      </c>
      <c r="H155" s="113">
        <f t="shared" si="16"/>
        <v>2.9130549831388811E-2</v>
      </c>
      <c r="I155" s="136">
        <f t="shared" si="17"/>
        <v>281898.49788279843</v>
      </c>
    </row>
    <row r="156" spans="1:9">
      <c r="A156" s="30"/>
      <c r="B156" s="24"/>
      <c r="C156" s="24"/>
      <c r="D156" s="24"/>
      <c r="E156" s="24"/>
      <c r="F156" s="99">
        <v>757</v>
      </c>
      <c r="G156" s="81">
        <f>[23]Production!$GZ$11</f>
        <v>3.014745557776051E-2</v>
      </c>
      <c r="H156" s="113">
        <f t="shared" si="16"/>
        <v>3.3569246331622719E-2</v>
      </c>
      <c r="I156" s="136">
        <f t="shared" si="17"/>
        <v>324852.09413196059</v>
      </c>
    </row>
    <row r="157" spans="1:9">
      <c r="A157" s="30"/>
      <c r="B157" s="24"/>
      <c r="C157" s="24"/>
      <c r="D157" s="24"/>
      <c r="E157" s="24"/>
      <c r="F157" s="99">
        <v>842</v>
      </c>
      <c r="G157" s="81">
        <f>[23]Production!$HT$11</f>
        <v>2.6183505681693604E-2</v>
      </c>
      <c r="H157" s="113">
        <f t="shared" si="16"/>
        <v>2.915538095037833E-2</v>
      </c>
      <c r="I157" s="136">
        <f t="shared" si="17"/>
        <v>282138.79046856874</v>
      </c>
    </row>
    <row r="158" spans="1:9">
      <c r="A158" s="90"/>
      <c r="B158" s="74"/>
      <c r="C158" s="74"/>
      <c r="D158" s="74"/>
      <c r="E158" s="74"/>
      <c r="F158" s="74" t="s">
        <v>107</v>
      </c>
      <c r="G158" s="91">
        <f>SUM(G143:G157)</f>
        <v>0.89806769207568315</v>
      </c>
      <c r="H158" s="123"/>
      <c r="I158" s="47"/>
    </row>
    <row r="160" spans="1:9">
      <c r="A160" s="51" t="s">
        <v>414</v>
      </c>
    </row>
    <row r="161" spans="1:9" ht="32">
      <c r="A161" s="29" t="s">
        <v>0</v>
      </c>
      <c r="B161" s="17" t="s">
        <v>1</v>
      </c>
      <c r="C161" s="17" t="s">
        <v>145</v>
      </c>
      <c r="D161" s="17" t="s">
        <v>3</v>
      </c>
      <c r="E161" s="17"/>
      <c r="F161" s="48" t="s">
        <v>218</v>
      </c>
      <c r="G161" s="48" t="s">
        <v>143</v>
      </c>
      <c r="H161" s="48" t="s">
        <v>116</v>
      </c>
      <c r="I161" s="49" t="s">
        <v>178</v>
      </c>
    </row>
    <row r="162" spans="1:9" ht="48">
      <c r="A162" s="60" t="s">
        <v>415</v>
      </c>
      <c r="B162" s="50">
        <f>'[5]Weight%'!$B$85</f>
        <v>0.48</v>
      </c>
      <c r="C162" s="24" t="s">
        <v>634</v>
      </c>
      <c r="D162" s="67" t="s">
        <v>147</v>
      </c>
      <c r="E162" s="24"/>
      <c r="F162" s="99">
        <v>36</v>
      </c>
      <c r="G162" s="81">
        <f>[27]Production!$L$6</f>
        <v>1.2457546172480056E-2</v>
      </c>
      <c r="H162" s="113">
        <f>G162/$G$177</f>
        <v>1.3418068196185124E-2</v>
      </c>
      <c r="I162" s="42">
        <f>H162*$B$163</f>
        <v>135993.34188059979</v>
      </c>
    </row>
    <row r="163" spans="1:9">
      <c r="A163" s="60" t="s">
        <v>416</v>
      </c>
      <c r="B163" s="41">
        <f>B162*data_rawmat!B236</f>
        <v>10135090.975261545</v>
      </c>
      <c r="C163" s="24" t="s">
        <v>8</v>
      </c>
      <c r="D163" s="24"/>
      <c r="E163" s="24"/>
      <c r="F163" s="99">
        <v>56</v>
      </c>
      <c r="G163" s="81">
        <f>[27]Production!$S$6</f>
        <v>2.8764036922467262E-2</v>
      </c>
      <c r="H163" s="113">
        <f t="shared" ref="H163:H176" si="18">G163/$G$177</f>
        <v>3.0981848566282767E-2</v>
      </c>
      <c r="I163" s="42">
        <f t="shared" ref="I163:I176" si="19">H163*$B$163</f>
        <v>314003.85380105232</v>
      </c>
    </row>
    <row r="164" spans="1:9">
      <c r="A164" s="60" t="s">
        <v>417</v>
      </c>
      <c r="B164" s="41">
        <f>B162*data_rawmat!B239</f>
        <v>54674152.588909417</v>
      </c>
      <c r="C164" s="24" t="s">
        <v>8</v>
      </c>
      <c r="D164" s="24"/>
      <c r="E164" s="24"/>
      <c r="F164" s="99">
        <v>124</v>
      </c>
      <c r="G164" s="81">
        <f>[27]Production!$AM$6</f>
        <v>2.5129739846842608E-2</v>
      </c>
      <c r="H164" s="113">
        <f t="shared" si="18"/>
        <v>2.7067333995696226E-2</v>
      </c>
      <c r="I164" s="42">
        <f t="shared" si="19"/>
        <v>274329.89250417083</v>
      </c>
    </row>
    <row r="165" spans="1:9">
      <c r="A165" s="30"/>
      <c r="B165" s="24"/>
      <c r="C165" s="24"/>
      <c r="D165" s="24"/>
      <c r="E165" s="24"/>
      <c r="F165" s="99">
        <v>156</v>
      </c>
      <c r="G165" s="81">
        <f>[27]Production!$AT$6</f>
        <v>0.41862088881756837</v>
      </c>
      <c r="H165" s="113">
        <f t="shared" si="18"/>
        <v>0.45089807870112114</v>
      </c>
      <c r="I165" s="42">
        <f t="shared" si="19"/>
        <v>4569893.0482065026</v>
      </c>
    </row>
    <row r="166" spans="1:9">
      <c r="A166" s="30"/>
      <c r="B166" s="24"/>
      <c r="C166" s="24"/>
      <c r="D166" s="24"/>
      <c r="E166" s="24"/>
      <c r="F166" s="99">
        <v>203</v>
      </c>
      <c r="G166" s="81">
        <f>[27]Production!$BG$6</f>
        <v>2.1058293097808135E-2</v>
      </c>
      <c r="H166" s="113">
        <f t="shared" si="18"/>
        <v>2.2681963925275304E-2</v>
      </c>
      <c r="I166" s="42">
        <f t="shared" si="19"/>
        <v>229883.76788026566</v>
      </c>
    </row>
    <row r="167" spans="1:9">
      <c r="A167" s="30"/>
      <c r="B167" s="24"/>
      <c r="C167" s="24"/>
      <c r="D167" s="24"/>
      <c r="E167" s="24"/>
      <c r="F167" s="99">
        <v>251</v>
      </c>
      <c r="G167" s="81">
        <f>[27]Production!$BW$6</f>
        <v>7.8600070493052537E-2</v>
      </c>
      <c r="H167" s="113">
        <f t="shared" si="18"/>
        <v>8.4660421201615696E-2</v>
      </c>
      <c r="I167" s="42">
        <f t="shared" si="19"/>
        <v>858041.07088233635</v>
      </c>
    </row>
    <row r="168" spans="1:9">
      <c r="A168" s="30"/>
      <c r="B168" s="24"/>
      <c r="C168" s="24"/>
      <c r="D168" s="24"/>
      <c r="E168" s="24"/>
      <c r="F168" s="99">
        <v>276</v>
      </c>
      <c r="G168" s="81">
        <f>[27]Production!$CE$6</f>
        <v>0.10481710441847793</v>
      </c>
      <c r="H168" s="113">
        <f t="shared" si="18"/>
        <v>0.1128988835956125</v>
      </c>
      <c r="I168" s="42">
        <f t="shared" si="19"/>
        <v>1144240.4562469958</v>
      </c>
    </row>
    <row r="169" spans="1:9">
      <c r="A169" s="30"/>
      <c r="B169" s="24"/>
      <c r="C169" s="24"/>
      <c r="D169" s="24"/>
      <c r="E169" s="24"/>
      <c r="F169" s="99">
        <v>392</v>
      </c>
      <c r="G169" s="81">
        <f>[27]Production!$DE$6</f>
        <v>4.1096389769985184E-2</v>
      </c>
      <c r="H169" s="113">
        <f t="shared" si="18"/>
        <v>4.4265070577770613E-2</v>
      </c>
      <c r="I169" s="42">
        <f t="shared" si="19"/>
        <v>448630.51733207825</v>
      </c>
    </row>
    <row r="170" spans="1:9">
      <c r="A170" s="30"/>
      <c r="B170" s="24"/>
      <c r="C170" s="24"/>
      <c r="D170" s="24"/>
      <c r="E170" s="24"/>
      <c r="F170" s="99">
        <v>410</v>
      </c>
      <c r="G170" s="81">
        <f>[27]Production!$DJ$6</f>
        <v>7.625076206943604E-2</v>
      </c>
      <c r="H170" s="113">
        <f t="shared" si="18"/>
        <v>8.2129972571885063E-2</v>
      </c>
      <c r="I170" s="42">
        <f t="shared" si="19"/>
        <v>832394.74381179048</v>
      </c>
    </row>
    <row r="171" spans="1:9">
      <c r="A171" s="30"/>
      <c r="B171" s="24"/>
      <c r="C171" s="24"/>
      <c r="D171" s="24"/>
      <c r="E171" s="24"/>
      <c r="F171" s="99">
        <v>528</v>
      </c>
      <c r="G171" s="81">
        <f>[27]Production!$EO$6</f>
        <v>1.4143484018390903E-2</v>
      </c>
      <c r="H171" s="113">
        <f t="shared" si="18"/>
        <v>1.5233997969011129E-2</v>
      </c>
      <c r="I171" s="42">
        <f t="shared" si="19"/>
        <v>154397.95533287741</v>
      </c>
    </row>
    <row r="172" spans="1:9">
      <c r="A172" s="30"/>
      <c r="B172" s="24"/>
      <c r="C172" s="24"/>
      <c r="D172" s="24"/>
      <c r="E172" s="24"/>
      <c r="F172" s="99">
        <v>579</v>
      </c>
      <c r="G172" s="81">
        <f>[27]Production!$FB$6</f>
        <v>1.5972811706888471E-2</v>
      </c>
      <c r="H172" s="113">
        <f t="shared" si="18"/>
        <v>1.7204373461710862E-2</v>
      </c>
      <c r="I172" s="42">
        <f t="shared" si="19"/>
        <v>174367.89020681498</v>
      </c>
    </row>
    <row r="173" spans="1:9">
      <c r="A173" s="30"/>
      <c r="B173" s="24"/>
      <c r="C173" s="24"/>
      <c r="D173" s="24"/>
      <c r="E173" s="24"/>
      <c r="F173" s="99">
        <v>699</v>
      </c>
      <c r="G173" s="81">
        <f>[27]Production!$GK$6</f>
        <v>2.2784214341241976E-2</v>
      </c>
      <c r="H173" s="113">
        <f t="shared" si="18"/>
        <v>2.4540959960690317E-2</v>
      </c>
      <c r="I173" s="42">
        <f t="shared" si="19"/>
        <v>248724.86182184736</v>
      </c>
    </row>
    <row r="174" spans="1:9">
      <c r="A174" s="30"/>
      <c r="B174" s="24"/>
      <c r="C174" s="24"/>
      <c r="D174" s="24"/>
      <c r="E174" s="24"/>
      <c r="F174" s="99">
        <v>704</v>
      </c>
      <c r="G174" s="81">
        <f>[27]Production!$GN$6</f>
        <v>1.6551349445483188E-2</v>
      </c>
      <c r="H174" s="113">
        <f t="shared" si="18"/>
        <v>1.7827518559714157E-2</v>
      </c>
      <c r="I174" s="42">
        <f t="shared" si="19"/>
        <v>180683.52246586664</v>
      </c>
    </row>
    <row r="175" spans="1:9">
      <c r="A175" s="30"/>
      <c r="B175" s="24"/>
      <c r="C175" s="24"/>
      <c r="D175" s="24"/>
      <c r="E175" s="24"/>
      <c r="F175" s="99">
        <v>826</v>
      </c>
      <c r="G175" s="81">
        <f>[27]Production!$HR$6</f>
        <v>2.3859469674368101E-2</v>
      </c>
      <c r="H175" s="113">
        <f t="shared" si="18"/>
        <v>2.5699121382565727E-2</v>
      </c>
      <c r="I175" s="42">
        <f t="shared" si="19"/>
        <v>260462.9331965929</v>
      </c>
    </row>
    <row r="176" spans="1:9">
      <c r="A176" s="30"/>
      <c r="B176" s="24"/>
      <c r="C176" s="24"/>
      <c r="D176" s="24"/>
      <c r="E176" s="24"/>
      <c r="F176" s="99">
        <v>842</v>
      </c>
      <c r="G176" s="81">
        <f>[27]Production!$HT$6</f>
        <v>2.8309613394363557E-2</v>
      </c>
      <c r="H176" s="113">
        <f t="shared" si="18"/>
        <v>3.0492387334863331E-2</v>
      </c>
      <c r="I176" s="42">
        <f t="shared" si="19"/>
        <v>309043.11969175277</v>
      </c>
    </row>
    <row r="177" spans="1:9">
      <c r="A177" s="90"/>
      <c r="B177" s="74"/>
      <c r="C177" s="74"/>
      <c r="D177" s="74"/>
      <c r="E177" s="74"/>
      <c r="F177" s="74" t="s">
        <v>107</v>
      </c>
      <c r="G177" s="91">
        <f>SUM(G162:G176)</f>
        <v>0.92841577418885435</v>
      </c>
      <c r="H177" s="123"/>
      <c r="I177" s="47"/>
    </row>
    <row r="179" spans="1:9">
      <c r="A179" s="51" t="s">
        <v>418</v>
      </c>
    </row>
    <row r="180" spans="1:9" ht="32">
      <c r="A180" s="29" t="s">
        <v>0</v>
      </c>
      <c r="B180" s="17" t="s">
        <v>1</v>
      </c>
      <c r="C180" s="17" t="s">
        <v>145</v>
      </c>
      <c r="D180" s="17" t="s">
        <v>3</v>
      </c>
      <c r="E180" s="17"/>
      <c r="F180" s="48" t="s">
        <v>218</v>
      </c>
      <c r="G180" s="48" t="s">
        <v>143</v>
      </c>
      <c r="H180" s="48" t="s">
        <v>116</v>
      </c>
      <c r="I180" s="49" t="s">
        <v>178</v>
      </c>
    </row>
    <row r="181" spans="1:9" ht="48">
      <c r="A181" s="60" t="s">
        <v>419</v>
      </c>
      <c r="B181" s="50">
        <f>'[5]Weight%'!$B$86</f>
        <v>0.52</v>
      </c>
      <c r="C181" s="24" t="s">
        <v>634</v>
      </c>
      <c r="D181" s="67" t="s">
        <v>147</v>
      </c>
      <c r="E181" s="24"/>
      <c r="F181" s="99">
        <v>56</v>
      </c>
      <c r="G181" s="81">
        <f>[27]Production!$S$9</f>
        <v>1.1101754357089185E-2</v>
      </c>
      <c r="H181" s="113">
        <f>G181/$G$201</f>
        <v>1.2086139825123188E-2</v>
      </c>
      <c r="I181" s="42">
        <f>H181*$B$182</f>
        <v>132701.97055630144</v>
      </c>
    </row>
    <row r="182" spans="1:9">
      <c r="A182" s="60" t="s">
        <v>420</v>
      </c>
      <c r="B182" s="41">
        <f>B181*data_rawmat!B236</f>
        <v>10979681.889866674</v>
      </c>
      <c r="C182" s="24" t="s">
        <v>8</v>
      </c>
      <c r="D182" s="24"/>
      <c r="E182" s="24"/>
      <c r="F182" s="99">
        <v>124</v>
      </c>
      <c r="G182" s="81">
        <f>[27]Production!$AM$9</f>
        <v>2.6410202276808972E-2</v>
      </c>
      <c r="H182" s="113">
        <f t="shared" ref="H182:H200" si="20">G182/$G$201</f>
        <v>2.875197804421532E-2</v>
      </c>
      <c r="I182" s="42">
        <f t="shared" ref="I182:I200" si="21">H182*$B$182</f>
        <v>315687.5726299152</v>
      </c>
    </row>
    <row r="183" spans="1:9">
      <c r="A183" s="60" t="s">
        <v>421</v>
      </c>
      <c r="B183" s="41">
        <f>B181*data_rawmat!B239</f>
        <v>59230331.971318543</v>
      </c>
      <c r="C183" s="24" t="s">
        <v>8</v>
      </c>
      <c r="D183" s="24"/>
      <c r="E183" s="24"/>
      <c r="F183" s="99">
        <v>233</v>
      </c>
      <c r="G183" s="81">
        <f>[27]Production!$BQ$9</f>
        <v>4.973230117486787E-2</v>
      </c>
      <c r="H183" s="113">
        <f t="shared" si="20"/>
        <v>5.4142032555491409E-2</v>
      </c>
      <c r="I183" s="42">
        <f t="shared" si="21"/>
        <v>594462.29433010088</v>
      </c>
    </row>
    <row r="184" spans="1:9">
      <c r="A184" s="30"/>
      <c r="B184" s="24"/>
      <c r="C184" s="24"/>
      <c r="D184" s="24"/>
      <c r="E184" s="24"/>
      <c r="F184" s="99">
        <v>251</v>
      </c>
      <c r="G184" s="81">
        <f>[27]Production!$BW$9</f>
        <v>6.977434168087325E-2</v>
      </c>
      <c r="H184" s="113">
        <f t="shared" si="20"/>
        <v>7.596118799209893E-2</v>
      </c>
      <c r="I184" s="42">
        <f t="shared" si="21"/>
        <v>834029.68012960651</v>
      </c>
    </row>
    <row r="185" spans="1:9">
      <c r="A185" s="30"/>
      <c r="B185" s="24"/>
      <c r="C185" s="24"/>
      <c r="D185" s="24"/>
      <c r="E185" s="24"/>
      <c r="F185" s="99">
        <v>276</v>
      </c>
      <c r="G185" s="81">
        <f>[27]Production!$CE$9</f>
        <v>0.13131512844162727</v>
      </c>
      <c r="H185" s="113">
        <f t="shared" si="20"/>
        <v>0.14295875700817112</v>
      </c>
      <c r="I185" s="42">
        <f t="shared" si="21"/>
        <v>1569641.675320467</v>
      </c>
    </row>
    <row r="186" spans="1:9">
      <c r="A186" s="30"/>
      <c r="B186" s="24"/>
      <c r="C186" s="24"/>
      <c r="D186" s="24"/>
      <c r="E186" s="24"/>
      <c r="F186" s="99">
        <v>376</v>
      </c>
      <c r="G186" s="81">
        <f>[27]Production!$DA$9</f>
        <v>1.3668925159543118E-2</v>
      </c>
      <c r="H186" s="113">
        <f t="shared" si="20"/>
        <v>1.4880940022951298E-2</v>
      </c>
      <c r="I186" s="42">
        <f t="shared" si="21"/>
        <v>163387.98767419055</v>
      </c>
    </row>
    <row r="187" spans="1:9">
      <c r="A187" s="30"/>
      <c r="B187" s="24"/>
      <c r="C187" s="24"/>
      <c r="D187" s="24"/>
      <c r="E187" s="24"/>
      <c r="F187" s="99">
        <v>381</v>
      </c>
      <c r="G187" s="81">
        <f>[27]Production!$DB$9</f>
        <v>3.7902149630270179E-2</v>
      </c>
      <c r="H187" s="113">
        <f t="shared" si="20"/>
        <v>4.1262909029478406E-2</v>
      </c>
      <c r="I187" s="42">
        <f t="shared" si="21"/>
        <v>453053.61499418016</v>
      </c>
    </row>
    <row r="188" spans="1:9">
      <c r="A188" s="30"/>
      <c r="B188" s="24"/>
      <c r="C188" s="24"/>
      <c r="D188" s="24"/>
      <c r="E188" s="24"/>
      <c r="F188" s="99">
        <v>392</v>
      </c>
      <c r="G188" s="81">
        <f>[27]Production!$DE$9</f>
        <v>8.8039520354606382E-2</v>
      </c>
      <c r="H188" s="113">
        <f t="shared" si="20"/>
        <v>9.5845928392667257E-2</v>
      </c>
      <c r="I188" s="42">
        <f t="shared" si="21"/>
        <v>1052357.8041904268</v>
      </c>
    </row>
    <row r="189" spans="1:9">
      <c r="A189" s="30"/>
      <c r="B189" s="24"/>
      <c r="C189" s="24"/>
      <c r="D189" s="24"/>
      <c r="E189" s="24"/>
      <c r="F189" s="99">
        <v>410</v>
      </c>
      <c r="G189" s="81">
        <f>[27]Production!$DJ$9</f>
        <v>2.8423680433914238E-2</v>
      </c>
      <c r="H189" s="113">
        <f t="shared" si="20"/>
        <v>3.0943990023481104E-2</v>
      </c>
      <c r="I189" s="42">
        <f t="shared" si="21"/>
        <v>339755.16686103051</v>
      </c>
    </row>
    <row r="190" spans="1:9">
      <c r="A190" s="30"/>
      <c r="B190" s="24"/>
      <c r="C190" s="24"/>
      <c r="D190" s="24"/>
      <c r="E190" s="24"/>
      <c r="F190" s="99">
        <v>484</v>
      </c>
      <c r="G190" s="81">
        <f>[27]Production!$ED$9</f>
        <v>1.2909350515013608E-2</v>
      </c>
      <c r="H190" s="113">
        <f t="shared" si="20"/>
        <v>1.4054014379839795E-2</v>
      </c>
      <c r="I190" s="42">
        <f t="shared" si="21"/>
        <v>154308.60716625283</v>
      </c>
    </row>
    <row r="191" spans="1:9">
      <c r="A191" s="30"/>
      <c r="B191" s="24"/>
      <c r="C191" s="24"/>
      <c r="D191" s="24"/>
      <c r="E191" s="24"/>
      <c r="F191" s="99">
        <v>528</v>
      </c>
      <c r="G191" s="81">
        <f>[27]Production!$EO$9</f>
        <v>1.2154935185706862E-2</v>
      </c>
      <c r="H191" s="113">
        <f t="shared" si="20"/>
        <v>1.323270552513655E-2</v>
      </c>
      <c r="I191" s="42">
        <f t="shared" si="21"/>
        <v>145290.89720828045</v>
      </c>
    </row>
    <row r="192" spans="1:9">
      <c r="A192" s="30"/>
      <c r="B192" s="24"/>
      <c r="C192" s="24"/>
      <c r="D192" s="24"/>
      <c r="E192" s="24"/>
      <c r="F192" s="99">
        <v>616</v>
      </c>
      <c r="G192" s="81">
        <f>[27]Production!$FO$9</f>
        <v>2.7713594067610453E-2</v>
      </c>
      <c r="H192" s="113">
        <f t="shared" si="20"/>
        <v>3.017094075261691E-2</v>
      </c>
      <c r="I192" s="42">
        <f t="shared" si="21"/>
        <v>331267.33178174827</v>
      </c>
    </row>
    <row r="193" spans="1:9">
      <c r="A193" s="30"/>
      <c r="B193" s="24"/>
      <c r="C193" s="24"/>
      <c r="D193" s="24"/>
      <c r="E193" s="24"/>
      <c r="F193" s="99">
        <v>643</v>
      </c>
      <c r="G193" s="81">
        <f>[27]Production!$FU$9</f>
        <v>1.2374997388690148E-2</v>
      </c>
      <c r="H193" s="113">
        <f t="shared" si="20"/>
        <v>1.3472280503102283E-2</v>
      </c>
      <c r="I193" s="42">
        <f t="shared" si="21"/>
        <v>147921.35425511602</v>
      </c>
    </row>
    <row r="194" spans="1:9">
      <c r="A194" s="30"/>
      <c r="B194" s="24"/>
      <c r="C194" s="24"/>
      <c r="D194" s="24"/>
      <c r="E194" s="24"/>
      <c r="F194" s="99">
        <v>702</v>
      </c>
      <c r="G194" s="81">
        <f>[27]Production!$GL$9</f>
        <v>2.208110949966037E-2</v>
      </c>
      <c r="H194" s="113">
        <f t="shared" si="20"/>
        <v>2.4039027375554751E-2</v>
      </c>
      <c r="I194" s="42">
        <f t="shared" si="21"/>
        <v>263940.87352538772</v>
      </c>
    </row>
    <row r="195" spans="1:9">
      <c r="A195" s="30"/>
      <c r="B195" s="24"/>
      <c r="C195" s="24"/>
      <c r="D195" s="24"/>
      <c r="E195" s="24"/>
      <c r="F195" s="99">
        <v>703</v>
      </c>
      <c r="G195" s="81">
        <f>[27]Production!$GM$9</f>
        <v>1.3307329962580721E-2</v>
      </c>
      <c r="H195" s="113">
        <f t="shared" si="20"/>
        <v>1.448728241082896E-2</v>
      </c>
      <c r="I195" s="42">
        <f t="shared" si="21"/>
        <v>159065.75231956274</v>
      </c>
    </row>
    <row r="196" spans="1:9">
      <c r="A196" s="30"/>
      <c r="B196" s="24"/>
      <c r="C196" s="24"/>
      <c r="D196" s="24"/>
      <c r="E196" s="24"/>
      <c r="F196" s="99">
        <v>724</v>
      </c>
      <c r="G196" s="81">
        <f>[27]Production!$GS$9</f>
        <v>2.2675950057828645E-2</v>
      </c>
      <c r="H196" s="113">
        <f t="shared" si="20"/>
        <v>2.4686612066084787E-2</v>
      </c>
      <c r="I196" s="42">
        <f t="shared" si="21"/>
        <v>271051.14742415526</v>
      </c>
    </row>
    <row r="197" spans="1:9">
      <c r="A197" s="30"/>
      <c r="B197" s="24"/>
      <c r="C197" s="24"/>
      <c r="D197" s="24"/>
      <c r="E197" s="24"/>
      <c r="F197" s="99">
        <v>752</v>
      </c>
      <c r="G197" s="81">
        <f>[27]Production!$GY$9</f>
        <v>1.0399422789739862E-2</v>
      </c>
      <c r="H197" s="113">
        <f t="shared" si="20"/>
        <v>1.1321532966283675E-2</v>
      </c>
      <c r="I197" s="42">
        <f t="shared" si="21"/>
        <v>124306.83047543339</v>
      </c>
    </row>
    <row r="198" spans="1:9">
      <c r="A198" s="30"/>
      <c r="B198" s="24"/>
      <c r="C198" s="24"/>
      <c r="D198" s="24"/>
      <c r="E198" s="24"/>
      <c r="F198" s="99">
        <v>757</v>
      </c>
      <c r="G198" s="81">
        <f>[27]Production!$GZ$9</f>
        <v>1.9706463450841222E-2</v>
      </c>
      <c r="H198" s="113">
        <f t="shared" si="20"/>
        <v>2.1453822978298606E-2</v>
      </c>
      <c r="I198" s="42">
        <f t="shared" si="21"/>
        <v>235556.15162323072</v>
      </c>
    </row>
    <row r="199" spans="1:9">
      <c r="A199" s="30"/>
      <c r="B199" s="24"/>
      <c r="C199" s="24"/>
      <c r="D199" s="24"/>
      <c r="E199" s="24"/>
      <c r="F199" s="99">
        <v>826</v>
      </c>
      <c r="G199" s="81">
        <f>[27]Production!$HR$9</f>
        <v>6.9885077044718913E-2</v>
      </c>
      <c r="H199" s="113">
        <f t="shared" si="20"/>
        <v>7.6081742189928928E-2</v>
      </c>
      <c r="I199" s="42">
        <f t="shared" si="21"/>
        <v>835353.32687226799</v>
      </c>
    </row>
    <row r="200" spans="1:9">
      <c r="A200" s="30"/>
      <c r="B200" s="24"/>
      <c r="C200" s="24"/>
      <c r="D200" s="24"/>
      <c r="E200" s="24"/>
      <c r="F200" s="99">
        <v>842</v>
      </c>
      <c r="G200" s="81">
        <f>[27]Production!$HT$9</f>
        <v>0.23897630006830553</v>
      </c>
      <c r="H200" s="113">
        <f t="shared" si="20"/>
        <v>0.26016617595864661</v>
      </c>
      <c r="I200" s="42">
        <f t="shared" si="21"/>
        <v>2856541.8505290188</v>
      </c>
    </row>
    <row r="201" spans="1:9">
      <c r="A201" s="90"/>
      <c r="B201" s="74"/>
      <c r="C201" s="74"/>
      <c r="D201" s="74"/>
      <c r="E201" s="74"/>
      <c r="F201" s="74" t="s">
        <v>107</v>
      </c>
      <c r="G201" s="91">
        <f>SUM(G181:G200)</f>
        <v>0.91855253354029687</v>
      </c>
      <c r="H201" s="123"/>
      <c r="I201" s="47"/>
    </row>
    <row r="203" spans="1:9">
      <c r="A203" s="51" t="s">
        <v>422</v>
      </c>
    </row>
    <row r="204" spans="1:9" ht="32">
      <c r="A204" s="29" t="s">
        <v>0</v>
      </c>
      <c r="B204" s="17" t="s">
        <v>1</v>
      </c>
      <c r="C204" s="17" t="s">
        <v>145</v>
      </c>
      <c r="D204" s="17" t="s">
        <v>3</v>
      </c>
      <c r="E204" s="17"/>
      <c r="F204" s="48" t="s">
        <v>218</v>
      </c>
      <c r="G204" s="48" t="s">
        <v>143</v>
      </c>
      <c r="H204" s="48" t="s">
        <v>116</v>
      </c>
      <c r="I204" s="49" t="s">
        <v>178</v>
      </c>
    </row>
    <row r="205" spans="1:9" ht="48">
      <c r="A205" s="60" t="s">
        <v>423</v>
      </c>
      <c r="B205" s="50">
        <f>'[5]Weight%'!$B$87</f>
        <v>1</v>
      </c>
      <c r="C205" s="24" t="s">
        <v>634</v>
      </c>
      <c r="D205" s="67" t="s">
        <v>147</v>
      </c>
      <c r="E205" s="24"/>
      <c r="F205" s="99">
        <v>40</v>
      </c>
      <c r="G205" s="81">
        <f>[28]Production!$M$6</f>
        <v>1.6641100918404421E-2</v>
      </c>
      <c r="H205" s="113">
        <f>G205/$G$214</f>
        <v>1.7489150336299369E-2</v>
      </c>
      <c r="I205" s="42">
        <f>H205*$B$206</f>
        <v>261995.47348832825</v>
      </c>
    </row>
    <row r="206" spans="1:9">
      <c r="A206" s="60" t="s">
        <v>424</v>
      </c>
      <c r="B206" s="41">
        <f>B205*data_rawmat!B254</f>
        <v>14980457.50939353</v>
      </c>
      <c r="C206" s="24" t="s">
        <v>8</v>
      </c>
      <c r="D206" s="24"/>
      <c r="E206" s="24"/>
      <c r="F206" s="99">
        <v>76</v>
      </c>
      <c r="G206" s="81">
        <f>[28]Production!$Z$6</f>
        <v>0.30253912434660152</v>
      </c>
      <c r="H206" s="113">
        <f t="shared" ref="H206:H213" si="22">G206/$G$214</f>
        <v>0.31795686200414003</v>
      </c>
      <c r="I206" s="42">
        <f t="shared" ref="I206:I213" si="23">H206*$B$206</f>
        <v>4763139.2610731218</v>
      </c>
    </row>
    <row r="207" spans="1:9">
      <c r="A207" s="60" t="s">
        <v>425</v>
      </c>
      <c r="B207" s="41">
        <f>B205*data_rawmat!B257</f>
        <v>84215585.068932116</v>
      </c>
      <c r="C207" s="24" t="s">
        <v>8</v>
      </c>
      <c r="D207" s="24"/>
      <c r="E207" s="24"/>
      <c r="F207" s="99">
        <v>156</v>
      </c>
      <c r="G207" s="81">
        <f>[28]Production!$AT$6</f>
        <v>0.12270739682868032</v>
      </c>
      <c r="H207" s="113">
        <f t="shared" si="22"/>
        <v>0.12896070524632702</v>
      </c>
      <c r="I207" s="42">
        <f t="shared" si="23"/>
        <v>1931890.3653240253</v>
      </c>
    </row>
    <row r="208" spans="1:9">
      <c r="A208" s="30"/>
      <c r="B208" s="24"/>
      <c r="C208" s="24"/>
      <c r="D208" s="24"/>
      <c r="E208" s="24"/>
      <c r="F208" s="99">
        <v>276</v>
      </c>
      <c r="G208" s="81">
        <f>[28]Production!$CE$6</f>
        <v>3.2834589078333559E-2</v>
      </c>
      <c r="H208" s="113">
        <f t="shared" si="22"/>
        <v>3.4507877059172895E-2</v>
      </c>
      <c r="I208" s="42">
        <f t="shared" si="23"/>
        <v>516943.78602431534</v>
      </c>
    </row>
    <row r="209" spans="1:9">
      <c r="A209" s="30"/>
      <c r="B209" s="24"/>
      <c r="C209" s="24"/>
      <c r="D209" s="24"/>
      <c r="E209" s="24"/>
      <c r="F209" s="99">
        <v>410</v>
      </c>
      <c r="G209" s="81">
        <f>[28]Production!$DJ$6</f>
        <v>2.3458960874327375E-2</v>
      </c>
      <c r="H209" s="113">
        <f t="shared" si="22"/>
        <v>2.4654456185090816E-2</v>
      </c>
      <c r="I209" s="42">
        <f t="shared" si="23"/>
        <v>369335.03329795745</v>
      </c>
    </row>
    <row r="210" spans="1:9">
      <c r="A210" s="30"/>
      <c r="B210" s="24"/>
      <c r="C210" s="24"/>
      <c r="D210" s="24"/>
      <c r="E210" s="24"/>
      <c r="F210" s="99">
        <v>528</v>
      </c>
      <c r="G210" s="81">
        <f>[28]Production!$EO$6</f>
        <v>1.9643193384730036E-2</v>
      </c>
      <c r="H210" s="113">
        <f t="shared" si="22"/>
        <v>2.0644232847034757E-2</v>
      </c>
      <c r="I210" s="42">
        <f t="shared" si="23"/>
        <v>309260.05297903041</v>
      </c>
    </row>
    <row r="211" spans="1:9">
      <c r="A211" s="30"/>
      <c r="B211" s="24"/>
      <c r="C211" s="24"/>
      <c r="D211" s="24"/>
      <c r="E211" s="24"/>
      <c r="F211" s="99">
        <v>643</v>
      </c>
      <c r="G211" s="81">
        <f>[28]Production!$FU$6</f>
        <v>0.288493159040701</v>
      </c>
      <c r="H211" s="113">
        <f t="shared" si="22"/>
        <v>0.3031950983409164</v>
      </c>
      <c r="I211" s="42">
        <f t="shared" si="23"/>
        <v>4542001.2877524905</v>
      </c>
    </row>
    <row r="212" spans="1:9">
      <c r="A212" s="30"/>
      <c r="B212" s="24"/>
      <c r="C212" s="24"/>
      <c r="D212" s="24"/>
      <c r="E212" s="24"/>
      <c r="F212" s="99">
        <v>699</v>
      </c>
      <c r="G212" s="81">
        <f>[28]Production!$GK$6</f>
        <v>1.0298753271964929E-2</v>
      </c>
      <c r="H212" s="113">
        <f t="shared" si="22"/>
        <v>1.0823589444773317E-2</v>
      </c>
      <c r="I212" s="42">
        <f t="shared" si="23"/>
        <v>162142.32177654697</v>
      </c>
    </row>
    <row r="213" spans="1:9">
      <c r="A213" s="30"/>
      <c r="B213" s="24"/>
      <c r="C213" s="24"/>
      <c r="D213" s="24"/>
      <c r="E213" s="24"/>
      <c r="F213" s="99">
        <v>710</v>
      </c>
      <c r="G213" s="81">
        <f>[28]Production!$GQ$6</f>
        <v>0.13489369263287426</v>
      </c>
      <c r="H213" s="113">
        <f t="shared" si="22"/>
        <v>0.14176802853624534</v>
      </c>
      <c r="I213" s="42">
        <f t="shared" si="23"/>
        <v>2123749.9276777129</v>
      </c>
    </row>
    <row r="214" spans="1:9">
      <c r="A214" s="90"/>
      <c r="B214" s="74"/>
      <c r="C214" s="74"/>
      <c r="D214" s="74"/>
      <c r="E214" s="74"/>
      <c r="F214" s="74" t="s">
        <v>107</v>
      </c>
      <c r="G214" s="91">
        <f>SUM(G205:G213)</f>
        <v>0.95150997037661744</v>
      </c>
      <c r="H214" s="123"/>
      <c r="I214" s="47"/>
    </row>
    <row r="216" spans="1:9">
      <c r="A216" s="1" t="s">
        <v>558</v>
      </c>
    </row>
    <row r="217" spans="1:9">
      <c r="A217" t="s">
        <v>609</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85" workbookViewId="0">
      <selection activeCell="A94" sqref="A94:D97"/>
    </sheetView>
  </sheetViews>
  <sheetFormatPr baseColWidth="10" defaultRowHeight="16"/>
  <cols>
    <col min="1" max="1" width="28" customWidth="1"/>
    <col min="2" max="2" width="24.1796875" customWidth="1"/>
    <col min="3" max="3" width="16.54296875" customWidth="1"/>
    <col min="4" max="4" width="25.81640625" customWidth="1"/>
  </cols>
  <sheetData>
    <row r="1" spans="1:4">
      <c r="A1" s="1" t="s">
        <v>426</v>
      </c>
    </row>
    <row r="3" spans="1:4">
      <c r="A3" s="51" t="s">
        <v>434</v>
      </c>
    </row>
    <row r="4" spans="1:4">
      <c r="A4" s="29" t="s">
        <v>0</v>
      </c>
      <c r="B4" s="17" t="s">
        <v>1</v>
      </c>
      <c r="C4" s="17" t="s">
        <v>145</v>
      </c>
      <c r="D4" s="18" t="s">
        <v>3</v>
      </c>
    </row>
    <row r="5" spans="1:4" ht="48">
      <c r="A5" s="60" t="s">
        <v>431</v>
      </c>
      <c r="B5" s="50">
        <f>'[5]Weight%'!$B$90</f>
        <v>1</v>
      </c>
      <c r="C5" s="24" t="s">
        <v>634</v>
      </c>
      <c r="D5" s="68" t="s">
        <v>147</v>
      </c>
    </row>
    <row r="6" spans="1:4" ht="32">
      <c r="A6" s="60" t="s">
        <v>432</v>
      </c>
      <c r="B6" s="41">
        <f>B5*data_intmat!B6</f>
        <v>41017903.557254791</v>
      </c>
      <c r="C6" s="24" t="s">
        <v>8</v>
      </c>
      <c r="D6" s="28"/>
    </row>
    <row r="7" spans="1:4" ht="32">
      <c r="A7" s="73" t="s">
        <v>433</v>
      </c>
      <c r="B7" s="46">
        <f>B5*data_intmat!B7</f>
        <v>209916284.61395365</v>
      </c>
      <c r="C7" s="74" t="s">
        <v>8</v>
      </c>
      <c r="D7" s="47"/>
    </row>
    <row r="9" spans="1:4">
      <c r="A9" s="51" t="s">
        <v>427</v>
      </c>
    </row>
    <row r="10" spans="1:4">
      <c r="A10" s="29" t="s">
        <v>0</v>
      </c>
      <c r="B10" s="17" t="s">
        <v>1</v>
      </c>
      <c r="C10" s="17" t="s">
        <v>145</v>
      </c>
      <c r="D10" s="18" t="s">
        <v>3</v>
      </c>
    </row>
    <row r="11" spans="1:4" ht="48">
      <c r="A11" s="60" t="s">
        <v>428</v>
      </c>
      <c r="B11" s="50">
        <f>'[5]Weight%'!$B$91</f>
        <v>1</v>
      </c>
      <c r="C11" s="24" t="s">
        <v>634</v>
      </c>
      <c r="D11" s="68" t="s">
        <v>147</v>
      </c>
    </row>
    <row r="12" spans="1:4" ht="32">
      <c r="A12" s="60" t="s">
        <v>429</v>
      </c>
      <c r="B12" s="24">
        <f>B11*data_intmat!B21</f>
        <v>1111169691.6414647</v>
      </c>
      <c r="C12" s="24" t="s">
        <v>8</v>
      </c>
      <c r="D12" s="28"/>
    </row>
    <row r="13" spans="1:4">
      <c r="A13" s="73" t="s">
        <v>430</v>
      </c>
      <c r="B13" s="74">
        <f>B11*data_intmat!B22</f>
        <v>5981842334.7277737</v>
      </c>
      <c r="C13" s="74" t="s">
        <v>8</v>
      </c>
      <c r="D13" s="47"/>
    </row>
    <row r="15" spans="1:4">
      <c r="A15" s="51" t="s">
        <v>435</v>
      </c>
    </row>
    <row r="16" spans="1:4">
      <c r="A16" s="29" t="s">
        <v>0</v>
      </c>
      <c r="B16" s="17" t="s">
        <v>1</v>
      </c>
      <c r="C16" s="17" t="s">
        <v>145</v>
      </c>
      <c r="D16" s="18" t="s">
        <v>3</v>
      </c>
    </row>
    <row r="17" spans="1:4" ht="32">
      <c r="A17" s="60" t="s">
        <v>436</v>
      </c>
      <c r="B17" s="50">
        <f>'[5]Weight%'!$B$92</f>
        <v>0.82499999999999996</v>
      </c>
      <c r="C17" s="24" t="s">
        <v>634</v>
      </c>
      <c r="D17" s="28" t="s">
        <v>147</v>
      </c>
    </row>
    <row r="18" spans="1:4" ht="32">
      <c r="A18" s="60" t="s">
        <v>437</v>
      </c>
      <c r="B18" s="41">
        <f>B17*data_rawmat!B70</f>
        <v>1562070.6395181278</v>
      </c>
      <c r="C18" s="24" t="s">
        <v>8</v>
      </c>
      <c r="D18" s="28"/>
    </row>
    <row r="19" spans="1:4" ht="32">
      <c r="A19" s="73" t="s">
        <v>438</v>
      </c>
      <c r="B19" s="46">
        <f>B17*data_rawmat!B73</f>
        <v>8403631.0596656222</v>
      </c>
      <c r="C19" s="74" t="s">
        <v>8</v>
      </c>
      <c r="D19" s="47"/>
    </row>
    <row r="21" spans="1:4">
      <c r="A21" s="51" t="s">
        <v>439</v>
      </c>
    </row>
    <row r="22" spans="1:4">
      <c r="A22" s="29" t="s">
        <v>0</v>
      </c>
      <c r="B22" s="17" t="s">
        <v>1</v>
      </c>
      <c r="C22" s="17" t="s">
        <v>145</v>
      </c>
      <c r="D22" s="18" t="s">
        <v>3</v>
      </c>
    </row>
    <row r="23" spans="1:4" ht="32">
      <c r="A23" s="60" t="s">
        <v>440</v>
      </c>
      <c r="B23" s="50">
        <f>'[5]Weight%'!$B$93</f>
        <v>1</v>
      </c>
      <c r="C23" s="24" t="s">
        <v>634</v>
      </c>
      <c r="D23" s="28" t="s">
        <v>147</v>
      </c>
    </row>
    <row r="24" spans="1:4" ht="32">
      <c r="A24" s="60" t="s">
        <v>441</v>
      </c>
      <c r="B24" s="41">
        <f>B23*data_intmat!B87</f>
        <v>154801019.68933144</v>
      </c>
      <c r="C24" s="24" t="s">
        <v>8</v>
      </c>
      <c r="D24" s="28"/>
    </row>
    <row r="25" spans="1:4" ht="32">
      <c r="A25" s="73" t="s">
        <v>442</v>
      </c>
      <c r="B25" s="46">
        <f>B23*data_intmat!B88</f>
        <v>914493751.35173082</v>
      </c>
      <c r="C25" s="74" t="s">
        <v>8</v>
      </c>
      <c r="D25" s="47"/>
    </row>
    <row r="27" spans="1:4">
      <c r="A27" s="51" t="s">
        <v>443</v>
      </c>
    </row>
    <row r="28" spans="1:4">
      <c r="A28" s="29" t="s">
        <v>0</v>
      </c>
      <c r="B28" s="17" t="s">
        <v>1</v>
      </c>
      <c r="C28" s="17" t="s">
        <v>145</v>
      </c>
      <c r="D28" s="18" t="s">
        <v>3</v>
      </c>
    </row>
    <row r="29" spans="1:4" ht="32">
      <c r="A29" s="60" t="s">
        <v>444</v>
      </c>
      <c r="B29" s="50">
        <f>'[5]Weight%'!$B$94</f>
        <v>1</v>
      </c>
      <c r="C29" s="24" t="s">
        <v>634</v>
      </c>
      <c r="D29" s="28" t="s">
        <v>147</v>
      </c>
    </row>
    <row r="30" spans="1:4" ht="32">
      <c r="A30" s="60" t="s">
        <v>445</v>
      </c>
      <c r="B30" s="41">
        <f>B29*data_intmat!B99</f>
        <v>4901308.5481324848</v>
      </c>
      <c r="C30" s="24" t="s">
        <v>8</v>
      </c>
      <c r="D30" s="28"/>
    </row>
    <row r="31" spans="1:4" ht="32">
      <c r="A31" s="73" t="s">
        <v>446</v>
      </c>
      <c r="B31" s="46">
        <f>B29*data_intmat!B100</f>
        <v>40922785.336761415</v>
      </c>
      <c r="C31" s="74" t="s">
        <v>8</v>
      </c>
      <c r="D31" s="47"/>
    </row>
    <row r="33" spans="1:4">
      <c r="A33" s="51" t="s">
        <v>447</v>
      </c>
    </row>
    <row r="34" spans="1:4">
      <c r="A34" s="29" t="s">
        <v>0</v>
      </c>
      <c r="B34" s="17" t="s">
        <v>1</v>
      </c>
      <c r="C34" s="17" t="s">
        <v>145</v>
      </c>
      <c r="D34" s="18" t="s">
        <v>3</v>
      </c>
    </row>
    <row r="35" spans="1:4">
      <c r="A35" s="60" t="s">
        <v>448</v>
      </c>
      <c r="B35" s="50">
        <f>'[5]Weight%'!$B$95</f>
        <v>1</v>
      </c>
      <c r="C35" s="24" t="s">
        <v>634</v>
      </c>
      <c r="D35" s="28" t="s">
        <v>147</v>
      </c>
    </row>
    <row r="36" spans="1:4" ht="32">
      <c r="A36" s="60" t="s">
        <v>449</v>
      </c>
      <c r="B36" s="41">
        <f>B35*data_rawmat!B109</f>
        <v>1383307.1999999997</v>
      </c>
      <c r="C36" s="24" t="s">
        <v>8</v>
      </c>
      <c r="D36" s="28"/>
    </row>
    <row r="37" spans="1:4">
      <c r="A37" s="73" t="s">
        <v>450</v>
      </c>
      <c r="B37" s="46">
        <f>B35*data_rawmat!B110</f>
        <v>8299843.1999999983</v>
      </c>
      <c r="C37" s="74" t="s">
        <v>8</v>
      </c>
      <c r="D37" s="47"/>
    </row>
    <row r="39" spans="1:4">
      <c r="A39" s="51" t="s">
        <v>454</v>
      </c>
    </row>
    <row r="40" spans="1:4">
      <c r="A40" s="29" t="s">
        <v>0</v>
      </c>
      <c r="B40" s="17" t="s">
        <v>1</v>
      </c>
      <c r="C40" s="17" t="s">
        <v>145</v>
      </c>
      <c r="D40" s="18" t="s">
        <v>3</v>
      </c>
    </row>
    <row r="41" spans="1:4" ht="32">
      <c r="A41" s="60" t="s">
        <v>451</v>
      </c>
      <c r="B41" s="50">
        <f>'[5]Weight%'!$B$96</f>
        <v>0.625</v>
      </c>
      <c r="C41" s="24" t="s">
        <v>634</v>
      </c>
      <c r="D41" s="28" t="s">
        <v>147</v>
      </c>
    </row>
    <row r="42" spans="1:4" ht="32">
      <c r="A42" s="60" t="s">
        <v>452</v>
      </c>
      <c r="B42" s="41">
        <f>B41*data_rawmat!B122</f>
        <v>13635.485593730704</v>
      </c>
      <c r="C42" s="24" t="s">
        <v>8</v>
      </c>
      <c r="D42" s="28"/>
    </row>
    <row r="43" spans="1:4" ht="30.75" customHeight="1">
      <c r="A43" s="73" t="s">
        <v>453</v>
      </c>
      <c r="B43" s="46">
        <f>B41*data_rawmat!B123</f>
        <v>72343.826344515677</v>
      </c>
      <c r="C43" s="74" t="s">
        <v>8</v>
      </c>
      <c r="D43" s="47"/>
    </row>
    <row r="45" spans="1:4">
      <c r="A45" s="51" t="s">
        <v>455</v>
      </c>
    </row>
    <row r="46" spans="1:4">
      <c r="A46" s="29" t="s">
        <v>0</v>
      </c>
      <c r="B46" s="17" t="s">
        <v>1</v>
      </c>
      <c r="C46" s="17" t="s">
        <v>145</v>
      </c>
      <c r="D46" s="18" t="s">
        <v>3</v>
      </c>
    </row>
    <row r="47" spans="1:4" ht="32">
      <c r="A47" s="60" t="s">
        <v>456</v>
      </c>
      <c r="B47" s="50">
        <f>'[5]Weight%'!$B$97</f>
        <v>1</v>
      </c>
      <c r="C47" s="24" t="s">
        <v>634</v>
      </c>
      <c r="D47" s="28" t="s">
        <v>147</v>
      </c>
    </row>
    <row r="48" spans="1:4" ht="32">
      <c r="A48" s="60" t="s">
        <v>457</v>
      </c>
      <c r="B48" s="41">
        <f>B47*data_rawmat!B131</f>
        <v>799039.66153846146</v>
      </c>
      <c r="C48" s="24" t="s">
        <v>8</v>
      </c>
      <c r="D48" s="28"/>
    </row>
    <row r="49" spans="1:4" ht="32">
      <c r="A49" s="73" t="s">
        <v>458</v>
      </c>
      <c r="B49" s="46">
        <f>B47*data_rawmat!B132</f>
        <v>4794237.9692307692</v>
      </c>
      <c r="C49" s="74" t="s">
        <v>8</v>
      </c>
      <c r="D49" s="47"/>
    </row>
    <row r="51" spans="1:4">
      <c r="A51" s="51" t="s">
        <v>494</v>
      </c>
    </row>
    <row r="52" spans="1:4">
      <c r="A52" s="29" t="s">
        <v>0</v>
      </c>
      <c r="B52" s="17" t="s">
        <v>1</v>
      </c>
      <c r="C52" s="17" t="s">
        <v>145</v>
      </c>
      <c r="D52" s="18" t="s">
        <v>3</v>
      </c>
    </row>
    <row r="53" spans="1:4" ht="32">
      <c r="A53" s="60" t="s">
        <v>491</v>
      </c>
      <c r="B53" s="50">
        <f>'[5]Weight%'!$B$98</f>
        <v>0.625</v>
      </c>
      <c r="C53" s="24" t="s">
        <v>634</v>
      </c>
      <c r="D53" s="28" t="s">
        <v>147</v>
      </c>
    </row>
    <row r="54" spans="1:4" ht="32">
      <c r="A54" s="60" t="s">
        <v>492</v>
      </c>
      <c r="B54" s="41">
        <f>B53*data_rawmat!B140</f>
        <v>27270.971187461408</v>
      </c>
      <c r="C54" s="24" t="s">
        <v>8</v>
      </c>
      <c r="D54" s="28"/>
    </row>
    <row r="55" spans="1:4" ht="32">
      <c r="A55" s="73" t="s">
        <v>493</v>
      </c>
      <c r="B55" s="46">
        <f>B53*data_rawmat!B141</f>
        <v>144687.65268903135</v>
      </c>
      <c r="C55" s="74" t="s">
        <v>8</v>
      </c>
      <c r="D55" s="47"/>
    </row>
    <row r="57" spans="1:4">
      <c r="A57" s="51" t="s">
        <v>459</v>
      </c>
    </row>
    <row r="58" spans="1:4">
      <c r="A58" s="29" t="s">
        <v>0</v>
      </c>
      <c r="B58" s="17" t="s">
        <v>1</v>
      </c>
      <c r="C58" s="17" t="s">
        <v>145</v>
      </c>
      <c r="D58" s="18" t="s">
        <v>3</v>
      </c>
    </row>
    <row r="59" spans="1:4">
      <c r="A59" s="60" t="s">
        <v>480</v>
      </c>
      <c r="B59" s="50">
        <f>'[5]Weight%'!$B$99</f>
        <v>1</v>
      </c>
      <c r="C59" s="24" t="s">
        <v>634</v>
      </c>
      <c r="D59" s="28" t="s">
        <v>147</v>
      </c>
    </row>
    <row r="60" spans="1:4" ht="32">
      <c r="A60" s="60" t="s">
        <v>481</v>
      </c>
      <c r="B60" s="41">
        <f>B59*data_rawmat!B157</f>
        <v>18805906.254545458</v>
      </c>
      <c r="C60" s="24" t="s">
        <v>8</v>
      </c>
      <c r="D60" s="28"/>
    </row>
    <row r="61" spans="1:4">
      <c r="A61" s="73" t="s">
        <v>482</v>
      </c>
      <c r="B61" s="46">
        <f>B59*data_rawmat!B160</f>
        <v>130856737.23272727</v>
      </c>
      <c r="C61" s="74" t="s">
        <v>8</v>
      </c>
      <c r="D61" s="47"/>
    </row>
    <row r="63" spans="1:4">
      <c r="A63" s="51" t="s">
        <v>460</v>
      </c>
    </row>
    <row r="64" spans="1:4">
      <c r="A64" s="29" t="s">
        <v>0</v>
      </c>
      <c r="B64" s="17" t="s">
        <v>1</v>
      </c>
      <c r="C64" s="17" t="s">
        <v>145</v>
      </c>
      <c r="D64" s="18" t="s">
        <v>3</v>
      </c>
    </row>
    <row r="65" spans="1:4" ht="32">
      <c r="A65" s="60" t="s">
        <v>461</v>
      </c>
      <c r="B65" s="50">
        <f>'[5]Weight%'!$B$100</f>
        <v>1</v>
      </c>
      <c r="C65" s="24" t="s">
        <v>634</v>
      </c>
      <c r="D65" s="28" t="s">
        <v>147</v>
      </c>
    </row>
    <row r="66" spans="1:4" ht="32">
      <c r="A66" s="60" t="s">
        <v>462</v>
      </c>
      <c r="B66" s="41">
        <f>B65*data_intmat!B134</f>
        <v>19647393.468440808</v>
      </c>
      <c r="C66" s="24" t="s">
        <v>8</v>
      </c>
      <c r="D66" s="28"/>
    </row>
    <row r="67" spans="1:4" ht="32">
      <c r="A67" s="73" t="s">
        <v>463</v>
      </c>
      <c r="B67" s="46">
        <f>B65*data_intmat!B135</f>
        <v>131908581.50222135</v>
      </c>
      <c r="C67" s="74" t="s">
        <v>8</v>
      </c>
      <c r="D67" s="47"/>
    </row>
    <row r="69" spans="1:4">
      <c r="A69" s="51" t="s">
        <v>464</v>
      </c>
    </row>
    <row r="70" spans="1:4">
      <c r="A70" s="29" t="s">
        <v>0</v>
      </c>
      <c r="B70" s="17" t="s">
        <v>1</v>
      </c>
      <c r="C70" s="17" t="s">
        <v>145</v>
      </c>
      <c r="D70" s="18" t="s">
        <v>3</v>
      </c>
    </row>
    <row r="71" spans="1:4">
      <c r="A71" s="60" t="s">
        <v>465</v>
      </c>
      <c r="B71" s="50">
        <f>'[5]Weight%'!$B$101</f>
        <v>0.95</v>
      </c>
      <c r="C71" s="24" t="s">
        <v>634</v>
      </c>
      <c r="D71" s="28" t="s">
        <v>147</v>
      </c>
    </row>
    <row r="72" spans="1:4" ht="32">
      <c r="A72" s="60" t="s">
        <v>466</v>
      </c>
      <c r="B72" s="41">
        <f>B71*data_rawmat!B199</f>
        <v>22235827.080172352</v>
      </c>
      <c r="C72" s="24" t="s">
        <v>8</v>
      </c>
      <c r="D72" s="28"/>
    </row>
    <row r="73" spans="1:4">
      <c r="A73" s="73" t="s">
        <v>467</v>
      </c>
      <c r="B73" s="46">
        <f>B71*data_rawmat!B200</f>
        <v>532996391.76245141</v>
      </c>
      <c r="C73" s="74" t="s">
        <v>8</v>
      </c>
      <c r="D73" s="47"/>
    </row>
    <row r="74" spans="1:4">
      <c r="A74" s="2"/>
      <c r="B74" s="20"/>
    </row>
    <row r="75" spans="1:4">
      <c r="A75" s="51" t="s">
        <v>506</v>
      </c>
    </row>
    <row r="76" spans="1:4">
      <c r="A76" s="29" t="s">
        <v>0</v>
      </c>
      <c r="B76" s="17" t="s">
        <v>1</v>
      </c>
      <c r="C76" s="17" t="s">
        <v>145</v>
      </c>
      <c r="D76" s="18" t="s">
        <v>3</v>
      </c>
    </row>
    <row r="77" spans="1:4" ht="32">
      <c r="A77" s="60" t="s">
        <v>507</v>
      </c>
      <c r="B77" s="38">
        <f>'[5]Weight%'!$B$102</f>
        <v>1</v>
      </c>
      <c r="C77" s="24" t="s">
        <v>634</v>
      </c>
      <c r="D77" s="28" t="s">
        <v>147</v>
      </c>
    </row>
    <row r="78" spans="1:4" ht="32">
      <c r="A78" s="60" t="s">
        <v>508</v>
      </c>
      <c r="B78" s="41">
        <f>B77*data_rawmat!B207</f>
        <v>5523524.5614864407</v>
      </c>
      <c r="C78" s="24" t="s">
        <v>8</v>
      </c>
      <c r="D78" s="28"/>
    </row>
    <row r="79" spans="1:4" ht="32">
      <c r="A79" s="73" t="s">
        <v>509</v>
      </c>
      <c r="B79" s="46">
        <f>B77*data_rawmat!B208</f>
        <v>29435595.881805211</v>
      </c>
      <c r="C79" s="74" t="s">
        <v>8</v>
      </c>
      <c r="D79" s="47"/>
    </row>
    <row r="81" spans="1:4">
      <c r="A81" s="51" t="s">
        <v>468</v>
      </c>
    </row>
    <row r="82" spans="1:4">
      <c r="A82" s="29" t="s">
        <v>0</v>
      </c>
      <c r="B82" s="17" t="s">
        <v>1</v>
      </c>
      <c r="C82" s="17" t="s">
        <v>145</v>
      </c>
      <c r="D82" s="18" t="s">
        <v>3</v>
      </c>
    </row>
    <row r="83" spans="1:4" ht="32">
      <c r="A83" s="60" t="s">
        <v>469</v>
      </c>
      <c r="B83" s="38">
        <f>'[5]Weight%'!$B$103</f>
        <v>1</v>
      </c>
      <c r="C83" s="24" t="s">
        <v>634</v>
      </c>
      <c r="D83" s="28" t="s">
        <v>147</v>
      </c>
    </row>
    <row r="84" spans="1:4" ht="32">
      <c r="A84" s="60" t="s">
        <v>470</v>
      </c>
      <c r="B84" s="41">
        <f>B83*data_rawmat!B222</f>
        <v>747772239.17356765</v>
      </c>
      <c r="C84" s="24" t="s">
        <v>8</v>
      </c>
      <c r="D84" s="28"/>
    </row>
    <row r="85" spans="1:4" ht="32">
      <c r="A85" s="73" t="s">
        <v>471</v>
      </c>
      <c r="B85" s="74">
        <f>B83*data_rawmat!B226</f>
        <v>5631848848.0971756</v>
      </c>
      <c r="C85" s="74" t="s">
        <v>8</v>
      </c>
      <c r="D85" s="47"/>
    </row>
    <row r="87" spans="1:4">
      <c r="A87" s="51" t="s">
        <v>472</v>
      </c>
    </row>
    <row r="88" spans="1:4">
      <c r="A88" s="29" t="s">
        <v>0</v>
      </c>
      <c r="B88" s="17" t="s">
        <v>1</v>
      </c>
      <c r="C88" s="17" t="s">
        <v>145</v>
      </c>
      <c r="D88" s="18" t="s">
        <v>3</v>
      </c>
    </row>
    <row r="89" spans="1:4">
      <c r="A89" s="60" t="s">
        <v>473</v>
      </c>
      <c r="B89" s="50">
        <f>'[5]Weight%'!$B$104</f>
        <v>1</v>
      </c>
      <c r="C89" s="24" t="s">
        <v>634</v>
      </c>
      <c r="D89" s="28" t="s">
        <v>147</v>
      </c>
    </row>
    <row r="90" spans="1:4" ht="32">
      <c r="A90" s="60" t="s">
        <v>474</v>
      </c>
      <c r="B90" s="41">
        <f>B89*data_intmat!B163</f>
        <v>10135090.975261545</v>
      </c>
      <c r="C90" s="24" t="s">
        <v>8</v>
      </c>
      <c r="D90" s="28"/>
    </row>
    <row r="91" spans="1:4">
      <c r="A91" s="73" t="s">
        <v>475</v>
      </c>
      <c r="B91" s="46">
        <f>B89*data_intmat!B164</f>
        <v>54674152.588909417</v>
      </c>
      <c r="C91" s="74" t="s">
        <v>8</v>
      </c>
      <c r="D91" s="47"/>
    </row>
    <row r="93" spans="1:4">
      <c r="A93" s="51" t="s">
        <v>476</v>
      </c>
    </row>
    <row r="94" spans="1:4">
      <c r="A94" s="29" t="s">
        <v>0</v>
      </c>
      <c r="B94" s="17" t="s">
        <v>1</v>
      </c>
      <c r="C94" s="17" t="s">
        <v>145</v>
      </c>
      <c r="D94" s="17" t="s">
        <v>3</v>
      </c>
    </row>
    <row r="95" spans="1:4">
      <c r="A95" s="2" t="s">
        <v>477</v>
      </c>
      <c r="B95" s="14">
        <f>'[5]Weight%'!$B$105</f>
        <v>1</v>
      </c>
      <c r="C95" s="24" t="s">
        <v>634</v>
      </c>
      <c r="D95" s="24" t="s">
        <v>147</v>
      </c>
    </row>
    <row r="96" spans="1:4" ht="32">
      <c r="A96" s="2" t="s">
        <v>478</v>
      </c>
      <c r="B96" s="20">
        <f>B95*data_intmat!B206</f>
        <v>14980457.50939353</v>
      </c>
      <c r="C96" t="s">
        <v>8</v>
      </c>
    </row>
    <row r="97" spans="1:3">
      <c r="A97" s="2" t="s">
        <v>479</v>
      </c>
      <c r="B97" s="20">
        <f>B95*data_intmat!B207</f>
        <v>84215585.068932116</v>
      </c>
      <c r="C97" t="s">
        <v>8</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D11" sqref="D11"/>
    </sheetView>
  </sheetViews>
  <sheetFormatPr baseColWidth="10" defaultRowHeight="16"/>
  <cols>
    <col min="1" max="1" width="42.1796875" customWidth="1"/>
    <col min="2" max="2" width="18.453125" customWidth="1"/>
    <col min="3" max="3" width="24.7265625" customWidth="1"/>
    <col min="4" max="4" width="26.54296875" customWidth="1"/>
  </cols>
  <sheetData>
    <row r="1" spans="1:5" ht="17.5">
      <c r="A1" s="52" t="s">
        <v>340</v>
      </c>
    </row>
    <row r="3" spans="1:5">
      <c r="A3" t="s">
        <v>341</v>
      </c>
    </row>
    <row r="5" spans="1:5" ht="32">
      <c r="A5" t="s">
        <v>342</v>
      </c>
      <c r="B5" t="s">
        <v>343</v>
      </c>
      <c r="C5" s="2" t="s">
        <v>344</v>
      </c>
      <c r="D5" t="s">
        <v>345</v>
      </c>
      <c r="E5" t="s">
        <v>346</v>
      </c>
    </row>
    <row r="6" spans="1:5">
      <c r="A6" t="s">
        <v>347</v>
      </c>
      <c r="B6" t="s">
        <v>610</v>
      </c>
      <c r="C6">
        <v>0</v>
      </c>
      <c r="D6" s="9" t="s">
        <v>611</v>
      </c>
    </row>
    <row r="7" spans="1:5">
      <c r="A7" t="s">
        <v>363</v>
      </c>
      <c r="B7" t="s">
        <v>348</v>
      </c>
      <c r="C7">
        <v>0</v>
      </c>
      <c r="D7" s="9" t="s">
        <v>612</v>
      </c>
    </row>
    <row r="8" spans="1:5">
      <c r="A8" t="s">
        <v>349</v>
      </c>
      <c r="B8" t="s">
        <v>610</v>
      </c>
      <c r="C8">
        <v>0</v>
      </c>
      <c r="D8" s="9" t="s">
        <v>611</v>
      </c>
      <c r="E8" t="s">
        <v>351</v>
      </c>
    </row>
    <row r="9" spans="1:5">
      <c r="A9" t="s">
        <v>357</v>
      </c>
      <c r="B9" t="s">
        <v>350</v>
      </c>
      <c r="C9">
        <v>0</v>
      </c>
      <c r="D9" s="9" t="s">
        <v>613</v>
      </c>
      <c r="E9" t="s">
        <v>358</v>
      </c>
    </row>
    <row r="10" spans="1:5">
      <c r="A10" t="s">
        <v>360</v>
      </c>
      <c r="B10" t="s">
        <v>359</v>
      </c>
      <c r="C10">
        <v>0</v>
      </c>
      <c r="D10" s="9" t="s">
        <v>614</v>
      </c>
      <c r="E10" t="s">
        <v>361</v>
      </c>
    </row>
    <row r="11" spans="1:5">
      <c r="A11" t="s">
        <v>352</v>
      </c>
      <c r="B11" t="s">
        <v>353</v>
      </c>
      <c r="C11">
        <v>0</v>
      </c>
      <c r="D11" s="9" t="s">
        <v>615</v>
      </c>
    </row>
    <row r="12" spans="1:5">
      <c r="A12" t="s">
        <v>355</v>
      </c>
      <c r="B12" t="s">
        <v>353</v>
      </c>
      <c r="C12">
        <v>0</v>
      </c>
      <c r="E12" t="s">
        <v>356</v>
      </c>
    </row>
    <row r="13" spans="1:5">
      <c r="A13" t="s">
        <v>362</v>
      </c>
      <c r="B13" t="s">
        <v>353</v>
      </c>
      <c r="C13">
        <v>0</v>
      </c>
      <c r="E13" t="s">
        <v>356</v>
      </c>
    </row>
    <row r="14" spans="1:5">
      <c r="A14" t="s">
        <v>354</v>
      </c>
      <c r="B14" t="s">
        <v>364</v>
      </c>
      <c r="C14">
        <v>0</v>
      </c>
      <c r="D14" s="9" t="s">
        <v>538</v>
      </c>
      <c r="E14" t="s">
        <v>365</v>
      </c>
    </row>
    <row r="15" spans="1:5">
      <c r="A15" t="s">
        <v>366</v>
      </c>
      <c r="B15" t="s">
        <v>367</v>
      </c>
      <c r="C15">
        <v>0</v>
      </c>
      <c r="D15" s="9" t="s">
        <v>552</v>
      </c>
    </row>
    <row r="16" spans="1:5">
      <c r="A16" t="s">
        <v>368</v>
      </c>
      <c r="B16" t="s">
        <v>359</v>
      </c>
      <c r="C16">
        <v>0</v>
      </c>
      <c r="D16" s="9" t="s">
        <v>614</v>
      </c>
      <c r="E16" t="s">
        <v>369</v>
      </c>
    </row>
    <row r="17" spans="1:5">
      <c r="A17" t="s">
        <v>370</v>
      </c>
      <c r="B17" t="s">
        <v>364</v>
      </c>
      <c r="C17">
        <v>0</v>
      </c>
      <c r="D17" s="9" t="s">
        <v>538</v>
      </c>
      <c r="E17" t="s">
        <v>371</v>
      </c>
    </row>
    <row r="18" spans="1:5">
      <c r="A18" t="s">
        <v>372</v>
      </c>
      <c r="B18" t="s">
        <v>610</v>
      </c>
      <c r="C18">
        <v>0</v>
      </c>
      <c r="D18" s="9" t="s">
        <v>611</v>
      </c>
      <c r="E18" t="s">
        <v>373</v>
      </c>
    </row>
    <row r="19" spans="1:5">
      <c r="A19" t="s">
        <v>374</v>
      </c>
    </row>
    <row r="21" spans="1:5">
      <c r="A21" s="1" t="s">
        <v>558</v>
      </c>
    </row>
    <row r="22" spans="1:5">
      <c r="A22" t="s">
        <v>616</v>
      </c>
    </row>
    <row r="23" spans="1:5">
      <c r="A23" t="s">
        <v>578</v>
      </c>
    </row>
    <row r="24" spans="1:5">
      <c r="A24" t="s">
        <v>617</v>
      </c>
    </row>
    <row r="25" spans="1:5">
      <c r="A25" t="s">
        <v>618</v>
      </c>
    </row>
    <row r="26" spans="1:5">
      <c r="A26" t="s">
        <v>619</v>
      </c>
    </row>
    <row r="27" spans="1:5">
      <c r="A27" t="s">
        <v>620</v>
      </c>
    </row>
    <row r="28" spans="1:5">
      <c r="A28" t="s">
        <v>599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data_1tier</vt:lpstr>
      <vt:lpstr>data_2tier</vt:lpstr>
      <vt:lpstr>data_3tier</vt:lpstr>
      <vt:lpstr>data_rawmat</vt:lpstr>
      <vt:lpstr>data_intmat</vt:lpstr>
      <vt:lpstr>data_min</vt:lpstr>
      <vt:lpstr>data(temporal relevance)</vt:lpstr>
      <vt:lpstr>data_1tier!_GoBack</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 Marcus</dc:creator>
  <cp:lastModifiedBy>Berr, Marcus</cp:lastModifiedBy>
  <dcterms:created xsi:type="dcterms:W3CDTF">2022-06-10T06:48:11Z</dcterms:created>
  <dcterms:modified xsi:type="dcterms:W3CDTF">2023-05-18T12:24:49Z</dcterms:modified>
</cp:coreProperties>
</file>