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\Desktop\BW2 3. Paper\Inventory model\P3_LCIA_data\"/>
    </mc:Choice>
  </mc:AlternateContent>
  <bookViews>
    <workbookView xWindow="0" yWindow="0" windowWidth="13940" windowHeight="6930" activeTab="7"/>
  </bookViews>
  <sheets>
    <sheet name="data_1tier" sheetId="1" r:id="rId1"/>
    <sheet name="data_2tier" sheetId="8" r:id="rId2"/>
    <sheet name="data_3tier" sheetId="9" r:id="rId3"/>
    <sheet name="data_4tier" sheetId="10" r:id="rId4"/>
    <sheet name="data_rawmat" sheetId="11" r:id="rId5"/>
    <sheet name="data_intmat" sheetId="12" r:id="rId6"/>
    <sheet name="data_min" sheetId="13" r:id="rId7"/>
    <sheet name="data (temporal relevance)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GoBack" localSheetId="0">data_1tier!$D$5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G57" i="9" l="1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58" i="9" l="1"/>
  <c r="H41" i="9" s="1"/>
  <c r="G33" i="9"/>
  <c r="G32" i="9"/>
  <c r="G31" i="9"/>
  <c r="G30" i="9"/>
  <c r="G29" i="9"/>
  <c r="G28" i="9"/>
  <c r="G27" i="9"/>
  <c r="G26" i="9"/>
  <c r="G25" i="9"/>
  <c r="G24" i="9"/>
  <c r="G23" i="9"/>
  <c r="G22" i="9"/>
  <c r="H38" i="9" l="1"/>
  <c r="H51" i="9"/>
  <c r="H49" i="9"/>
  <c r="H46" i="9"/>
  <c r="H43" i="9"/>
  <c r="H53" i="9"/>
  <c r="H45" i="9"/>
  <c r="H57" i="9"/>
  <c r="H55" i="9"/>
  <c r="H40" i="9"/>
  <c r="H52" i="9"/>
  <c r="H47" i="9"/>
  <c r="H48" i="9"/>
  <c r="H44" i="9"/>
  <c r="H39" i="9"/>
  <c r="H56" i="9"/>
  <c r="H50" i="9"/>
  <c r="H54" i="9"/>
  <c r="H42" i="9"/>
  <c r="G34" i="9"/>
  <c r="H22" i="9" s="1"/>
  <c r="B220" i="11"/>
  <c r="B185" i="11"/>
  <c r="B120" i="11"/>
  <c r="H33" i="9" l="1"/>
  <c r="H25" i="9"/>
  <c r="H32" i="9"/>
  <c r="H24" i="9"/>
  <c r="H31" i="9"/>
  <c r="H23" i="9"/>
  <c r="H27" i="9"/>
  <c r="H28" i="9"/>
  <c r="H29" i="9"/>
  <c r="H30" i="9"/>
  <c r="H26" i="9"/>
  <c r="B291" i="11" l="1"/>
  <c r="B333" i="11" l="1"/>
  <c r="B83" i="13"/>
  <c r="G279" i="11"/>
  <c r="G278" i="11"/>
  <c r="G277" i="11"/>
  <c r="G276" i="11"/>
  <c r="G275" i="11"/>
  <c r="G274" i="11"/>
  <c r="B274" i="11"/>
  <c r="G280" i="11" l="1"/>
  <c r="H276" i="11" l="1"/>
  <c r="H275" i="11"/>
  <c r="H277" i="11"/>
  <c r="H274" i="11"/>
  <c r="H279" i="11"/>
  <c r="H278" i="11"/>
  <c r="B202" i="11" l="1"/>
  <c r="R60" i="1" l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61" i="1" l="1"/>
  <c r="S52" i="1" s="1"/>
  <c r="G386" i="11"/>
  <c r="G385" i="11"/>
  <c r="G384" i="11"/>
  <c r="G383" i="11"/>
  <c r="G382" i="11"/>
  <c r="G381" i="11"/>
  <c r="G380" i="11"/>
  <c r="B119" i="13"/>
  <c r="B113" i="13"/>
  <c r="B107" i="13"/>
  <c r="B101" i="13"/>
  <c r="B95" i="13"/>
  <c r="B89" i="13"/>
  <c r="B77" i="13"/>
  <c r="B71" i="13"/>
  <c r="B65" i="13"/>
  <c r="B59" i="13"/>
  <c r="S59" i="1" l="1"/>
  <c r="S60" i="1"/>
  <c r="S51" i="1"/>
  <c r="S58" i="1"/>
  <c r="S46" i="1"/>
  <c r="S53" i="1"/>
  <c r="S48" i="1"/>
  <c r="S56" i="1"/>
  <c r="S49" i="1"/>
  <c r="S57" i="1"/>
  <c r="S47" i="1"/>
  <c r="S54" i="1"/>
  <c r="S55" i="1"/>
  <c r="S50" i="1"/>
  <c r="G387" i="11"/>
  <c r="H385" i="11" s="1"/>
  <c r="B47" i="13"/>
  <c r="H386" i="11" l="1"/>
  <c r="H383" i="11"/>
  <c r="H382" i="11"/>
  <c r="H381" i="11"/>
  <c r="H380" i="11"/>
  <c r="H384" i="11"/>
  <c r="B35" i="13"/>
  <c r="B29" i="13"/>
  <c r="B23" i="13"/>
  <c r="B11" i="13"/>
  <c r="B5" i="13"/>
  <c r="G276" i="12" l="1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B255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51" i="12" l="1"/>
  <c r="H245" i="12" s="1"/>
  <c r="G277" i="12"/>
  <c r="H275" i="12" s="1"/>
  <c r="H246" i="12" l="1"/>
  <c r="H243" i="12"/>
  <c r="H244" i="12"/>
  <c r="H248" i="12"/>
  <c r="H250" i="12"/>
  <c r="H242" i="12"/>
  <c r="H249" i="12"/>
  <c r="H240" i="12"/>
  <c r="H239" i="12"/>
  <c r="H241" i="12"/>
  <c r="H258" i="12"/>
  <c r="H260" i="12"/>
  <c r="H273" i="12"/>
  <c r="H267" i="12"/>
  <c r="H266" i="12"/>
  <c r="H268" i="12"/>
  <c r="H247" i="12"/>
  <c r="H238" i="12"/>
  <c r="H264" i="12"/>
  <c r="H272" i="12"/>
  <c r="H255" i="12"/>
  <c r="H256" i="12"/>
  <c r="H262" i="12"/>
  <c r="H270" i="12"/>
  <c r="H263" i="12"/>
  <c r="H271" i="12"/>
  <c r="H259" i="12"/>
  <c r="H265" i="12"/>
  <c r="H269" i="12"/>
  <c r="H257" i="12"/>
  <c r="H261" i="12"/>
  <c r="H276" i="12"/>
  <c r="H274" i="12"/>
  <c r="G233" i="12" l="1"/>
  <c r="G232" i="12"/>
  <c r="G231" i="12"/>
  <c r="G230" i="12"/>
  <c r="G229" i="12"/>
  <c r="G228" i="12"/>
  <c r="G227" i="12"/>
  <c r="G226" i="12"/>
  <c r="G225" i="12"/>
  <c r="B225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B201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B183" i="12"/>
  <c r="G197" i="12" l="1"/>
  <c r="H185" i="12" s="1"/>
  <c r="G221" i="12"/>
  <c r="H211" i="12" s="1"/>
  <c r="G234" i="12"/>
  <c r="H228" i="12" s="1"/>
  <c r="H187" i="12" l="1"/>
  <c r="H219" i="12"/>
  <c r="H213" i="12"/>
  <c r="H205" i="12"/>
  <c r="H203" i="12"/>
  <c r="H193" i="12"/>
  <c r="H208" i="12"/>
  <c r="H196" i="12"/>
  <c r="H212" i="12"/>
  <c r="H188" i="12"/>
  <c r="H232" i="12"/>
  <c r="H227" i="12"/>
  <c r="H231" i="12"/>
  <c r="H233" i="12"/>
  <c r="H201" i="12"/>
  <c r="H214" i="12"/>
  <c r="H218" i="12"/>
  <c r="H202" i="12"/>
  <c r="H210" i="12"/>
  <c r="H215" i="12"/>
  <c r="H206" i="12"/>
  <c r="H207" i="12"/>
  <c r="H229" i="12"/>
  <c r="H217" i="12"/>
  <c r="H182" i="12"/>
  <c r="H190" i="12"/>
  <c r="H191" i="12"/>
  <c r="H186" i="12"/>
  <c r="H183" i="12"/>
  <c r="H194" i="12"/>
  <c r="H220" i="12"/>
  <c r="H226" i="12"/>
  <c r="H192" i="12"/>
  <c r="H189" i="12"/>
  <c r="H204" i="12"/>
  <c r="H209" i="12"/>
  <c r="H225" i="12"/>
  <c r="H230" i="12"/>
  <c r="H195" i="12"/>
  <c r="H216" i="12"/>
  <c r="H184" i="12"/>
  <c r="G177" i="12" l="1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B162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B143" i="12"/>
  <c r="H134" i="12"/>
  <c r="H138" i="12"/>
  <c r="G139" i="12"/>
  <c r="H135" i="12" s="1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B114" i="12"/>
  <c r="G110" i="12"/>
  <c r="H106" i="12" s="1"/>
  <c r="G93" i="12"/>
  <c r="G92" i="12"/>
  <c r="G91" i="12"/>
  <c r="G90" i="12"/>
  <c r="G89" i="12"/>
  <c r="G88" i="12"/>
  <c r="G87" i="12"/>
  <c r="G86" i="12"/>
  <c r="B86" i="12"/>
  <c r="G81" i="12"/>
  <c r="G80" i="12"/>
  <c r="G79" i="12"/>
  <c r="G78" i="12"/>
  <c r="G77" i="12"/>
  <c r="G76" i="12"/>
  <c r="B76" i="12"/>
  <c r="H99" i="12" l="1"/>
  <c r="H105" i="12"/>
  <c r="G178" i="12"/>
  <c r="H175" i="12" s="1"/>
  <c r="H104" i="12"/>
  <c r="H133" i="12"/>
  <c r="H98" i="12"/>
  <c r="H102" i="12"/>
  <c r="H137" i="12"/>
  <c r="H103" i="12"/>
  <c r="H109" i="12"/>
  <c r="H101" i="12"/>
  <c r="H136" i="12"/>
  <c r="H108" i="12"/>
  <c r="H100" i="12"/>
  <c r="H107" i="12"/>
  <c r="G158" i="12"/>
  <c r="H149" i="12" s="1"/>
  <c r="G129" i="12"/>
  <c r="H125" i="12" s="1"/>
  <c r="G82" i="12"/>
  <c r="H81" i="12" s="1"/>
  <c r="G94" i="12"/>
  <c r="H93" i="12" s="1"/>
  <c r="H164" i="12" l="1"/>
  <c r="H166" i="12"/>
  <c r="H173" i="12"/>
  <c r="H165" i="12"/>
  <c r="H169" i="12"/>
  <c r="H170" i="12"/>
  <c r="H177" i="12"/>
  <c r="H168" i="12"/>
  <c r="H174" i="12"/>
  <c r="H167" i="12"/>
  <c r="H172" i="12"/>
  <c r="H162" i="12"/>
  <c r="H171" i="12"/>
  <c r="H176" i="12"/>
  <c r="H163" i="12"/>
  <c r="H92" i="12"/>
  <c r="H120" i="12"/>
  <c r="H118" i="12"/>
  <c r="H80" i="12"/>
  <c r="H117" i="12"/>
  <c r="H150" i="12"/>
  <c r="H128" i="12"/>
  <c r="H127" i="12"/>
  <c r="H119" i="12"/>
  <c r="H126" i="12"/>
  <c r="H154" i="12"/>
  <c r="H156" i="12"/>
  <c r="H146" i="12"/>
  <c r="H148" i="12"/>
  <c r="H143" i="12"/>
  <c r="H152" i="12"/>
  <c r="H145" i="12"/>
  <c r="H151" i="12"/>
  <c r="H153" i="12"/>
  <c r="H144" i="12"/>
  <c r="H155" i="12"/>
  <c r="H147" i="12"/>
  <c r="H87" i="12"/>
  <c r="H86" i="12"/>
  <c r="H90" i="12"/>
  <c r="H88" i="12"/>
  <c r="H89" i="12"/>
  <c r="H76" i="12"/>
  <c r="H77" i="12"/>
  <c r="H78" i="12"/>
  <c r="H122" i="12"/>
  <c r="H121" i="12"/>
  <c r="H123" i="12"/>
  <c r="H114" i="12"/>
  <c r="H115" i="12"/>
  <c r="H116" i="12"/>
  <c r="H124" i="12"/>
  <c r="H91" i="12"/>
  <c r="H79" i="12"/>
  <c r="H157" i="12"/>
  <c r="G71" i="12" l="1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B50" i="12"/>
  <c r="H21" i="12"/>
  <c r="H28" i="12"/>
  <c r="H29" i="12"/>
  <c r="H36" i="12"/>
  <c r="H37" i="12"/>
  <c r="H44" i="12"/>
  <c r="H45" i="12"/>
  <c r="G46" i="12"/>
  <c r="H22" i="12" s="1"/>
  <c r="B20" i="12"/>
  <c r="G15" i="12"/>
  <c r="G14" i="12"/>
  <c r="G13" i="12"/>
  <c r="G12" i="12"/>
  <c r="G11" i="12"/>
  <c r="G10" i="12"/>
  <c r="G9" i="12"/>
  <c r="G8" i="12"/>
  <c r="G7" i="12"/>
  <c r="G6" i="12"/>
  <c r="G5" i="12"/>
  <c r="B5" i="12"/>
  <c r="H43" i="12" l="1"/>
  <c r="H35" i="12"/>
  <c r="H27" i="12"/>
  <c r="H42" i="12"/>
  <c r="H34" i="12"/>
  <c r="H26" i="12"/>
  <c r="H41" i="12"/>
  <c r="H33" i="12"/>
  <c r="H25" i="12"/>
  <c r="H40" i="12"/>
  <c r="H32" i="12"/>
  <c r="H24" i="12"/>
  <c r="H39" i="12"/>
  <c r="H31" i="12"/>
  <c r="H23" i="12"/>
  <c r="H20" i="12"/>
  <c r="H38" i="12"/>
  <c r="H30" i="12"/>
  <c r="G16" i="12"/>
  <c r="H14" i="12" s="1"/>
  <c r="G72" i="12"/>
  <c r="H53" i="12" s="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76" i="11" l="1"/>
  <c r="H371" i="11" s="1"/>
  <c r="H5" i="12"/>
  <c r="H64" i="12"/>
  <c r="H63" i="12"/>
  <c r="H55" i="12"/>
  <c r="H11" i="12"/>
  <c r="H71" i="12"/>
  <c r="H70" i="12"/>
  <c r="H57" i="12"/>
  <c r="H60" i="12"/>
  <c r="H54" i="12"/>
  <c r="H68" i="12"/>
  <c r="H61" i="12"/>
  <c r="H69" i="12"/>
  <c r="H7" i="12"/>
  <c r="H9" i="12"/>
  <c r="H10" i="12"/>
  <c r="H13" i="12"/>
  <c r="H15" i="12"/>
  <c r="H8" i="12"/>
  <c r="H6" i="12"/>
  <c r="H12" i="12"/>
  <c r="H59" i="12"/>
  <c r="H66" i="12"/>
  <c r="H50" i="12"/>
  <c r="H51" i="12"/>
  <c r="H65" i="12"/>
  <c r="H67" i="12"/>
  <c r="H58" i="12"/>
  <c r="H62" i="12"/>
  <c r="H52" i="12"/>
  <c r="H56" i="12"/>
  <c r="G359" i="11"/>
  <c r="G358" i="11"/>
  <c r="G357" i="11"/>
  <c r="G356" i="11"/>
  <c r="G355" i="11"/>
  <c r="G354" i="11"/>
  <c r="G353" i="11"/>
  <c r="G352" i="11"/>
  <c r="G351" i="11"/>
  <c r="H374" i="11" l="1"/>
  <c r="H364" i="11"/>
  <c r="H370" i="11"/>
  <c r="H366" i="11"/>
  <c r="H373" i="11"/>
  <c r="H368" i="11"/>
  <c r="H365" i="11"/>
  <c r="H375" i="11"/>
  <c r="H372" i="11"/>
  <c r="H367" i="11"/>
  <c r="H369" i="11"/>
  <c r="G360" i="11"/>
  <c r="H353" i="11" l="1"/>
  <c r="H354" i="11"/>
  <c r="H357" i="11"/>
  <c r="H358" i="11"/>
  <c r="H359" i="11"/>
  <c r="H351" i="11"/>
  <c r="H356" i="11"/>
  <c r="H355" i="11"/>
  <c r="H35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3" i="11"/>
  <c r="G322" i="11"/>
  <c r="G321" i="11"/>
  <c r="G320" i="11"/>
  <c r="G319" i="11"/>
  <c r="G318" i="11"/>
  <c r="G317" i="11"/>
  <c r="G316" i="11"/>
  <c r="G315" i="11"/>
  <c r="G314" i="11"/>
  <c r="G313" i="11"/>
  <c r="G324" i="11" l="1"/>
  <c r="H320" i="11" s="1"/>
  <c r="G342" i="11"/>
  <c r="H330" i="11" s="1"/>
  <c r="H338" i="11" l="1"/>
  <c r="H323" i="11"/>
  <c r="H315" i="11"/>
  <c r="H313" i="11"/>
  <c r="H332" i="11"/>
  <c r="H318" i="11"/>
  <c r="H321" i="11"/>
  <c r="H319" i="11"/>
  <c r="H314" i="11"/>
  <c r="H329" i="11"/>
  <c r="H337" i="11"/>
  <c r="H335" i="11"/>
  <c r="H336" i="11"/>
  <c r="H334" i="11"/>
  <c r="H317" i="11"/>
  <c r="H339" i="11"/>
  <c r="H322" i="11"/>
  <c r="H341" i="11"/>
  <c r="H331" i="11"/>
  <c r="H328" i="11"/>
  <c r="H333" i="11"/>
  <c r="H316" i="11"/>
  <c r="H340" i="11"/>
  <c r="G295" i="11" l="1"/>
  <c r="G294" i="11"/>
  <c r="G293" i="11"/>
  <c r="G292" i="11"/>
  <c r="G291" i="11"/>
  <c r="G290" i="11"/>
  <c r="G289" i="11"/>
  <c r="G288" i="11"/>
  <c r="G287" i="11"/>
  <c r="G286" i="11"/>
  <c r="G285" i="11"/>
  <c r="G284" i="11"/>
  <c r="B285" i="11"/>
  <c r="B302" i="11" s="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B293" i="11" l="1"/>
  <c r="G269" i="11"/>
  <c r="H261" i="11" s="1"/>
  <c r="G296" i="11"/>
  <c r="H287" i="11" s="1"/>
  <c r="H286" i="11" l="1"/>
  <c r="H264" i="11"/>
  <c r="H265" i="11"/>
  <c r="H260" i="11"/>
  <c r="H268" i="11"/>
  <c r="H292" i="11"/>
  <c r="H263" i="11"/>
  <c r="H294" i="11"/>
  <c r="H285" i="11"/>
  <c r="H266" i="11"/>
  <c r="H267" i="11"/>
  <c r="H259" i="11"/>
  <c r="H295" i="11"/>
  <c r="H258" i="11"/>
  <c r="H288" i="11"/>
  <c r="H257" i="11"/>
  <c r="H262" i="11"/>
  <c r="H290" i="11"/>
  <c r="H291" i="11"/>
  <c r="H284" i="11"/>
  <c r="H289" i="11"/>
  <c r="H293" i="11"/>
  <c r="G252" i="11" l="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6" i="11"/>
  <c r="H222" i="11" s="1"/>
  <c r="H221" i="11" l="1"/>
  <c r="H220" i="11"/>
  <c r="H235" i="11"/>
  <c r="H229" i="11"/>
  <c r="H228" i="11"/>
  <c r="H227" i="11"/>
  <c r="H224" i="11"/>
  <c r="H223" i="11"/>
  <c r="H234" i="11"/>
  <c r="H226" i="11"/>
  <c r="H233" i="11"/>
  <c r="H225" i="11"/>
  <c r="H232" i="11"/>
  <c r="H231" i="11"/>
  <c r="H230" i="11"/>
  <c r="G253" i="11"/>
  <c r="H249" i="11" s="1"/>
  <c r="H241" i="11" l="1"/>
  <c r="H244" i="11"/>
  <c r="H250" i="11"/>
  <c r="H252" i="11"/>
  <c r="H251" i="11"/>
  <c r="H243" i="11"/>
  <c r="H242" i="11"/>
  <c r="H240" i="11"/>
  <c r="H246" i="11"/>
  <c r="H248" i="11"/>
  <c r="H247" i="11"/>
  <c r="H245" i="11"/>
  <c r="G205" i="11"/>
  <c r="G204" i="11"/>
  <c r="G203" i="11"/>
  <c r="G202" i="11"/>
  <c r="G201" i="11"/>
  <c r="G200" i="11"/>
  <c r="G199" i="11"/>
  <c r="G198" i="11"/>
  <c r="G197" i="11"/>
  <c r="G192" i="11"/>
  <c r="G191" i="11"/>
  <c r="G190" i="11"/>
  <c r="G189" i="11"/>
  <c r="G188" i="11"/>
  <c r="G187" i="11"/>
  <c r="G186" i="11"/>
  <c r="G185" i="11"/>
  <c r="G177" i="11"/>
  <c r="G176" i="11"/>
  <c r="G175" i="11"/>
  <c r="G174" i="11"/>
  <c r="G173" i="11"/>
  <c r="G172" i="11"/>
  <c r="G171" i="11"/>
  <c r="G170" i="11"/>
  <c r="G169" i="11"/>
  <c r="G168" i="11"/>
  <c r="G151" i="11"/>
  <c r="G150" i="11"/>
  <c r="G149" i="11"/>
  <c r="G148" i="11"/>
  <c r="G141" i="11"/>
  <c r="G140" i="11"/>
  <c r="G139" i="11"/>
  <c r="G138" i="11"/>
  <c r="G137" i="11"/>
  <c r="G142" i="11" s="1"/>
  <c r="H139" i="11" s="1"/>
  <c r="G178" i="11" l="1"/>
  <c r="G152" i="11"/>
  <c r="H151" i="11" s="1"/>
  <c r="H140" i="11"/>
  <c r="H138" i="11"/>
  <c r="H137" i="11"/>
  <c r="H141" i="11"/>
  <c r="G193" i="11"/>
  <c r="H188" i="11" s="1"/>
  <c r="G206" i="11"/>
  <c r="H199" i="11" s="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06" i="11"/>
  <c r="G105" i="11"/>
  <c r="G104" i="11"/>
  <c r="G103" i="11"/>
  <c r="G98" i="11"/>
  <c r="G97" i="11"/>
  <c r="G96" i="11"/>
  <c r="H192" i="11" l="1"/>
  <c r="H185" i="11"/>
  <c r="H148" i="11"/>
  <c r="H197" i="11"/>
  <c r="H172" i="11"/>
  <c r="H171" i="11"/>
  <c r="H175" i="11"/>
  <c r="H170" i="11"/>
  <c r="H168" i="11"/>
  <c r="H176" i="11"/>
  <c r="H149" i="11"/>
  <c r="H150" i="11"/>
  <c r="H174" i="11"/>
  <c r="H177" i="11"/>
  <c r="H189" i="11"/>
  <c r="H169" i="11"/>
  <c r="H173" i="11"/>
  <c r="H203" i="11"/>
  <c r="H204" i="11"/>
  <c r="H205" i="11"/>
  <c r="H198" i="11"/>
  <c r="H200" i="11"/>
  <c r="H186" i="11"/>
  <c r="H190" i="11"/>
  <c r="H191" i="11"/>
  <c r="H201" i="11"/>
  <c r="H202" i="11"/>
  <c r="H187" i="11"/>
  <c r="G99" i="11"/>
  <c r="G133" i="11"/>
  <c r="H126" i="11" s="1"/>
  <c r="G107" i="11"/>
  <c r="H103" i="11" s="1"/>
  <c r="H127" i="11" l="1"/>
  <c r="H122" i="11"/>
  <c r="H130" i="11"/>
  <c r="H131" i="11"/>
  <c r="H123" i="11"/>
  <c r="H98" i="11"/>
  <c r="H97" i="11"/>
  <c r="H125" i="11"/>
  <c r="H129" i="11"/>
  <c r="H132" i="11"/>
  <c r="H121" i="11"/>
  <c r="H124" i="11"/>
  <c r="H96" i="11"/>
  <c r="H105" i="11"/>
  <c r="H128" i="11"/>
  <c r="H104" i="11"/>
  <c r="H120" i="11"/>
  <c r="H106" i="11"/>
  <c r="G92" i="11" l="1"/>
  <c r="H57" i="11" s="1"/>
  <c r="H71" i="11" l="1"/>
  <c r="H64" i="11"/>
  <c r="H63" i="11"/>
  <c r="H88" i="11"/>
  <c r="H87" i="11"/>
  <c r="H56" i="11"/>
  <c r="H55" i="11"/>
  <c r="H80" i="11"/>
  <c r="H79" i="11"/>
  <c r="H72" i="11"/>
  <c r="H86" i="11"/>
  <c r="H54" i="11"/>
  <c r="H70" i="11"/>
  <c r="H61" i="11"/>
  <c r="H68" i="11"/>
  <c r="H78" i="11"/>
  <c r="H62" i="11"/>
  <c r="H85" i="11"/>
  <c r="H91" i="11"/>
  <c r="H67" i="11"/>
  <c r="H66" i="11"/>
  <c r="H77" i="11"/>
  <c r="H69" i="11"/>
  <c r="H53" i="11"/>
  <c r="H51" i="11"/>
  <c r="H84" i="11"/>
  <c r="H76" i="11"/>
  <c r="H60" i="11"/>
  <c r="H52" i="11"/>
  <c r="H83" i="11"/>
  <c r="H75" i="11"/>
  <c r="H59" i="11"/>
  <c r="H90" i="11"/>
  <c r="H82" i="11"/>
  <c r="H74" i="11"/>
  <c r="H58" i="11"/>
  <c r="H89" i="11"/>
  <c r="H81" i="11"/>
  <c r="H73" i="11"/>
  <c r="H65" i="11"/>
  <c r="B54" i="11"/>
  <c r="G42" i="11" l="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43" i="11" l="1"/>
  <c r="H34" i="11" s="1"/>
  <c r="H36" i="11" l="1"/>
  <c r="H39" i="11"/>
  <c r="H40" i="11"/>
  <c r="H42" i="11"/>
  <c r="H41" i="11"/>
  <c r="H28" i="11"/>
  <c r="H31" i="11"/>
  <c r="H37" i="11"/>
  <c r="H32" i="11"/>
  <c r="H35" i="11"/>
  <c r="H38" i="11"/>
  <c r="H33" i="11"/>
  <c r="H29" i="11"/>
  <c r="H30" i="11"/>
  <c r="B9" i="11" l="1"/>
  <c r="G16" i="11"/>
  <c r="G15" i="11"/>
  <c r="G14" i="11"/>
  <c r="G13" i="11"/>
  <c r="G12" i="11"/>
  <c r="G11" i="11"/>
  <c r="G10" i="11"/>
  <c r="G9" i="11"/>
  <c r="G8" i="11"/>
  <c r="G7" i="11"/>
  <c r="G6" i="11"/>
  <c r="G5" i="11"/>
  <c r="G17" i="11" l="1"/>
  <c r="H9" i="11" s="1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H94" i="9"/>
  <c r="I89" i="9" s="1"/>
  <c r="G69" i="9"/>
  <c r="G68" i="9"/>
  <c r="G67" i="9"/>
  <c r="G66" i="9"/>
  <c r="G65" i="9"/>
  <c r="G64" i="9"/>
  <c r="G63" i="9"/>
  <c r="G62" i="9"/>
  <c r="B39" i="9"/>
  <c r="H11" i="11" l="1"/>
  <c r="H12" i="11"/>
  <c r="H15" i="11"/>
  <c r="H6" i="11"/>
  <c r="H5" i="11"/>
  <c r="H7" i="11"/>
  <c r="H10" i="11"/>
  <c r="H13" i="11"/>
  <c r="H8" i="11"/>
  <c r="H14" i="11"/>
  <c r="H16" i="11"/>
  <c r="I93" i="9"/>
  <c r="I88" i="9"/>
  <c r="I92" i="9"/>
  <c r="I91" i="9"/>
  <c r="I90" i="9"/>
  <c r="I87" i="9"/>
  <c r="G70" i="9"/>
  <c r="H67" i="9" s="1"/>
  <c r="G46" i="10"/>
  <c r="H34" i="10" s="1"/>
  <c r="G23" i="10"/>
  <c r="H64" i="9" l="1"/>
  <c r="H69" i="9"/>
  <c r="H63" i="9"/>
  <c r="H42" i="10"/>
  <c r="H33" i="10"/>
  <c r="H68" i="9"/>
  <c r="H65" i="9"/>
  <c r="H62" i="9"/>
  <c r="H66" i="9"/>
  <c r="H35" i="10"/>
  <c r="H43" i="10"/>
  <c r="H32" i="10"/>
  <c r="H31" i="10"/>
  <c r="H39" i="10"/>
  <c r="H27" i="10"/>
  <c r="H40" i="10"/>
  <c r="H30" i="10"/>
  <c r="H44" i="10"/>
  <c r="H36" i="10"/>
  <c r="H45" i="10"/>
  <c r="H37" i="10"/>
  <c r="H29" i="10"/>
  <c r="H41" i="10"/>
  <c r="H28" i="10"/>
  <c r="H38" i="10"/>
  <c r="H20" i="10"/>
  <c r="H9" i="10"/>
  <c r="H17" i="10"/>
  <c r="H12" i="10"/>
  <c r="H6" i="10"/>
  <c r="H19" i="10"/>
  <c r="H18" i="10"/>
  <c r="H10" i="10"/>
  <c r="H13" i="10"/>
  <c r="H5" i="10"/>
  <c r="H22" i="10"/>
  <c r="H21" i="10"/>
  <c r="H14" i="10"/>
  <c r="H16" i="10"/>
  <c r="H8" i="10"/>
  <c r="H15" i="10"/>
  <c r="H7" i="10"/>
  <c r="H11" i="10"/>
  <c r="M13" i="9"/>
  <c r="N7" i="9" s="1"/>
  <c r="J13" i="9"/>
  <c r="J10" i="9"/>
  <c r="G10" i="9"/>
  <c r="P9" i="9"/>
  <c r="G8" i="9"/>
  <c r="P8" i="9" s="1"/>
  <c r="J7" i="9"/>
  <c r="G7" i="9"/>
  <c r="M56" i="1"/>
  <c r="M55" i="1"/>
  <c r="M54" i="1"/>
  <c r="M53" i="1"/>
  <c r="M52" i="1"/>
  <c r="M51" i="1"/>
  <c r="M50" i="1"/>
  <c r="M49" i="1"/>
  <c r="M48" i="1"/>
  <c r="M47" i="1"/>
  <c r="M46" i="1"/>
  <c r="G146" i="8"/>
  <c r="G145" i="8"/>
  <c r="G144" i="8"/>
  <c r="G143" i="8"/>
  <c r="G142" i="8"/>
  <c r="G141" i="8"/>
  <c r="G140" i="8"/>
  <c r="G139" i="8"/>
  <c r="G138" i="8"/>
  <c r="G137" i="8"/>
  <c r="G136" i="8"/>
  <c r="G135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4" i="8"/>
  <c r="G113" i="8"/>
  <c r="G112" i="8"/>
  <c r="G111" i="8"/>
  <c r="G110" i="8"/>
  <c r="G109" i="8"/>
  <c r="G108" i="8"/>
  <c r="G107" i="8"/>
  <c r="G106" i="8"/>
  <c r="G105" i="8"/>
  <c r="G92" i="8"/>
  <c r="G91" i="8"/>
  <c r="G90" i="8"/>
  <c r="G89" i="8"/>
  <c r="G88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B49" i="8"/>
  <c r="B51" i="8" s="1"/>
  <c r="G44" i="8"/>
  <c r="G43" i="8"/>
  <c r="G42" i="8"/>
  <c r="G41" i="8"/>
  <c r="G40" i="8"/>
  <c r="G39" i="8"/>
  <c r="G38" i="8"/>
  <c r="G37" i="8"/>
  <c r="G36" i="8"/>
  <c r="G35" i="8"/>
  <c r="G34" i="8"/>
  <c r="G29" i="8"/>
  <c r="G28" i="8"/>
  <c r="G27" i="8"/>
  <c r="G26" i="8"/>
  <c r="G25" i="8"/>
  <c r="G24" i="8"/>
  <c r="G23" i="8"/>
  <c r="G22" i="8"/>
  <c r="G147" i="8" l="1"/>
  <c r="H141" i="8" s="1"/>
  <c r="H142" i="8"/>
  <c r="H143" i="8"/>
  <c r="H137" i="8"/>
  <c r="H136" i="8"/>
  <c r="H144" i="8"/>
  <c r="N8" i="9"/>
  <c r="M57" i="1"/>
  <c r="N53" i="1" s="1"/>
  <c r="J14" i="9"/>
  <c r="K9" i="9" s="1"/>
  <c r="K13" i="9"/>
  <c r="N9" i="9"/>
  <c r="G18" i="9"/>
  <c r="H16" i="9" s="1"/>
  <c r="N10" i="9"/>
  <c r="P7" i="9"/>
  <c r="N11" i="9"/>
  <c r="H12" i="9"/>
  <c r="K7" i="9"/>
  <c r="K11" i="9"/>
  <c r="H8" i="9"/>
  <c r="P10" i="9"/>
  <c r="N12" i="9"/>
  <c r="H138" i="8"/>
  <c r="H139" i="8"/>
  <c r="H146" i="8"/>
  <c r="H135" i="8"/>
  <c r="H145" i="8"/>
  <c r="H140" i="8"/>
  <c r="B54" i="8"/>
  <c r="G93" i="8"/>
  <c r="G115" i="8"/>
  <c r="H105" i="8" s="1"/>
  <c r="G131" i="8"/>
  <c r="H129" i="8" s="1"/>
  <c r="G64" i="8"/>
  <c r="H57" i="8" s="1"/>
  <c r="G84" i="8"/>
  <c r="H72" i="8" s="1"/>
  <c r="G45" i="8"/>
  <c r="H37" i="8" s="1"/>
  <c r="G30" i="8"/>
  <c r="H22" i="8" s="1"/>
  <c r="H122" i="8" l="1"/>
  <c r="N51" i="1"/>
  <c r="N47" i="1"/>
  <c r="H130" i="8"/>
  <c r="N49" i="1"/>
  <c r="K12" i="9"/>
  <c r="K10" i="9"/>
  <c r="K8" i="9"/>
  <c r="N56" i="1"/>
  <c r="N55" i="1"/>
  <c r="N52" i="1"/>
  <c r="N54" i="1"/>
  <c r="N50" i="1"/>
  <c r="N46" i="1"/>
  <c r="N48" i="1"/>
  <c r="H15" i="9"/>
  <c r="H7" i="9"/>
  <c r="H9" i="9"/>
  <c r="H17" i="9"/>
  <c r="H10" i="9"/>
  <c r="H11" i="9"/>
  <c r="H13" i="9"/>
  <c r="H14" i="9"/>
  <c r="P18" i="9"/>
  <c r="Q7" i="9" s="1"/>
  <c r="H120" i="8"/>
  <c r="H128" i="8"/>
  <c r="H80" i="8"/>
  <c r="H75" i="8"/>
  <c r="H121" i="8"/>
  <c r="H56" i="8"/>
  <c r="H51" i="8"/>
  <c r="H63" i="8"/>
  <c r="H119" i="8"/>
  <c r="H123" i="8"/>
  <c r="H89" i="8"/>
  <c r="H88" i="8"/>
  <c r="H109" i="8"/>
  <c r="H111" i="8"/>
  <c r="H108" i="8"/>
  <c r="H110" i="8"/>
  <c r="H55" i="8"/>
  <c r="H60" i="8"/>
  <c r="H62" i="8"/>
  <c r="H49" i="8"/>
  <c r="H91" i="8"/>
  <c r="H50" i="8"/>
  <c r="H52" i="8"/>
  <c r="H54" i="8"/>
  <c r="H106" i="8"/>
  <c r="H79" i="8"/>
  <c r="H58" i="8"/>
  <c r="H53" i="8"/>
  <c r="H90" i="8"/>
  <c r="H107" i="8"/>
  <c r="H59" i="8"/>
  <c r="H61" i="8"/>
  <c r="H92" i="8"/>
  <c r="H71" i="8"/>
  <c r="H124" i="8"/>
  <c r="H127" i="8"/>
  <c r="H125" i="8"/>
  <c r="H126" i="8"/>
  <c r="H113" i="8"/>
  <c r="H112" i="8"/>
  <c r="H114" i="8"/>
  <c r="H29" i="8"/>
  <c r="H69" i="8"/>
  <c r="H77" i="8"/>
  <c r="H70" i="8"/>
  <c r="H78" i="8"/>
  <c r="H73" i="8"/>
  <c r="H81" i="8"/>
  <c r="H74" i="8"/>
  <c r="H82" i="8"/>
  <c r="H76" i="8"/>
  <c r="H68" i="8"/>
  <c r="H83" i="8"/>
  <c r="H36" i="8"/>
  <c r="H41" i="8"/>
  <c r="H40" i="8"/>
  <c r="H27" i="8"/>
  <c r="H23" i="8"/>
  <c r="H24" i="8"/>
  <c r="H25" i="8"/>
  <c r="H28" i="8"/>
  <c r="H42" i="8"/>
  <c r="H35" i="8"/>
  <c r="H43" i="8"/>
  <c r="H34" i="8"/>
  <c r="H38" i="8"/>
  <c r="H39" i="8"/>
  <c r="H44" i="8"/>
  <c r="H26" i="8"/>
  <c r="Q10" i="9" l="1"/>
  <c r="Q12" i="9"/>
  <c r="Q14" i="9"/>
  <c r="Q16" i="9"/>
  <c r="Q18" i="9"/>
  <c r="Q15" i="9"/>
  <c r="Q13" i="9"/>
  <c r="Q9" i="9"/>
  <c r="Q17" i="9"/>
  <c r="Q11" i="9"/>
  <c r="Q8" i="9"/>
  <c r="G18" i="8"/>
  <c r="H7" i="8" s="1"/>
  <c r="H14" i="8" l="1"/>
  <c r="H13" i="8"/>
  <c r="H12" i="8"/>
  <c r="H6" i="8"/>
  <c r="H9" i="8"/>
  <c r="H16" i="8"/>
  <c r="H8" i="8"/>
  <c r="H11" i="8"/>
  <c r="H10" i="8"/>
  <c r="H17" i="8"/>
  <c r="H15" i="8"/>
  <c r="N89" i="1" l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J76" i="1"/>
  <c r="J77" i="1"/>
  <c r="J78" i="1"/>
  <c r="J79" i="1"/>
  <c r="J80" i="1"/>
  <c r="J81" i="1"/>
  <c r="J82" i="1"/>
  <c r="J83" i="1"/>
  <c r="J84" i="1"/>
  <c r="H82" i="1"/>
  <c r="H83" i="1" s="1"/>
  <c r="B77" i="1"/>
  <c r="B82" i="1" s="1"/>
  <c r="B76" i="1"/>
  <c r="B81" i="1" s="1"/>
  <c r="B7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B46" i="1"/>
  <c r="B47" i="1"/>
  <c r="B50" i="1"/>
  <c r="B51" i="1"/>
  <c r="H48" i="1"/>
  <c r="H49" i="1"/>
  <c r="H50" i="1"/>
  <c r="H51" i="1"/>
  <c r="H52" i="1"/>
  <c r="H53" i="1"/>
  <c r="H54" i="1"/>
  <c r="H55" i="1"/>
  <c r="B30" i="1"/>
  <c r="H35" i="1" s="1"/>
  <c r="B33" i="1"/>
  <c r="G30" i="1"/>
  <c r="G31" i="1"/>
  <c r="G32" i="1"/>
  <c r="G33" i="1"/>
  <c r="G34" i="1"/>
  <c r="G35" i="1"/>
  <c r="L23" i="1"/>
  <c r="L22" i="1"/>
  <c r="L21" i="1"/>
  <c r="L20" i="1"/>
  <c r="L19" i="1"/>
  <c r="L18" i="1"/>
  <c r="L17" i="1"/>
  <c r="I21" i="1"/>
  <c r="H19" i="1"/>
  <c r="H20" i="1"/>
  <c r="H21" i="1"/>
  <c r="N90" i="1" l="1"/>
  <c r="O78" i="1" s="1"/>
  <c r="B80" i="1"/>
  <c r="B32" i="1"/>
  <c r="I35" i="1" s="1"/>
  <c r="I34" i="1" s="1"/>
  <c r="I33" i="1" s="1"/>
  <c r="I32" i="1" s="1"/>
  <c r="I31" i="1" s="1"/>
  <c r="I30" i="1" s="1"/>
  <c r="I29" i="1" s="1"/>
  <c r="B34" i="1" s="1"/>
  <c r="B84" i="1"/>
  <c r="B83" i="1"/>
  <c r="H84" i="1"/>
  <c r="B85" i="1"/>
  <c r="B48" i="1"/>
  <c r="B52" i="1" s="1"/>
  <c r="L41" i="1"/>
  <c r="M31" i="1" s="1"/>
  <c r="N31" i="1" s="1"/>
  <c r="H34" i="1"/>
  <c r="H33" i="1" s="1"/>
  <c r="H32" i="1" s="1"/>
  <c r="H31" i="1" s="1"/>
  <c r="H30" i="1" s="1"/>
  <c r="H29" i="1" s="1"/>
  <c r="L24" i="1"/>
  <c r="M19" i="1" s="1"/>
  <c r="N19" i="1" s="1"/>
  <c r="B49" i="1"/>
  <c r="B53" i="1" s="1"/>
  <c r="I20" i="1"/>
  <c r="I19" i="1" s="1"/>
  <c r="I18" i="1" s="1"/>
  <c r="B21" i="1" s="1"/>
  <c r="O82" i="1" l="1"/>
  <c r="O89" i="1"/>
  <c r="O86" i="1"/>
  <c r="O85" i="1"/>
  <c r="O81" i="1"/>
  <c r="T52" i="1"/>
  <c r="T58" i="1"/>
  <c r="T46" i="1"/>
  <c r="T53" i="1"/>
  <c r="T60" i="1"/>
  <c r="T51" i="1"/>
  <c r="T59" i="1"/>
  <c r="T57" i="1"/>
  <c r="T54" i="1"/>
  <c r="T49" i="1"/>
  <c r="T48" i="1"/>
  <c r="T55" i="1"/>
  <c r="T47" i="1"/>
  <c r="T56" i="1"/>
  <c r="T50" i="1"/>
  <c r="O74" i="1"/>
  <c r="J55" i="1"/>
  <c r="J54" i="1" s="1"/>
  <c r="J53" i="1" s="1"/>
  <c r="J52" i="1" s="1"/>
  <c r="J51" i="1" s="1"/>
  <c r="J50" i="1" s="1"/>
  <c r="J49" i="1" s="1"/>
  <c r="J48" i="1" s="1"/>
  <c r="J47" i="1" s="1"/>
  <c r="B57" i="1" s="1"/>
  <c r="I55" i="1"/>
  <c r="I54" i="1" s="1"/>
  <c r="I53" i="1" s="1"/>
  <c r="I52" i="1" s="1"/>
  <c r="I51" i="1" s="1"/>
  <c r="I50" i="1" s="1"/>
  <c r="I49" i="1" s="1"/>
  <c r="I48" i="1" s="1"/>
  <c r="I47" i="1" s="1"/>
  <c r="O51" i="1"/>
  <c r="O52" i="1"/>
  <c r="O53" i="1"/>
  <c r="O54" i="1"/>
  <c r="O47" i="1"/>
  <c r="O55" i="1"/>
  <c r="O48" i="1"/>
  <c r="O56" i="1"/>
  <c r="O49" i="1"/>
  <c r="O46" i="1"/>
  <c r="O50" i="1"/>
  <c r="O83" i="1"/>
  <c r="O79" i="1"/>
  <c r="O87" i="1"/>
  <c r="O76" i="1"/>
  <c r="O80" i="1"/>
  <c r="O88" i="1"/>
  <c r="O84" i="1"/>
  <c r="O75" i="1"/>
  <c r="O77" i="1"/>
  <c r="I76" i="1"/>
  <c r="K76" i="1" s="1"/>
  <c r="M40" i="1"/>
  <c r="N40" i="1" s="1"/>
  <c r="M36" i="1"/>
  <c r="N36" i="1" s="1"/>
  <c r="M32" i="1"/>
  <c r="N32" i="1" s="1"/>
  <c r="I84" i="1"/>
  <c r="K84" i="1" s="1"/>
  <c r="B86" i="1" s="1"/>
  <c r="P78" i="1" s="1"/>
  <c r="M39" i="1"/>
  <c r="N39" i="1" s="1"/>
  <c r="M37" i="1"/>
  <c r="N37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M29" i="1"/>
  <c r="N29" i="1" s="1"/>
  <c r="M38" i="1"/>
  <c r="N38" i="1" s="1"/>
  <c r="M35" i="1"/>
  <c r="N35" i="1" s="1"/>
  <c r="M30" i="1"/>
  <c r="N30" i="1" s="1"/>
  <c r="M34" i="1"/>
  <c r="N34" i="1" s="1"/>
  <c r="M33" i="1"/>
  <c r="N33" i="1" s="1"/>
  <c r="M28" i="1"/>
  <c r="N28" i="1" s="1"/>
  <c r="M18" i="1"/>
  <c r="N18" i="1" s="1"/>
  <c r="M22" i="1"/>
  <c r="N22" i="1" s="1"/>
  <c r="M20" i="1"/>
  <c r="N20" i="1" s="1"/>
  <c r="M21" i="1"/>
  <c r="N21" i="1" s="1"/>
  <c r="M23" i="1"/>
  <c r="N23" i="1" s="1"/>
  <c r="M17" i="1"/>
  <c r="N17" i="1" s="1"/>
  <c r="P86" i="1" l="1"/>
  <c r="P79" i="1"/>
  <c r="P77" i="1"/>
  <c r="P75" i="1"/>
  <c r="P83" i="1"/>
  <c r="P84" i="1"/>
  <c r="B56" i="1"/>
  <c r="P82" i="1"/>
  <c r="P81" i="1"/>
  <c r="P89" i="1"/>
  <c r="P88" i="1"/>
  <c r="P80" i="1"/>
  <c r="P76" i="1"/>
  <c r="P74" i="1"/>
  <c r="P87" i="1"/>
  <c r="P85" i="1"/>
  <c r="B87" i="1"/>
  <c r="G11" i="1" l="1"/>
  <c r="G10" i="1"/>
  <c r="G9" i="1"/>
  <c r="G8" i="1"/>
  <c r="G7" i="1"/>
  <c r="G6" i="1"/>
  <c r="G5" i="1"/>
  <c r="G12" i="1" l="1"/>
  <c r="H6" i="1" l="1"/>
  <c r="H10" i="1"/>
  <c r="H5" i="1"/>
  <c r="H9" i="1"/>
  <c r="H8" i="1"/>
  <c r="H7" i="1"/>
  <c r="H11" i="1"/>
  <c r="B10" i="1" l="1"/>
  <c r="B9" i="1"/>
  <c r="B11" i="1" l="1"/>
  <c r="I7" i="1" s="1"/>
  <c r="B13" i="1"/>
  <c r="I10" i="1"/>
  <c r="I5" i="1"/>
  <c r="I6" i="1"/>
  <c r="I11" i="1"/>
  <c r="I8" i="1" l="1"/>
  <c r="I9" i="1"/>
  <c r="B32" i="11" l="1"/>
  <c r="B38" i="11" l="1"/>
  <c r="B45" i="11"/>
  <c r="B119" i="8" l="1"/>
  <c r="B88" i="9"/>
  <c r="B53" i="13"/>
  <c r="B17" i="13"/>
  <c r="B41" i="13"/>
  <c r="B238" i="12"/>
  <c r="B182" i="12"/>
  <c r="B133" i="12"/>
  <c r="B98" i="12"/>
  <c r="B93" i="9" l="1"/>
  <c r="B99" i="9"/>
  <c r="B124" i="8"/>
  <c r="B121" i="8"/>
  <c r="B10" i="11"/>
  <c r="B33" i="11"/>
  <c r="B50" i="8"/>
  <c r="B290" i="11"/>
  <c r="B55" i="8" l="1"/>
  <c r="B56" i="8" s="1"/>
  <c r="B79" i="9" s="1"/>
  <c r="B52" i="8"/>
  <c r="B53" i="8" s="1"/>
  <c r="B169" i="11"/>
  <c r="B152" i="11"/>
  <c r="B72" i="9" l="1"/>
  <c r="I52" i="8"/>
  <c r="I58" i="8"/>
  <c r="I55" i="8"/>
  <c r="I59" i="8"/>
  <c r="I51" i="8"/>
  <c r="I49" i="8"/>
  <c r="I60" i="8"/>
  <c r="I56" i="8"/>
  <c r="I50" i="8"/>
  <c r="I54" i="8"/>
  <c r="I61" i="8"/>
  <c r="I53" i="8"/>
  <c r="I63" i="8"/>
  <c r="I62" i="8"/>
  <c r="I57" i="8"/>
  <c r="B178" i="11"/>
  <c r="B173" i="11"/>
  <c r="B289" i="11" l="1"/>
  <c r="B96" i="11"/>
  <c r="B53" i="11"/>
  <c r="B91" i="8"/>
  <c r="B90" i="8"/>
  <c r="B89" i="8"/>
  <c r="B93" i="8" l="1"/>
  <c r="B98" i="8"/>
  <c r="B95" i="8"/>
  <c r="B100" i="8"/>
  <c r="B99" i="8"/>
  <c r="B94" i="8"/>
  <c r="B5" i="10"/>
  <c r="B22" i="8"/>
  <c r="B34" i="8"/>
  <c r="B5" i="8"/>
  <c r="B23" i="9"/>
  <c r="B5" i="9" l="1"/>
  <c r="B52" i="11"/>
  <c r="B51" i="11"/>
  <c r="B351" i="11"/>
  <c r="B22" i="9"/>
  <c r="B148" i="11"/>
  <c r="B122" i="11"/>
  <c r="B197" i="11"/>
  <c r="B328" i="11"/>
  <c r="B352" i="11"/>
  <c r="B10" i="8"/>
  <c r="B7" i="8"/>
  <c r="B35" i="8"/>
  <c r="B36" i="8"/>
  <c r="B38" i="9"/>
  <c r="B121" i="11"/>
  <c r="B23" i="8"/>
  <c r="B24" i="8"/>
  <c r="B28" i="10"/>
  <c r="B6" i="9"/>
  <c r="B25" i="9" l="1"/>
  <c r="B159" i="11" s="1"/>
  <c r="B40" i="9"/>
  <c r="I38" i="9" s="1"/>
  <c r="I42" i="8"/>
  <c r="I39" i="8"/>
  <c r="I44" i="8"/>
  <c r="I36" i="8"/>
  <c r="I40" i="8"/>
  <c r="I41" i="8"/>
  <c r="I43" i="8"/>
  <c r="I34" i="8"/>
  <c r="I35" i="8"/>
  <c r="I37" i="8"/>
  <c r="I38" i="8"/>
  <c r="B41" i="9"/>
  <c r="B128" i="11" s="1"/>
  <c r="B24" i="9"/>
  <c r="I23" i="8"/>
  <c r="I29" i="8"/>
  <c r="I26" i="8"/>
  <c r="I22" i="8"/>
  <c r="I27" i="8"/>
  <c r="I28" i="8"/>
  <c r="I25" i="8"/>
  <c r="I24" i="8"/>
  <c r="B364" i="11"/>
  <c r="B88" i="8"/>
  <c r="B85" i="9"/>
  <c r="B89" i="9"/>
  <c r="B65" i="9"/>
  <c r="B64" i="9"/>
  <c r="B63" i="9"/>
  <c r="B136" i="8"/>
  <c r="B69" i="8"/>
  <c r="B68" i="8"/>
  <c r="B6" i="8"/>
  <c r="B129" i="11" l="1"/>
  <c r="B23" i="11"/>
  <c r="B46" i="11"/>
  <c r="B210" i="11"/>
  <c r="I39" i="9"/>
  <c r="I40" i="9"/>
  <c r="I41" i="9"/>
  <c r="I49" i="9"/>
  <c r="I57" i="9"/>
  <c r="I50" i="9"/>
  <c r="I51" i="9"/>
  <c r="I44" i="9"/>
  <c r="I52" i="9"/>
  <c r="I53" i="9"/>
  <c r="I46" i="9"/>
  <c r="I47" i="9"/>
  <c r="I56" i="9"/>
  <c r="I42" i="9"/>
  <c r="I43" i="9"/>
  <c r="I45" i="9"/>
  <c r="I54" i="9"/>
  <c r="I55" i="9"/>
  <c r="I48" i="9"/>
  <c r="B153" i="11"/>
  <c r="I22" i="9"/>
  <c r="B63" i="11"/>
  <c r="B356" i="11"/>
  <c r="B341" i="11"/>
  <c r="B353" i="11"/>
  <c r="B124" i="11"/>
  <c r="B260" i="11"/>
  <c r="B332" i="11"/>
  <c r="B201" i="11"/>
  <c r="B287" i="11"/>
  <c r="B106" i="11"/>
  <c r="B383" i="11"/>
  <c r="B31" i="11"/>
  <c r="B8" i="11"/>
  <c r="B242" i="11"/>
  <c r="B171" i="11"/>
  <c r="B151" i="11"/>
  <c r="B138" i="11"/>
  <c r="B71" i="8"/>
  <c r="B74" i="8"/>
  <c r="B94" i="9"/>
  <c r="B100" i="9"/>
  <c r="B200" i="11"/>
  <c r="B259" i="11"/>
  <c r="B170" i="11"/>
  <c r="B30" i="11"/>
  <c r="B7" i="11"/>
  <c r="B286" i="11"/>
  <c r="B382" i="11"/>
  <c r="B331" i="11"/>
  <c r="B105" i="11"/>
  <c r="B150" i="11"/>
  <c r="B241" i="11"/>
  <c r="B137" i="11"/>
  <c r="B334" i="11"/>
  <c r="I30" i="9"/>
  <c r="I26" i="9"/>
  <c r="I33" i="9"/>
  <c r="I23" i="9"/>
  <c r="I25" i="9"/>
  <c r="I28" i="9"/>
  <c r="B58" i="11"/>
  <c r="I27" i="9"/>
  <c r="I32" i="9"/>
  <c r="I24" i="9"/>
  <c r="I31" i="9"/>
  <c r="I29" i="9"/>
  <c r="B16" i="11"/>
  <c r="B39" i="11"/>
  <c r="B125" i="11"/>
  <c r="B8" i="8"/>
  <c r="B9" i="8" s="1"/>
  <c r="B11" i="8"/>
  <c r="B12" i="8" s="1"/>
  <c r="B8" i="9" s="1"/>
  <c r="B29" i="11"/>
  <c r="B258" i="11"/>
  <c r="B104" i="11"/>
  <c r="B6" i="11"/>
  <c r="B381" i="11"/>
  <c r="B330" i="11"/>
  <c r="B199" i="11"/>
  <c r="B135" i="8"/>
  <c r="B73" i="8"/>
  <c r="B70" i="8"/>
  <c r="B96" i="9"/>
  <c r="B90" i="9"/>
  <c r="B203" i="11"/>
  <c r="B257" i="11"/>
  <c r="B329" i="11"/>
  <c r="B284" i="11"/>
  <c r="B29" i="10"/>
  <c r="B198" i="11"/>
  <c r="B168" i="11"/>
  <c r="B5" i="11"/>
  <c r="B28" i="11"/>
  <c r="B380" i="11"/>
  <c r="B103" i="11"/>
  <c r="B70" i="9"/>
  <c r="B77" i="9"/>
  <c r="B62" i="9"/>
  <c r="B365" i="11"/>
  <c r="B92" i="8"/>
  <c r="B96" i="8" s="1"/>
  <c r="B97" i="8"/>
  <c r="B101" i="8" s="1"/>
  <c r="B307" i="11" s="1"/>
  <c r="B69" i="9"/>
  <c r="B76" i="9"/>
  <c r="B78" i="9"/>
  <c r="B71" i="9"/>
  <c r="B120" i="8"/>
  <c r="B143" i="8"/>
  <c r="B139" i="8"/>
  <c r="B105" i="8"/>
  <c r="B86" i="9"/>
  <c r="B27" i="10"/>
  <c r="B72" i="8" l="1"/>
  <c r="I89" i="8"/>
  <c r="I91" i="8"/>
  <c r="I88" i="8"/>
  <c r="I90" i="8"/>
  <c r="I92" i="8"/>
  <c r="B298" i="11"/>
  <c r="B172" i="11"/>
  <c r="B177" i="11"/>
  <c r="B13" i="11"/>
  <c r="B20" i="11"/>
  <c r="B394" i="11"/>
  <c r="B388" i="11"/>
  <c r="I17" i="8"/>
  <c r="I13" i="8"/>
  <c r="I14" i="8"/>
  <c r="I7" i="8"/>
  <c r="I8" i="8"/>
  <c r="I11" i="8"/>
  <c r="I16" i="8"/>
  <c r="I9" i="8"/>
  <c r="I12" i="8"/>
  <c r="I10" i="8"/>
  <c r="I6" i="8"/>
  <c r="I15" i="8"/>
  <c r="B7" i="9"/>
  <c r="B387" i="11"/>
  <c r="B393" i="11"/>
  <c r="B21" i="11"/>
  <c r="B14" i="11"/>
  <c r="B122" i="8"/>
  <c r="B123" i="8" s="1"/>
  <c r="B125" i="8"/>
  <c r="B126" i="8" s="1"/>
  <c r="B204" i="11"/>
  <c r="B211" i="11"/>
  <c r="B75" i="8"/>
  <c r="B19" i="11"/>
  <c r="B12" i="11"/>
  <c r="B139" i="11"/>
  <c r="B142" i="11"/>
  <c r="B36" i="11"/>
  <c r="B43" i="11"/>
  <c r="B115" i="11"/>
  <c r="B110" i="11"/>
  <c r="B336" i="11"/>
  <c r="B343" i="11"/>
  <c r="B294" i="11"/>
  <c r="B303" i="11"/>
  <c r="B37" i="11"/>
  <c r="B44" i="11"/>
  <c r="B386" i="11"/>
  <c r="B392" i="11"/>
  <c r="B292" i="11"/>
  <c r="B301" i="11"/>
  <c r="B113" i="11"/>
  <c r="B108" i="11"/>
  <c r="B244" i="11"/>
  <c r="B248" i="11"/>
  <c r="B174" i="11"/>
  <c r="B179" i="11"/>
  <c r="B140" i="11"/>
  <c r="B143" i="11"/>
  <c r="B304" i="11"/>
  <c r="B295" i="11"/>
  <c r="B18" i="11"/>
  <c r="B11" i="11"/>
  <c r="B75" i="9"/>
  <c r="B68" i="9"/>
  <c r="B107" i="8"/>
  <c r="B369" i="11" s="1"/>
  <c r="B106" i="8"/>
  <c r="B112" i="11"/>
  <c r="B107" i="11"/>
  <c r="B342" i="11"/>
  <c r="B335" i="11"/>
  <c r="B267" i="11"/>
  <c r="B262" i="11"/>
  <c r="B155" i="11"/>
  <c r="B161" i="11"/>
  <c r="B263" i="11"/>
  <c r="B268" i="11"/>
  <c r="B156" i="11"/>
  <c r="B162" i="11"/>
  <c r="B214" i="11"/>
  <c r="B207" i="11"/>
  <c r="B205" i="11"/>
  <c r="B212" i="11"/>
  <c r="I81" i="8"/>
  <c r="I80" i="8"/>
  <c r="I79" i="8"/>
  <c r="I76" i="8"/>
  <c r="I74" i="8"/>
  <c r="I72" i="8"/>
  <c r="I82" i="8"/>
  <c r="I77" i="8"/>
  <c r="I69" i="8"/>
  <c r="I68" i="8"/>
  <c r="I73" i="8"/>
  <c r="I78" i="8"/>
  <c r="I75" i="8"/>
  <c r="I71" i="8"/>
  <c r="I83" i="8"/>
  <c r="I70" i="8"/>
  <c r="B40" i="10"/>
  <c r="B34" i="10"/>
  <c r="B385" i="11"/>
  <c r="B391" i="11"/>
  <c r="B261" i="11"/>
  <c r="B266" i="11"/>
  <c r="B42" i="11"/>
  <c r="B35" i="11"/>
  <c r="B109" i="11"/>
  <c r="B114" i="11"/>
  <c r="B206" i="11"/>
  <c r="B213" i="11"/>
  <c r="B175" i="11"/>
  <c r="B180" i="11"/>
  <c r="B345" i="11"/>
  <c r="B338" i="11"/>
  <c r="B34" i="11"/>
  <c r="B41" i="11"/>
  <c r="B142" i="8"/>
  <c r="B138" i="8"/>
  <c r="B7" i="10"/>
  <c r="B61" i="11" s="1"/>
  <c r="B222" i="11"/>
  <c r="B357" i="11"/>
  <c r="B358" i="11" s="1"/>
  <c r="B227" i="12" s="1"/>
  <c r="B109" i="13" s="1"/>
  <c r="B187" i="11"/>
  <c r="B61" i="13" s="1"/>
  <c r="B39" i="10"/>
  <c r="B344" i="11"/>
  <c r="B337" i="11"/>
  <c r="B249" i="11"/>
  <c r="B245" i="11"/>
  <c r="B269" i="11"/>
  <c r="B264" i="11"/>
  <c r="B127" i="11"/>
  <c r="B130" i="11" s="1"/>
  <c r="B123" i="11"/>
  <c r="B126" i="11" s="1"/>
  <c r="B181" i="11" l="1"/>
  <c r="B55" i="13" s="1"/>
  <c r="B97" i="9"/>
  <c r="B38" i="10"/>
  <c r="B144" i="11"/>
  <c r="B43" i="13" s="1"/>
  <c r="B141" i="11"/>
  <c r="I141" i="11" s="1"/>
  <c r="B270" i="11"/>
  <c r="B79" i="13" s="1"/>
  <c r="B111" i="11"/>
  <c r="I105" i="11" s="1"/>
  <c r="I124" i="8"/>
  <c r="I122" i="8"/>
  <c r="I123" i="8"/>
  <c r="I128" i="8"/>
  <c r="I127" i="8"/>
  <c r="I121" i="8"/>
  <c r="I119" i="8"/>
  <c r="I126" i="8"/>
  <c r="I125" i="8"/>
  <c r="I130" i="8"/>
  <c r="I120" i="8"/>
  <c r="I129" i="8"/>
  <c r="B176" i="11"/>
  <c r="B116" i="11"/>
  <c r="B88" i="12" s="1"/>
  <c r="B31" i="13" s="1"/>
  <c r="B47" i="11"/>
  <c r="B25" i="13" s="1"/>
  <c r="B32" i="10"/>
  <c r="I110" i="8"/>
  <c r="I113" i="8"/>
  <c r="I111" i="8"/>
  <c r="I114" i="8"/>
  <c r="I109" i="8"/>
  <c r="I112" i="8"/>
  <c r="I107" i="8"/>
  <c r="I106" i="8"/>
  <c r="I108" i="8"/>
  <c r="I105" i="8"/>
  <c r="B366" i="11"/>
  <c r="B265" i="11"/>
  <c r="B40" i="11"/>
  <c r="R12" i="9"/>
  <c r="R15" i="9"/>
  <c r="R10" i="9"/>
  <c r="R11" i="9"/>
  <c r="R9" i="9"/>
  <c r="R14" i="9"/>
  <c r="R16" i="9"/>
  <c r="R8" i="9"/>
  <c r="R7" i="9"/>
  <c r="R13" i="9"/>
  <c r="R17" i="9"/>
  <c r="B6" i="10"/>
  <c r="B33" i="10"/>
  <c r="B221" i="11"/>
  <c r="B354" i="11"/>
  <c r="B355" i="11" s="1"/>
  <c r="B186" i="11"/>
  <c r="B91" i="9"/>
  <c r="I120" i="11"/>
  <c r="I128" i="11"/>
  <c r="I125" i="11"/>
  <c r="I121" i="11"/>
  <c r="I131" i="11"/>
  <c r="I126" i="11"/>
  <c r="I132" i="11"/>
  <c r="I123" i="11"/>
  <c r="B115" i="12"/>
  <c r="I122" i="11"/>
  <c r="B99" i="12"/>
  <c r="I127" i="11"/>
  <c r="I124" i="11"/>
  <c r="I129" i="11"/>
  <c r="I130" i="11"/>
  <c r="B116" i="12"/>
  <c r="B100" i="12"/>
  <c r="B37" i="13" s="1"/>
  <c r="I106" i="11" l="1"/>
  <c r="I104" i="11"/>
  <c r="B87" i="12"/>
  <c r="I86" i="12" s="1"/>
  <c r="B42" i="13"/>
  <c r="I138" i="11"/>
  <c r="I139" i="11"/>
  <c r="I137" i="11"/>
  <c r="I140" i="11"/>
  <c r="I103" i="11"/>
  <c r="I355" i="11"/>
  <c r="I353" i="11"/>
  <c r="I357" i="11"/>
  <c r="I358" i="11"/>
  <c r="I354" i="11"/>
  <c r="I352" i="11"/>
  <c r="I356" i="11"/>
  <c r="I359" i="11"/>
  <c r="B226" i="12"/>
  <c r="I351" i="11"/>
  <c r="I223" i="11"/>
  <c r="I226" i="11"/>
  <c r="I232" i="11"/>
  <c r="I231" i="11"/>
  <c r="I235" i="11"/>
  <c r="I221" i="11"/>
  <c r="I224" i="11"/>
  <c r="I220" i="11"/>
  <c r="I233" i="11"/>
  <c r="I228" i="11"/>
  <c r="I225" i="11"/>
  <c r="I234" i="11"/>
  <c r="I229" i="11"/>
  <c r="I222" i="11"/>
  <c r="I230" i="11"/>
  <c r="I227" i="11"/>
  <c r="I31" i="11"/>
  <c r="I41" i="11"/>
  <c r="I38" i="11"/>
  <c r="I40" i="11"/>
  <c r="I36" i="11"/>
  <c r="B24" i="13"/>
  <c r="I32" i="11"/>
  <c r="I35" i="11"/>
  <c r="I39" i="11"/>
  <c r="I28" i="11"/>
  <c r="I42" i="11"/>
  <c r="I33" i="11"/>
  <c r="I30" i="11"/>
  <c r="I29" i="11"/>
  <c r="I37" i="11"/>
  <c r="I34" i="11"/>
  <c r="I21" i="10"/>
  <c r="I11" i="10"/>
  <c r="I15" i="10"/>
  <c r="I7" i="10"/>
  <c r="I10" i="10"/>
  <c r="I13" i="10"/>
  <c r="I17" i="10"/>
  <c r="I18" i="10"/>
  <c r="I22" i="10"/>
  <c r="I5" i="10"/>
  <c r="I8" i="10"/>
  <c r="I9" i="10"/>
  <c r="I14" i="10"/>
  <c r="I12" i="10"/>
  <c r="I20" i="10"/>
  <c r="I16" i="10"/>
  <c r="I19" i="10"/>
  <c r="I6" i="10"/>
  <c r="B56" i="11"/>
  <c r="I176" i="11"/>
  <c r="I169" i="11"/>
  <c r="I172" i="11"/>
  <c r="I174" i="11"/>
  <c r="I170" i="11"/>
  <c r="I171" i="11"/>
  <c r="I177" i="11"/>
  <c r="I175" i="11"/>
  <c r="I173" i="11"/>
  <c r="I168" i="11"/>
  <c r="B54" i="13"/>
  <c r="I261" i="11"/>
  <c r="I268" i="11"/>
  <c r="I264" i="11"/>
  <c r="I266" i="11"/>
  <c r="I265" i="11"/>
  <c r="B78" i="13"/>
  <c r="I263" i="11"/>
  <c r="I260" i="11"/>
  <c r="I262" i="11"/>
  <c r="I259" i="11"/>
  <c r="I258" i="11"/>
  <c r="I257" i="11"/>
  <c r="I267" i="11"/>
  <c r="I188" i="11"/>
  <c r="I192" i="11"/>
  <c r="B60" i="13"/>
  <c r="I185" i="11"/>
  <c r="I186" i="11"/>
  <c r="I187" i="11"/>
  <c r="I190" i="11"/>
  <c r="I191" i="11"/>
  <c r="I189" i="11"/>
  <c r="I102" i="12"/>
  <c r="I108" i="12"/>
  <c r="I98" i="12"/>
  <c r="I99" i="12"/>
  <c r="I106" i="12"/>
  <c r="I109" i="12"/>
  <c r="I105" i="12"/>
  <c r="I107" i="12"/>
  <c r="B36" i="13"/>
  <c r="I103" i="12"/>
  <c r="I101" i="12"/>
  <c r="I100" i="12"/>
  <c r="I104" i="12"/>
  <c r="I114" i="12"/>
  <c r="I119" i="12"/>
  <c r="I120" i="12"/>
  <c r="I116" i="12"/>
  <c r="I128" i="12"/>
  <c r="I115" i="12"/>
  <c r="I118" i="12"/>
  <c r="I125" i="12"/>
  <c r="I117" i="12"/>
  <c r="I121" i="12"/>
  <c r="I123" i="12"/>
  <c r="I127" i="12"/>
  <c r="I124" i="12"/>
  <c r="I122" i="12"/>
  <c r="I126" i="12"/>
  <c r="B30" i="13" l="1"/>
  <c r="I89" i="12"/>
  <c r="I87" i="12"/>
  <c r="I92" i="12"/>
  <c r="I93" i="12"/>
  <c r="I90" i="12"/>
  <c r="I91" i="12"/>
  <c r="I88" i="12"/>
  <c r="B108" i="13"/>
  <c r="I225" i="12"/>
  <c r="I229" i="12"/>
  <c r="I226" i="12"/>
  <c r="I230" i="12"/>
  <c r="I233" i="12"/>
  <c r="I231" i="12"/>
  <c r="I227" i="12"/>
  <c r="I232" i="12"/>
  <c r="I228" i="12"/>
  <c r="B67" i="9" l="1"/>
  <c r="B149" i="11"/>
  <c r="B30" i="10"/>
  <c r="B87" i="9"/>
  <c r="B92" i="9" l="1"/>
  <c r="B95" i="9" s="1"/>
  <c r="B98" i="9"/>
  <c r="B101" i="9" s="1"/>
  <c r="B163" i="11" s="1"/>
  <c r="B35" i="10"/>
  <c r="B41" i="10"/>
  <c r="B154" i="11"/>
  <c r="B160" i="11"/>
  <c r="B164" i="11" s="1"/>
  <c r="B49" i="13" s="1"/>
  <c r="B73" i="9"/>
  <c r="B74" i="9" s="1"/>
  <c r="B80" i="9"/>
  <c r="B81" i="9" s="1"/>
  <c r="I62" i="9" l="1"/>
  <c r="B97" i="11"/>
  <c r="I66" i="9"/>
  <c r="B57" i="11"/>
  <c r="I69" i="9"/>
  <c r="B367" i="11"/>
  <c r="B368" i="11" s="1"/>
  <c r="I67" i="9"/>
  <c r="I63" i="9"/>
  <c r="B15" i="11"/>
  <c r="B17" i="11" s="1"/>
  <c r="B185" i="12"/>
  <c r="B297" i="11"/>
  <c r="I65" i="9"/>
  <c r="I68" i="9"/>
  <c r="I64" i="9"/>
  <c r="B22" i="11"/>
  <c r="B24" i="11" s="1"/>
  <c r="B7" i="12" s="1"/>
  <c r="B7" i="13" s="1"/>
  <c r="B188" i="12"/>
  <c r="B306" i="11"/>
  <c r="B62" i="11"/>
  <c r="B98" i="11"/>
  <c r="B370" i="11"/>
  <c r="B371" i="11" s="1"/>
  <c r="J91" i="9"/>
  <c r="J87" i="9"/>
  <c r="B157" i="11"/>
  <c r="B158" i="11" s="1"/>
  <c r="J89" i="9"/>
  <c r="J92" i="9"/>
  <c r="J93" i="9"/>
  <c r="J88" i="9"/>
  <c r="J90" i="9"/>
  <c r="B240" i="12" l="1"/>
  <c r="B115" i="13" s="1"/>
  <c r="B257" i="12"/>
  <c r="B19" i="13"/>
  <c r="B78" i="12"/>
  <c r="I96" i="11"/>
  <c r="B77" i="12"/>
  <c r="I98" i="11"/>
  <c r="I97" i="11"/>
  <c r="B18" i="13"/>
  <c r="B48" i="13"/>
  <c r="I151" i="11"/>
  <c r="I149" i="11"/>
  <c r="I148" i="11"/>
  <c r="I150" i="11"/>
  <c r="B256" i="12"/>
  <c r="I370" i="11"/>
  <c r="I366" i="11"/>
  <c r="B239" i="12"/>
  <c r="I375" i="11"/>
  <c r="I369" i="11"/>
  <c r="I371" i="11"/>
  <c r="I368" i="11"/>
  <c r="I364" i="11"/>
  <c r="I367" i="11"/>
  <c r="I365" i="11"/>
  <c r="I372" i="11"/>
  <c r="I374" i="11"/>
  <c r="I373" i="11"/>
  <c r="I6" i="11"/>
  <c r="I12" i="11"/>
  <c r="I5" i="11"/>
  <c r="I8" i="11"/>
  <c r="I16" i="11"/>
  <c r="I9" i="11"/>
  <c r="I13" i="11"/>
  <c r="I11" i="11"/>
  <c r="I14" i="11"/>
  <c r="I10" i="11"/>
  <c r="B6" i="12"/>
  <c r="I15" i="11"/>
  <c r="I7" i="11"/>
  <c r="I10" i="12" l="1"/>
  <c r="I5" i="12"/>
  <c r="I12" i="12"/>
  <c r="I7" i="12"/>
  <c r="I15" i="12"/>
  <c r="I11" i="12"/>
  <c r="I8" i="12"/>
  <c r="I14" i="12"/>
  <c r="I6" i="12"/>
  <c r="I9" i="12"/>
  <c r="B6" i="13"/>
  <c r="I13" i="12"/>
  <c r="I79" i="12"/>
  <c r="I77" i="12"/>
  <c r="I76" i="12"/>
  <c r="I81" i="12"/>
  <c r="I80" i="12"/>
  <c r="I78" i="12"/>
  <c r="I238" i="12"/>
  <c r="I240" i="12"/>
  <c r="I239" i="12"/>
  <c r="I247" i="12"/>
  <c r="I249" i="12"/>
  <c r="I248" i="12"/>
  <c r="I244" i="12"/>
  <c r="B114" i="13"/>
  <c r="I243" i="12"/>
  <c r="I245" i="12"/>
  <c r="I246" i="12"/>
  <c r="I241" i="12"/>
  <c r="I250" i="12"/>
  <c r="I242" i="12"/>
  <c r="I262" i="12"/>
  <c r="I263" i="12"/>
  <c r="I257" i="12"/>
  <c r="I260" i="12"/>
  <c r="I269" i="12"/>
  <c r="I256" i="12"/>
  <c r="I270" i="12"/>
  <c r="I272" i="12"/>
  <c r="I258" i="12"/>
  <c r="I261" i="12"/>
  <c r="I259" i="12"/>
  <c r="I265" i="12"/>
  <c r="I273" i="12"/>
  <c r="I267" i="12"/>
  <c r="I271" i="12"/>
  <c r="I275" i="12"/>
  <c r="I274" i="12"/>
  <c r="I255" i="12"/>
  <c r="I276" i="12"/>
  <c r="I264" i="12"/>
  <c r="I266" i="12"/>
  <c r="I268" i="12"/>
  <c r="B31" i="10" l="1"/>
  <c r="B137" i="8"/>
  <c r="B384" i="11"/>
  <c r="B288" i="11"/>
  <c r="B296" i="11" l="1"/>
  <c r="B305" i="11"/>
  <c r="B140" i="8"/>
  <c r="B141" i="8" s="1"/>
  <c r="B144" i="8"/>
  <c r="B145" i="8" s="1"/>
  <c r="B42" i="10" s="1"/>
  <c r="B43" i="10" s="1"/>
  <c r="B395" i="11"/>
  <c r="B396" i="11" s="1"/>
  <c r="B121" i="13" s="1"/>
  <c r="B389" i="11"/>
  <c r="B390" i="11" s="1"/>
  <c r="I384" i="11" l="1"/>
  <c r="B120" i="13"/>
  <c r="I381" i="11"/>
  <c r="I380" i="11"/>
  <c r="I382" i="11"/>
  <c r="I385" i="11"/>
  <c r="I386" i="11"/>
  <c r="I383" i="11"/>
  <c r="B276" i="11"/>
  <c r="B85" i="13" s="1"/>
  <c r="B215" i="11"/>
  <c r="B216" i="11" s="1"/>
  <c r="B346" i="11"/>
  <c r="B347" i="11" s="1"/>
  <c r="B60" i="11"/>
  <c r="B64" i="11" s="1"/>
  <c r="B308" i="11"/>
  <c r="B309" i="11" s="1"/>
  <c r="B91" i="13" s="1"/>
  <c r="B36" i="10"/>
  <c r="B37" i="10" s="1"/>
  <c r="I142" i="8"/>
  <c r="I144" i="8"/>
  <c r="I137" i="8"/>
  <c r="I145" i="8"/>
  <c r="I139" i="8"/>
  <c r="I138" i="8"/>
  <c r="I140" i="8"/>
  <c r="I135" i="8"/>
  <c r="I141" i="8"/>
  <c r="I136" i="8"/>
  <c r="I143" i="8"/>
  <c r="I146" i="8"/>
  <c r="B52" i="12" l="1"/>
  <c r="B22" i="12"/>
  <c r="B13" i="13" s="1"/>
  <c r="B339" i="11"/>
  <c r="B340" i="11" s="1"/>
  <c r="I30" i="10"/>
  <c r="I44" i="10"/>
  <c r="B55" i="11"/>
  <c r="B59" i="11" s="1"/>
  <c r="I31" i="10"/>
  <c r="I34" i="10"/>
  <c r="I42" i="10"/>
  <c r="I29" i="10"/>
  <c r="I27" i="10"/>
  <c r="I35" i="10"/>
  <c r="B208" i="11"/>
  <c r="B209" i="11" s="1"/>
  <c r="I38" i="10"/>
  <c r="I40" i="10"/>
  <c r="I41" i="10"/>
  <c r="B275" i="11"/>
  <c r="I28" i="10"/>
  <c r="I45" i="10"/>
  <c r="I37" i="10"/>
  <c r="I43" i="10"/>
  <c r="I36" i="10"/>
  <c r="I33" i="10"/>
  <c r="B299" i="11"/>
  <c r="B300" i="11" s="1"/>
  <c r="I39" i="10"/>
  <c r="I32" i="10"/>
  <c r="B203" i="12"/>
  <c r="B187" i="12"/>
  <c r="B189" i="12" s="1"/>
  <c r="B103" i="13" s="1"/>
  <c r="B145" i="12"/>
  <c r="B135" i="12"/>
  <c r="B67" i="13" s="1"/>
  <c r="I68" i="11" l="1"/>
  <c r="I88" i="11"/>
  <c r="I78" i="11"/>
  <c r="I73" i="11"/>
  <c r="I83" i="11"/>
  <c r="I81" i="11"/>
  <c r="B21" i="12"/>
  <c r="I52" i="11"/>
  <c r="I71" i="11"/>
  <c r="I74" i="11"/>
  <c r="I54" i="11"/>
  <c r="I67" i="11"/>
  <c r="I72" i="11"/>
  <c r="I58" i="11"/>
  <c r="I84" i="11"/>
  <c r="I55" i="11"/>
  <c r="I85" i="11"/>
  <c r="I57" i="11"/>
  <c r="I51" i="11"/>
  <c r="I59" i="11"/>
  <c r="I87" i="11"/>
  <c r="I75" i="11"/>
  <c r="I62" i="11"/>
  <c r="I77" i="11"/>
  <c r="I69" i="11"/>
  <c r="I86" i="11"/>
  <c r="I63" i="11"/>
  <c r="I90" i="11"/>
  <c r="B51" i="12"/>
  <c r="I65" i="11"/>
  <c r="I53" i="11"/>
  <c r="I89" i="11"/>
  <c r="I80" i="11"/>
  <c r="I66" i="11"/>
  <c r="I82" i="11"/>
  <c r="I91" i="11"/>
  <c r="I56" i="11"/>
  <c r="I79" i="11"/>
  <c r="I76" i="11"/>
  <c r="I61" i="11"/>
  <c r="I70" i="11"/>
  <c r="I64" i="11"/>
  <c r="I60" i="11"/>
  <c r="I200" i="11"/>
  <c r="I198" i="11"/>
  <c r="I204" i="11"/>
  <c r="I203" i="11"/>
  <c r="I199" i="11"/>
  <c r="B134" i="12"/>
  <c r="I197" i="11"/>
  <c r="I202" i="11"/>
  <c r="I201" i="11"/>
  <c r="B144" i="12"/>
  <c r="I205" i="11"/>
  <c r="B90" i="13"/>
  <c r="I295" i="11"/>
  <c r="I292" i="11"/>
  <c r="I285" i="11"/>
  <c r="I289" i="11"/>
  <c r="I293" i="11"/>
  <c r="I288" i="11"/>
  <c r="I291" i="11"/>
  <c r="I284" i="11"/>
  <c r="I287" i="11"/>
  <c r="I286" i="11"/>
  <c r="I290" i="11"/>
  <c r="I294" i="11"/>
  <c r="I334" i="11"/>
  <c r="I335" i="11"/>
  <c r="I333" i="11"/>
  <c r="I329" i="11"/>
  <c r="I338" i="11"/>
  <c r="I340" i="11"/>
  <c r="I328" i="11"/>
  <c r="B184" i="12"/>
  <c r="B186" i="12" s="1"/>
  <c r="I339" i="11"/>
  <c r="I331" i="11"/>
  <c r="I330" i="11"/>
  <c r="I332" i="11"/>
  <c r="I336" i="11"/>
  <c r="I337" i="11"/>
  <c r="B202" i="12"/>
  <c r="I341" i="11"/>
  <c r="B84" i="13"/>
  <c r="I278" i="11"/>
  <c r="I279" i="11"/>
  <c r="I276" i="11"/>
  <c r="I275" i="11"/>
  <c r="I277" i="11"/>
  <c r="I274" i="11"/>
  <c r="I42" i="12" l="1"/>
  <c r="I32" i="12"/>
  <c r="I31" i="12"/>
  <c r="I22" i="12"/>
  <c r="I26" i="12"/>
  <c r="I45" i="12"/>
  <c r="I29" i="12"/>
  <c r="I39" i="12"/>
  <c r="B12" i="13"/>
  <c r="I36" i="12"/>
  <c r="I38" i="12"/>
  <c r="I44" i="12"/>
  <c r="I35" i="12"/>
  <c r="I21" i="12"/>
  <c r="I34" i="12"/>
  <c r="I23" i="12"/>
  <c r="I20" i="12"/>
  <c r="I27" i="12"/>
  <c r="I28" i="12"/>
  <c r="I24" i="12"/>
  <c r="I43" i="12"/>
  <c r="I30" i="12"/>
  <c r="I40" i="12"/>
  <c r="I33" i="12"/>
  <c r="I37" i="12"/>
  <c r="I25" i="12"/>
  <c r="I41" i="12"/>
  <c r="I153" i="12"/>
  <c r="I156" i="12"/>
  <c r="I157" i="12"/>
  <c r="I147" i="12"/>
  <c r="I155" i="12"/>
  <c r="I143" i="12"/>
  <c r="I151" i="12"/>
  <c r="I144" i="12"/>
  <c r="I149" i="12"/>
  <c r="I146" i="12"/>
  <c r="I154" i="12"/>
  <c r="I148" i="12"/>
  <c r="I152" i="12"/>
  <c r="I145" i="12"/>
  <c r="I150" i="12"/>
  <c r="I66" i="12"/>
  <c r="I51" i="12"/>
  <c r="I55" i="12"/>
  <c r="I53" i="12"/>
  <c r="I54" i="12"/>
  <c r="I62" i="12"/>
  <c r="I70" i="12"/>
  <c r="I52" i="12"/>
  <c r="I69" i="12"/>
  <c r="I64" i="12"/>
  <c r="I71" i="12"/>
  <c r="I67" i="12"/>
  <c r="I68" i="12"/>
  <c r="I65" i="12"/>
  <c r="I63" i="12"/>
  <c r="I61" i="12"/>
  <c r="I56" i="12"/>
  <c r="I50" i="12"/>
  <c r="I57" i="12"/>
  <c r="I59" i="12"/>
  <c r="I58" i="12"/>
  <c r="I60" i="12"/>
  <c r="B102" i="13"/>
  <c r="I189" i="12"/>
  <c r="I193" i="12"/>
  <c r="I191" i="12"/>
  <c r="I184" i="12"/>
  <c r="I185" i="12"/>
  <c r="I183" i="12"/>
  <c r="I192" i="12"/>
  <c r="I186" i="12"/>
  <c r="I195" i="12"/>
  <c r="I182" i="12"/>
  <c r="I190" i="12"/>
  <c r="I188" i="12"/>
  <c r="I187" i="12"/>
  <c r="I196" i="12"/>
  <c r="I194" i="12"/>
  <c r="I201" i="12"/>
  <c r="I208" i="12"/>
  <c r="I207" i="12"/>
  <c r="I213" i="12"/>
  <c r="I211" i="12"/>
  <c r="I219" i="12"/>
  <c r="I210" i="12"/>
  <c r="I204" i="12"/>
  <c r="I202" i="12"/>
  <c r="I212" i="12"/>
  <c r="I216" i="12"/>
  <c r="I218" i="12"/>
  <c r="I203" i="12"/>
  <c r="I215" i="12"/>
  <c r="I209" i="12"/>
  <c r="I217" i="12"/>
  <c r="I220" i="12"/>
  <c r="I206" i="12"/>
  <c r="I214" i="12"/>
  <c r="I205" i="12"/>
  <c r="I135" i="12"/>
  <c r="B66" i="13"/>
  <c r="I137" i="12"/>
  <c r="I134" i="12"/>
  <c r="I138" i="12"/>
  <c r="I133" i="12"/>
  <c r="I136" i="12"/>
  <c r="B240" i="11" l="1"/>
  <c r="B313" i="11"/>
  <c r="B314" i="11" l="1"/>
  <c r="B315" i="11"/>
  <c r="B247" i="11"/>
  <c r="B250" i="11" s="1"/>
  <c r="B73" i="13" s="1"/>
  <c r="B243" i="11"/>
  <c r="B246" i="11" s="1"/>
  <c r="B164" i="12" l="1"/>
  <c r="B97" i="13"/>
  <c r="I246" i="11"/>
  <c r="I243" i="11"/>
  <c r="I249" i="11"/>
  <c r="I250" i="11"/>
  <c r="I242" i="11"/>
  <c r="I245" i="11"/>
  <c r="I241" i="11"/>
  <c r="I252" i="11"/>
  <c r="I240" i="11"/>
  <c r="I251" i="11"/>
  <c r="B72" i="13"/>
  <c r="I248" i="11"/>
  <c r="I247" i="11"/>
  <c r="I244" i="11"/>
  <c r="I320" i="11"/>
  <c r="I316" i="11"/>
  <c r="B96" i="13"/>
  <c r="I315" i="11"/>
  <c r="I318" i="11"/>
  <c r="I321" i="11"/>
  <c r="B163" i="12"/>
  <c r="I322" i="11"/>
  <c r="I323" i="11"/>
  <c r="I317" i="11"/>
  <c r="I314" i="11"/>
  <c r="I313" i="11"/>
  <c r="I319" i="11"/>
  <c r="I165" i="12" l="1"/>
  <c r="I177" i="12"/>
  <c r="I169" i="12"/>
  <c r="I170" i="12"/>
  <c r="I164" i="12"/>
  <c r="I176" i="12"/>
  <c r="I163" i="12"/>
  <c r="I172" i="12"/>
  <c r="I168" i="12"/>
  <c r="I174" i="12"/>
  <c r="I173" i="12"/>
  <c r="I167" i="12"/>
  <c r="I162" i="12"/>
  <c r="I166" i="12"/>
  <c r="I171" i="12"/>
  <c r="I175" i="12"/>
</calcChain>
</file>

<file path=xl/sharedStrings.xml><?xml version="1.0" encoding="utf-8"?>
<sst xmlns="http://schemas.openxmlformats.org/spreadsheetml/2006/main" count="2094" uniqueCount="804">
  <si>
    <t>Mobile phone</t>
  </si>
  <si>
    <t>Term</t>
  </si>
  <si>
    <t>Value</t>
  </si>
  <si>
    <t>unit</t>
  </si>
  <si>
    <t>Source</t>
  </si>
  <si>
    <t>average weigh of smartphones</t>
  </si>
  <si>
    <t>average weigh of cellular phones</t>
  </si>
  <si>
    <t>Global production of smartphones</t>
  </si>
  <si>
    <t>piece</t>
  </si>
  <si>
    <t>Global production of mobile phones</t>
  </si>
  <si>
    <t>g/piece</t>
  </si>
  <si>
    <t>kg</t>
  </si>
  <si>
    <t>Global production of cellular phones</t>
  </si>
  <si>
    <t>lifetime of mobile phones</t>
  </si>
  <si>
    <t>years</t>
  </si>
  <si>
    <t xml:space="preserve">Global production of laptops </t>
  </si>
  <si>
    <t>Average weight of a laptop</t>
  </si>
  <si>
    <t xml:space="preserve">Global in-use stock of mobile phones </t>
  </si>
  <si>
    <t xml:space="preserve">Global in-use stock of laptops </t>
  </si>
  <si>
    <t>Average lifetime of laptops</t>
  </si>
  <si>
    <t>year</t>
  </si>
  <si>
    <t>Production amount in kg</t>
  </si>
  <si>
    <t xml:space="preserve">Global production </t>
  </si>
  <si>
    <t>Development of shipments in %</t>
  </si>
  <si>
    <t>Desktop computer</t>
  </si>
  <si>
    <t>Global production of PCs (including desktop PCs and laptops)</t>
  </si>
  <si>
    <t>Share of desktop PCs</t>
  </si>
  <si>
    <t>Global production of desktop PCs</t>
  </si>
  <si>
    <t>Average weight of a desktop PC</t>
  </si>
  <si>
    <t>Average lifetime of desktop PCs</t>
  </si>
  <si>
    <t>Global in-use stock of desktop PCs</t>
  </si>
  <si>
    <t>Global production amount in kg</t>
  </si>
  <si>
    <t>Global production amount in piece</t>
  </si>
  <si>
    <t>Flat screen monitors and TVs</t>
  </si>
  <si>
    <t>$</t>
  </si>
  <si>
    <t>BACI</t>
  </si>
  <si>
    <t>$/kg</t>
  </si>
  <si>
    <t>average lifetime of flat screens</t>
  </si>
  <si>
    <t>Development of production in %</t>
  </si>
  <si>
    <t>Cathode-ray tube (CRT) monitors and TVs</t>
  </si>
  <si>
    <t>global trade amount of CRT screens</t>
  </si>
  <si>
    <t>Comment</t>
  </si>
  <si>
    <t>assumed that the global trade amount of CRT screens, which is reported in BACI, is equal to their global production amount.</t>
  </si>
  <si>
    <t>lifetime of CRT screens</t>
  </si>
  <si>
    <t>CRT TV</t>
  </si>
  <si>
    <t>average weight CRT monitor</t>
  </si>
  <si>
    <t>kg/piece</t>
  </si>
  <si>
    <t>global trade amount of CRT monitors</t>
  </si>
  <si>
    <t>global trade amount of CRT TVs</t>
  </si>
  <si>
    <t>average weight of CRT screens</t>
  </si>
  <si>
    <t>share of monitors on the global CRT screen production</t>
  </si>
  <si>
    <t>share of TVs on the global CRT screen production</t>
  </si>
  <si>
    <t>Production amount of CRT TVs in pieces</t>
  </si>
  <si>
    <t>Production amount of CRT monitors in pieces</t>
  </si>
  <si>
    <t>A similar development of the production is assumed for the CRT TVs and the CRT monitors.</t>
  </si>
  <si>
    <t>Production amount of CRT TVs in kg</t>
  </si>
  <si>
    <t>Production amount of CRT monitors in kg</t>
  </si>
  <si>
    <t>global in-use stock of CRT screens</t>
  </si>
  <si>
    <t>global trade cost of flat screen monitors</t>
  </si>
  <si>
    <t>global trade cost of flat screen TVs</t>
  </si>
  <si>
    <t>Revenue share of flat screen monitors</t>
  </si>
  <si>
    <t xml:space="preserve">global revenue of flat screen </t>
  </si>
  <si>
    <t>Revenue share of flat screen TVs</t>
  </si>
  <si>
    <t>global price of flat screen monitors</t>
  </si>
  <si>
    <t>global price of flat screen TVs</t>
  </si>
  <si>
    <t>global production of flat screen monitors</t>
  </si>
  <si>
    <t>global production of flat screen TVs</t>
  </si>
  <si>
    <t>average lifetime of flat screen monitors</t>
  </si>
  <si>
    <t>The same production development is assumed for flat screen monitors and TVs.</t>
  </si>
  <si>
    <t>Global revenue of flat screens in USD Billion</t>
  </si>
  <si>
    <t>Production amount of monitors in kg</t>
  </si>
  <si>
    <t>Production amount of TVs in kg</t>
  </si>
  <si>
    <t>global in-use stock of flat screen TVs</t>
  </si>
  <si>
    <t>global in-use stock of flat screen monitors</t>
  </si>
  <si>
    <t>Data about the temporal relevance for ICT equipment</t>
  </si>
  <si>
    <t>The considered time horizon of the study is 5 years.</t>
  </si>
  <si>
    <t>Component</t>
  </si>
  <si>
    <t>lifetime</t>
  </si>
  <si>
    <t>number of replacement times over time horizon</t>
  </si>
  <si>
    <t>source</t>
  </si>
  <si>
    <t>comments</t>
  </si>
  <si>
    <t>2.5 years</t>
  </si>
  <si>
    <t>Export shares based on BACI</t>
  </si>
  <si>
    <t>Estimated production shares</t>
  </si>
  <si>
    <t>Estimated production amounts (in kg)</t>
  </si>
  <si>
    <t>Code of exporting countries</t>
  </si>
  <si>
    <t>total</t>
  </si>
  <si>
    <t>ICT equipment data</t>
  </si>
  <si>
    <t>Laptops</t>
  </si>
  <si>
    <t>4 years</t>
  </si>
  <si>
    <t>Desktop computer (PC)</t>
  </si>
  <si>
    <t>Laptop (LAPT)</t>
  </si>
  <si>
    <t>Mobile phone (PHO)</t>
  </si>
  <si>
    <t>6.5 years</t>
  </si>
  <si>
    <t>CRT sreens</t>
  </si>
  <si>
    <t>9 years</t>
  </si>
  <si>
    <t>global production of CRT screens</t>
  </si>
  <si>
    <t>Flat screen monitors</t>
  </si>
  <si>
    <t>Flat screen TVs</t>
  </si>
  <si>
    <t>7 years</t>
  </si>
  <si>
    <t>8.5 years</t>
  </si>
  <si>
    <t>Laptop battery</t>
  </si>
  <si>
    <t>3 years</t>
  </si>
  <si>
    <t>Mobile phone battery</t>
  </si>
  <si>
    <t>other mobile phone components</t>
  </si>
  <si>
    <t>other components of laptops</t>
  </si>
  <si>
    <t>The same lifetime as for the mobile phone itself is considered.</t>
  </si>
  <si>
    <t>The same lifetime as for the laptop itself is considered.</t>
  </si>
  <si>
    <t>Components of desktop computers</t>
  </si>
  <si>
    <t>The same lifetime as for the desktop computer itself is considered.</t>
  </si>
  <si>
    <t>Components of flat screen monitors</t>
  </si>
  <si>
    <t>Components of flat screen TVs</t>
  </si>
  <si>
    <t>The same lifetime as for the flat screen monitors is considered.</t>
  </si>
  <si>
    <t>The same lifetime as for the flat screenTVs is considered.</t>
  </si>
  <si>
    <t>Components of CRT screens</t>
  </si>
  <si>
    <t>The same lifetime as for the CRT screens is considered.</t>
  </si>
  <si>
    <t xml:space="preserve">Two laptops are used over the 5 years time horizon. The first laptop is used for 4 years (i.e. average lifetime of laptops) and the second laptop is used over the remaining 1 year. It is assumed that the first laptop uses two batteries over ist lifetime, because the average battery lifetime is only 3 years. The second laptop uses a third battery. </t>
  </si>
  <si>
    <t>It is assumed that all intermediate products and raw materials have the same lifetime as the components/final products, in which they are included.</t>
  </si>
  <si>
    <t>Lithium-ion batteries (LIBs)</t>
  </si>
  <si>
    <t>Unit</t>
  </si>
  <si>
    <t>Weight% of LIB in PHO</t>
  </si>
  <si>
    <t>Weight% of LIB in LAPT</t>
  </si>
  <si>
    <t>Production amount of LIBs used in PHO</t>
  </si>
  <si>
    <t>Production amount of LIBs used in LAPT</t>
  </si>
  <si>
    <t xml:space="preserve">the same lifetime as for the mobile phone is considered </t>
  </si>
  <si>
    <t>In-use stock of LIBs used in PHO</t>
  </si>
  <si>
    <t>In-use stock of LIBs used in LAPT</t>
  </si>
  <si>
    <t>In-use stock of LIBs used in ICT sector</t>
  </si>
  <si>
    <t>Production amount of LIBs used in ICT sector</t>
  </si>
  <si>
    <t>country</t>
  </si>
  <si>
    <t>capacity in MWh</t>
  </si>
  <si>
    <t>share</t>
  </si>
  <si>
    <t>China</t>
  </si>
  <si>
    <t>Czechia</t>
  </si>
  <si>
    <t>Finland</t>
  </si>
  <si>
    <t>France</t>
  </si>
  <si>
    <t>Germany</t>
  </si>
  <si>
    <t>Hungary</t>
  </si>
  <si>
    <t>Japan</t>
  </si>
  <si>
    <t>Poland</t>
  </si>
  <si>
    <t>Rep. of Korea</t>
  </si>
  <si>
    <t>Russia</t>
  </si>
  <si>
    <t>United Kingdom</t>
  </si>
  <si>
    <t>USA</t>
  </si>
  <si>
    <t>Production amounts</t>
  </si>
  <si>
    <t>Conclusion for production capacity and share in the year 2020 within this study (see "LCIA_Mobility.xlsx" for further explanations)</t>
  </si>
  <si>
    <t>Nickel-metal hydride battery (NiMHB)</t>
  </si>
  <si>
    <t>Weight% of NiMHB in PHO</t>
  </si>
  <si>
    <t>Production amount of NiMHB in PHO</t>
  </si>
  <si>
    <t>In-use stock of NiMHB in PHO</t>
  </si>
  <si>
    <t>Nickel-cadmium battery (NiCdB)</t>
  </si>
  <si>
    <t>Weight% of NiCdB in PHO</t>
  </si>
  <si>
    <t>Production amount of NiCdB in PHO</t>
  </si>
  <si>
    <t>In-use stock of NiCdB in PHO</t>
  </si>
  <si>
    <t>Processor (Processor)</t>
  </si>
  <si>
    <t>Weight% of Processor in LAPT</t>
  </si>
  <si>
    <t>Weight% of Processor in PC</t>
  </si>
  <si>
    <t>Production amount of Processor in LAPT</t>
  </si>
  <si>
    <t>Production amount of Processor in PC</t>
  </si>
  <si>
    <t>In-use stock of Processor in LAPT</t>
  </si>
  <si>
    <t>In-use stock of Processor in PC</t>
  </si>
  <si>
    <t>Production amount of Processor in ICT sector</t>
  </si>
  <si>
    <t>In-use stock of Processor in ICT sector</t>
  </si>
  <si>
    <t>Storage unit (StUnit)</t>
  </si>
  <si>
    <t>Weight% of StUnit in LAPT</t>
  </si>
  <si>
    <t>Weight% of StUnit in PC</t>
  </si>
  <si>
    <t>Production amount of StUnit in LAPT</t>
  </si>
  <si>
    <t>Production amount of StUnit in PC</t>
  </si>
  <si>
    <t>Production amount of StUnit in ICT sector</t>
  </si>
  <si>
    <t>In-use stock of StUnit in LAPT</t>
  </si>
  <si>
    <t>In-use stock of StUnit in PC</t>
  </si>
  <si>
    <t>In-use stock of StUnit in ICT sector</t>
  </si>
  <si>
    <t>SD and SIM cards (SDSIM)</t>
  </si>
  <si>
    <t>Weight% of SDSIM in LAPT</t>
  </si>
  <si>
    <t>Weight% of SDSIM in PC</t>
  </si>
  <si>
    <t>Weight% of SDSIM in PHO</t>
  </si>
  <si>
    <t>Weight% of SDSIM in FlTV</t>
  </si>
  <si>
    <t>Production amount of SDSIM in PHO</t>
  </si>
  <si>
    <t>Production amount of SDSIM in LAPT</t>
  </si>
  <si>
    <t>Production amount of SDSIM in PC</t>
  </si>
  <si>
    <t>Production amount of SDSIM in FlTV</t>
  </si>
  <si>
    <t>In-use stock of SDSIM in PHO</t>
  </si>
  <si>
    <t>In-use stock of SDSIM in LAPT</t>
  </si>
  <si>
    <t>In-use stock of SDSIM in PC</t>
  </si>
  <si>
    <t>In-use stock of SDSIM in FlTV</t>
  </si>
  <si>
    <t>Production amount of SDSIM in ICT sector</t>
  </si>
  <si>
    <t>In-use stock of SDSIM in ICT sector</t>
  </si>
  <si>
    <t>Equipment of mobile phones (PHOeq)</t>
  </si>
  <si>
    <t>Weight% of PHOeq in PHO</t>
  </si>
  <si>
    <t>Production amount of PHOeq in PHO</t>
  </si>
  <si>
    <t>In-use stock of PHOeq in PHO</t>
  </si>
  <si>
    <t>Excel sheet "Data_Sankey_ICT.xlsx" tab "Weight%"</t>
  </si>
  <si>
    <t>Equipment of laptops and PCs (LaPCeq)</t>
  </si>
  <si>
    <t>Weight% of LaPCeq in LAPT</t>
  </si>
  <si>
    <t>Weight% of LaPCeq in PC</t>
  </si>
  <si>
    <t>Production amount of LaPCeq in LAPT</t>
  </si>
  <si>
    <t>Production amount of LaPCeq in PC</t>
  </si>
  <si>
    <t>Production amount of LaPCeq in ICT sector</t>
  </si>
  <si>
    <t>In-use stock of LaPCeq in LAPT</t>
  </si>
  <si>
    <t>In-use stock of LaPCeq in PC</t>
  </si>
  <si>
    <t>In-use stock of LaPCeq in ICT sector</t>
  </si>
  <si>
    <t>Equipment of monitors and TVs (MoTVeq)</t>
  </si>
  <si>
    <t>Production amount of MoTVeq in ICT sector</t>
  </si>
  <si>
    <t>In-use stock of MoTVeq in ICT sector</t>
  </si>
  <si>
    <t>Weight% of MoTVeq in FlMo</t>
  </si>
  <si>
    <t>Weight% of MoTVeq in FlTV</t>
  </si>
  <si>
    <t>Weight% of MoTVeq in CRT</t>
  </si>
  <si>
    <t>Production amount of MoTVeq in FlMo</t>
  </si>
  <si>
    <t>Production amount of MoTVeq in FlTV</t>
  </si>
  <si>
    <t>Production amount of MoTVeq in CRT</t>
  </si>
  <si>
    <t>In-use stock of MoTVeq in FlMo</t>
  </si>
  <si>
    <t>In-use stock of MoTVeq in FlTV</t>
  </si>
  <si>
    <t>In-use stock of MoTVeq in CRT</t>
  </si>
  <si>
    <t>Flatscreen monitors</t>
  </si>
  <si>
    <t>Flatscreen TVs</t>
  </si>
  <si>
    <t>Lithium-ion battery cells and cases (LIBcc)</t>
  </si>
  <si>
    <t>Production amount of LIBcc in LIB</t>
  </si>
  <si>
    <t>In-use stock of LIBcc in LIB</t>
  </si>
  <si>
    <t>ICT components (batteries, processors, storage units, SD and SIM cards as well as equipment of mobile phones, laptops, desktop computers, monitors and televisions) data</t>
  </si>
  <si>
    <t>Share</t>
  </si>
  <si>
    <t>Conclusion for production capacity in the year 2020 and the production share considered within this study</t>
  </si>
  <si>
    <t>Korea</t>
  </si>
  <si>
    <t>Norway</t>
  </si>
  <si>
    <t>India</t>
  </si>
  <si>
    <t>South Africa</t>
  </si>
  <si>
    <t>Production capacity in the year 2015</t>
  </si>
  <si>
    <t>Production capacity in the year 2016</t>
  </si>
  <si>
    <t>source: (Chung et al. 2015)</t>
  </si>
  <si>
    <t>source: (Lebedeva et al. 2016) Table 3</t>
  </si>
  <si>
    <t>source: (Mayyas et al. 2019)</t>
  </si>
  <si>
    <t>capacity in MWh (fully and partially commissioned + under construction + announced</t>
  </si>
  <si>
    <t>capacity in MWh (total and announced capacity)</t>
  </si>
  <si>
    <t>US</t>
  </si>
  <si>
    <t>EU</t>
  </si>
  <si>
    <t>RoW</t>
  </si>
  <si>
    <t>Weight% of cells in LIB</t>
  </si>
  <si>
    <t>Weight% of cases in LIB</t>
  </si>
  <si>
    <t>Weight% of cells in NiMHB</t>
  </si>
  <si>
    <t>Weight% of cases in NiMHB</t>
  </si>
  <si>
    <t>Production amount of NiMHBcc in NiMHB</t>
  </si>
  <si>
    <t>In-use stock of NiMHBcc in NiMHB</t>
  </si>
  <si>
    <t>Nickel metal hydride battery cells and cases (NiMHBcc)</t>
  </si>
  <si>
    <t>Nickel cadmium battery cells and cases (NiCdBcc)</t>
  </si>
  <si>
    <t>Weight% of cells in NiCdB</t>
  </si>
  <si>
    <t>Weight% of cases in NiCdB</t>
  </si>
  <si>
    <t>Production amount of NiCdBcc in NiCdB</t>
  </si>
  <si>
    <t>In-use stock of NiCdBcc in NiCdB</t>
  </si>
  <si>
    <t>Electronics (Ele)</t>
  </si>
  <si>
    <t>Weight% of Ele in PHO</t>
  </si>
  <si>
    <t>Weight% of Ele in FlTV</t>
  </si>
  <si>
    <t>Weight% of Ele in FlMo</t>
  </si>
  <si>
    <t>Weight% of Ele in Processor</t>
  </si>
  <si>
    <t>Weight% of Ele in CRT</t>
  </si>
  <si>
    <t>Weight% of Ele in LaPCeq</t>
  </si>
  <si>
    <t>Production amount of Ele in PHO</t>
  </si>
  <si>
    <t>Production amount of Ele in FlTV</t>
  </si>
  <si>
    <t>Production amount of Ele in FlMo</t>
  </si>
  <si>
    <t>Production amount of Ele in CRT</t>
  </si>
  <si>
    <t>Production amount of Ele in Processor</t>
  </si>
  <si>
    <t>Production amount of Ele in LaPCeq</t>
  </si>
  <si>
    <t>In-use stock of Ele in PHO</t>
  </si>
  <si>
    <t>In-use stock of Ele in FlTV</t>
  </si>
  <si>
    <t>In-use stock of Ele in FlMo</t>
  </si>
  <si>
    <t>In-use stock of Ele in CRT</t>
  </si>
  <si>
    <t>In-use stock of Ele in Processor</t>
  </si>
  <si>
    <t>In-use stock of Ele in LaPCeq</t>
  </si>
  <si>
    <t>Production amount of Ele in ICT sector</t>
  </si>
  <si>
    <t>In-use stock of Ele in ICT sector</t>
  </si>
  <si>
    <t>Codes of exporting countries</t>
  </si>
  <si>
    <t>Estimated production amounts</t>
  </si>
  <si>
    <t>Permanent magnets (Mag)</t>
  </si>
  <si>
    <t>Weight% of Mag in PHO</t>
  </si>
  <si>
    <t>Weight% of Mag in PHOeq</t>
  </si>
  <si>
    <t>Weight% of Mag in StUnit</t>
  </si>
  <si>
    <t>Weight% of Mag in FlTV</t>
  </si>
  <si>
    <t>Weight% of Mag in FlMo</t>
  </si>
  <si>
    <t>In-use stock of Mag in PHO</t>
  </si>
  <si>
    <t>In-use stock of Mag in PHOeq</t>
  </si>
  <si>
    <t>In-use stock of Mag in StUnit</t>
  </si>
  <si>
    <t>In-use stock of Mag in FlTV</t>
  </si>
  <si>
    <t>In-use stock of Mag in FlMo</t>
  </si>
  <si>
    <t>Production amount of Mag in PHO</t>
  </si>
  <si>
    <t>Production amount of Mag in PHOeq</t>
  </si>
  <si>
    <t>Production amount of Mag in StUnit</t>
  </si>
  <si>
    <t>Production amount of Mag in FlTV</t>
  </si>
  <si>
    <t>Production amount of Mag in FlMo</t>
  </si>
  <si>
    <t>Production amount of Mag in ICT sector</t>
  </si>
  <si>
    <t>In-use stock of Mag in ICT sector</t>
  </si>
  <si>
    <t>Magnet manufacturing shares</t>
  </si>
  <si>
    <t>Viet Nam</t>
  </si>
  <si>
    <t>Slovenia</t>
  </si>
  <si>
    <t>Aluminium foil (Alfo)</t>
  </si>
  <si>
    <t>Weight% of Alfo in LIBcc</t>
  </si>
  <si>
    <t>Production amount of Alfo in LIBcc</t>
  </si>
  <si>
    <t>In-use stock of Alfo in LIBcc</t>
  </si>
  <si>
    <t>ICT components (battery cell and cases, electronics and permanent magnets) data</t>
  </si>
  <si>
    <t>ICT components (aluminium foil and aluminium plate) data</t>
  </si>
  <si>
    <t>Exporting countries</t>
  </si>
  <si>
    <t>Austria</t>
  </si>
  <si>
    <t>Croatia</t>
  </si>
  <si>
    <t>Greece</t>
  </si>
  <si>
    <t>Italy</t>
  </si>
  <si>
    <t>Malaysia</t>
  </si>
  <si>
    <t>Philippines</t>
  </si>
  <si>
    <t>Switzerland</t>
  </si>
  <si>
    <t>Thailand</t>
  </si>
  <si>
    <t>United Arab Emirates</t>
  </si>
  <si>
    <t>Turkey</t>
  </si>
  <si>
    <t>Aluminium plates (Alpl)</t>
  </si>
  <si>
    <t>Weight% of Alpl in PHOeq</t>
  </si>
  <si>
    <t>Weight% of Alpl in LIBcc</t>
  </si>
  <si>
    <t>Weight% of Alpl in PHO</t>
  </si>
  <si>
    <t>Weight% of Alpl in LaPCeq</t>
  </si>
  <si>
    <t>Weight% of Alpl in MoTVeq</t>
  </si>
  <si>
    <t>Production amount of Alpl in PHOeq</t>
  </si>
  <si>
    <t>Production amount of Alpl in LIBcc</t>
  </si>
  <si>
    <t>Production amount of Alpl in PHO</t>
  </si>
  <si>
    <t>Production amount of Alpl in LaPCeq</t>
  </si>
  <si>
    <t>Production amount of Alpl in MoTVeq</t>
  </si>
  <si>
    <t>In-use stock of Alpl in PHOeq</t>
  </si>
  <si>
    <t>In-use stock of Alpl in LIBcc</t>
  </si>
  <si>
    <t>In-use stock of Alpl in PHO</t>
  </si>
  <si>
    <t>In-use stock of Alpl in LaPCeq</t>
  </si>
  <si>
    <t>In-use stock of Alpl in MoTVeq</t>
  </si>
  <si>
    <t>Production amount of Alpl in ICT sector</t>
  </si>
  <si>
    <t>In-use stock of Alpl in ICT sector</t>
  </si>
  <si>
    <t>Belgium</t>
  </si>
  <si>
    <t>Canada</t>
  </si>
  <si>
    <t>Saudi Arabia</t>
  </si>
  <si>
    <t>Spain</t>
  </si>
  <si>
    <t>Raw materials</t>
  </si>
  <si>
    <t>Antimony powder (Sb_pow)</t>
  </si>
  <si>
    <t>Weight% of Sbpow in PHO</t>
  </si>
  <si>
    <t>Weight% of Sbpow in LAPT</t>
  </si>
  <si>
    <t>Weight% of Sbpow in FlMo</t>
  </si>
  <si>
    <t>Weight% of Sbpow in FlTV</t>
  </si>
  <si>
    <t>Weight% of Sbpow in Ele</t>
  </si>
  <si>
    <t>Production amount of Sbpow in PHO</t>
  </si>
  <si>
    <t>Production amount of Sbpow in LAPT</t>
  </si>
  <si>
    <t>Production amount of Sbpow in FlMo</t>
  </si>
  <si>
    <t>Production amount of Sbpow in FlTV</t>
  </si>
  <si>
    <t>Production amount of Sbpow in Ele</t>
  </si>
  <si>
    <t>In-use stock of Sbpow in PHO</t>
  </si>
  <si>
    <t>In-use stock of Sbpow in LAPT</t>
  </si>
  <si>
    <t>In-use stock of Sbpow in FlMo</t>
  </si>
  <si>
    <t>In-use stock of Sbpow in FlTV</t>
  </si>
  <si>
    <t>In-use stock of Sbpow in Ele</t>
  </si>
  <si>
    <t>Production amount of Sbpow in ICT sector</t>
  </si>
  <si>
    <t>In-use stock of Sbpow in ICT sector</t>
  </si>
  <si>
    <t>Production amount of Sbpow in NiMHBcc</t>
  </si>
  <si>
    <t>In-use stock of Sbpow in NiMHBcc</t>
  </si>
  <si>
    <t>Weight% of Sbpow in NiMHBcc</t>
  </si>
  <si>
    <t>Barytes (Bary)</t>
  </si>
  <si>
    <t>Weight% of Bary in PHO</t>
  </si>
  <si>
    <t>Weight% of Bary in LAPT</t>
  </si>
  <si>
    <t>Weight% of Bary in FlMo</t>
  </si>
  <si>
    <t>Weight% of Bary in FlTV</t>
  </si>
  <si>
    <t>Weight% of Bary in CRT</t>
  </si>
  <si>
    <t>Weight% of Bary in NiMHBcc</t>
  </si>
  <si>
    <t>Production amount of Bary in PHO</t>
  </si>
  <si>
    <t>Production amount of Bary in LAPT</t>
  </si>
  <si>
    <t>Production amount of Bary in FlMo</t>
  </si>
  <si>
    <t>Production amount of Bary in FlTV</t>
  </si>
  <si>
    <t>Production amount of Bary in CRT</t>
  </si>
  <si>
    <t>Production amount of Bary in NiMHBcc</t>
  </si>
  <si>
    <t>In-use stock of Bary in PHO</t>
  </si>
  <si>
    <t>In-use stock of Bary in LAPT</t>
  </si>
  <si>
    <t>In-use stock of Bary in FlMo</t>
  </si>
  <si>
    <t>In-use stock of Bary in FlTV</t>
  </si>
  <si>
    <t>In-use stock of Bary in CRT</t>
  </si>
  <si>
    <t>In-use stock of Bary in NiMHBcc</t>
  </si>
  <si>
    <t>Production amount of Bary in ICT sector</t>
  </si>
  <si>
    <t>In-use stock of Bary in ICT sector</t>
  </si>
  <si>
    <t>Aluminium unwrought (Alun)</t>
  </si>
  <si>
    <t>Weight% of Alun in Ele</t>
  </si>
  <si>
    <t>Weight% of Alun in Alpl</t>
  </si>
  <si>
    <t>Weight% of Alun in Alfo</t>
  </si>
  <si>
    <t>Weight% of Alun in NiMHBcc</t>
  </si>
  <si>
    <t>Production amount of Alun in Alpl</t>
  </si>
  <si>
    <t>Production amount of Alun in Alfo</t>
  </si>
  <si>
    <t>Production amount of Alun in Ele</t>
  </si>
  <si>
    <t>Production amount of Alun in NiMHBcc</t>
  </si>
  <si>
    <t>In-use stock of Alun in Alpl</t>
  </si>
  <si>
    <t>In-use stock of Alun in Alfo</t>
  </si>
  <si>
    <t>In-use stock of Alun in Ele</t>
  </si>
  <si>
    <t>In-use stock of Alun in NiMHBcc</t>
  </si>
  <si>
    <t>Production amount of Alun in ICT sector</t>
  </si>
  <si>
    <t>In-use stock of Alun in ICT sector</t>
  </si>
  <si>
    <t>Codes of producing countries</t>
  </si>
  <si>
    <t>Beryllium powder (Bepow)</t>
  </si>
  <si>
    <t>Weight% of Bepow in Ele</t>
  </si>
  <si>
    <t>Production amount of Bepow in Ele</t>
  </si>
  <si>
    <t>In-use stock of Bepow in Ele</t>
  </si>
  <si>
    <t>Borates (Bora)</t>
  </si>
  <si>
    <t>Weight% of Bora in PHO</t>
  </si>
  <si>
    <t>Weight% of Bora in LAPT</t>
  </si>
  <si>
    <t>Weight% of Bora in FlMo</t>
  </si>
  <si>
    <t>Weight% of Bora in FlTV</t>
  </si>
  <si>
    <t>Production amount of Bora in PHO</t>
  </si>
  <si>
    <t>Production amount of Bora in LAPT</t>
  </si>
  <si>
    <t>Production amount of Bora in FlMo</t>
  </si>
  <si>
    <t>Production amount of Bora in FlTV</t>
  </si>
  <si>
    <t>In-use stock of Bora in PHO</t>
  </si>
  <si>
    <t>In-use stock of Bora in LAPT</t>
  </si>
  <si>
    <t>In-use stock of Bora in FlMo</t>
  </si>
  <si>
    <t>In-use stock of Bora in FlTV</t>
  </si>
  <si>
    <t>Production amount of Bora in ICT sector</t>
  </si>
  <si>
    <t>In-use stock of Bora in ICT sector</t>
  </si>
  <si>
    <t>Cobalt powder (Copow)</t>
  </si>
  <si>
    <t>Weight% of Copow in LIBcc</t>
  </si>
  <si>
    <t>Weight% of Copow in NiCdBcc</t>
  </si>
  <si>
    <t>Weight% of Copow in NiMHBcc</t>
  </si>
  <si>
    <t>Production amount of Copow in LIBcc</t>
  </si>
  <si>
    <t>Production amount of Copow in NiCdBcc</t>
  </si>
  <si>
    <t>Production amount of Copow in NiMHBcc</t>
  </si>
  <si>
    <t>In-use stock of Copow in LIBcc</t>
  </si>
  <si>
    <t>In-use stock of Copow in NiCdBcc</t>
  </si>
  <si>
    <t>In-use stock of Copow in NiMHBcc</t>
  </si>
  <si>
    <t>Production amount of Copow in ICT sector</t>
  </si>
  <si>
    <t>In-use stock of Copow in ICT sector</t>
  </si>
  <si>
    <t>Gallium powder (Gapow)</t>
  </si>
  <si>
    <t>Weight% of Gapow in FlMo</t>
  </si>
  <si>
    <t>Weight% of Gapow in FlTV</t>
  </si>
  <si>
    <t>In-use stock of Gapow in FlMo</t>
  </si>
  <si>
    <t>In-use stock of Gapow in FlTV</t>
  </si>
  <si>
    <t>Production amount of Gapow in FlMo</t>
  </si>
  <si>
    <t>Production amount of Gapow in FlTV</t>
  </si>
  <si>
    <t>Production amount of Gapow in ICT sector</t>
  </si>
  <si>
    <t>In-use stock of Gapow in ICT sector</t>
  </si>
  <si>
    <t>Rare Earth elements (REE)</t>
  </si>
  <si>
    <t>Weight% of REE in NiMHBcc</t>
  </si>
  <si>
    <t>Weight% of REE in LaPCeq</t>
  </si>
  <si>
    <t>Weight% of REE in FlMo</t>
  </si>
  <si>
    <t>Weight% of REE in FlTV</t>
  </si>
  <si>
    <t>Weight% of REE in Mag</t>
  </si>
  <si>
    <t>Production amount of REE in NiMHBcc</t>
  </si>
  <si>
    <t>Production amount of REE in LaPCeq</t>
  </si>
  <si>
    <t>Production amount of REE in FlMo</t>
  </si>
  <si>
    <t>Production amount of REE in FlTV</t>
  </si>
  <si>
    <t>Production amount of REE in Mag</t>
  </si>
  <si>
    <t>In-use stock of REE in NiMHBcc</t>
  </si>
  <si>
    <t>In-use stock of REE in LaPCeq</t>
  </si>
  <si>
    <t>In-use stock of REE in FlMo</t>
  </si>
  <si>
    <t>In-use stock of REE in FlTV</t>
  </si>
  <si>
    <t>In-use stock of REE in Mag</t>
  </si>
  <si>
    <t>Production amount of REE in  ICT sector</t>
  </si>
  <si>
    <t>In-use stock of REE in ICT sector</t>
  </si>
  <si>
    <t>Indium powder (Inpow)</t>
  </si>
  <si>
    <t>Weight% of Inpow in PHO</t>
  </si>
  <si>
    <t>Weight% of Inpow in LAPT</t>
  </si>
  <si>
    <t>Weight% of Inpow in FlMo</t>
  </si>
  <si>
    <t>Weight% of Inpow in FlTV</t>
  </si>
  <si>
    <t>In-use stock of Inpow in PHO</t>
  </si>
  <si>
    <t>In-use stock of Inpow in LAPT</t>
  </si>
  <si>
    <t>In-use stock of Inpow in FlMo</t>
  </si>
  <si>
    <t>In-use stock of Inpow in FlTV</t>
  </si>
  <si>
    <t>Production amount of Inpow in PHO</t>
  </si>
  <si>
    <t>Production amount of Inpow in LAPT</t>
  </si>
  <si>
    <t>Production amount of Inpow in FlMo</t>
  </si>
  <si>
    <t>Production amount of Inpow in FlTV</t>
  </si>
  <si>
    <t>Production amount of Inpow in ICT sector</t>
  </si>
  <si>
    <t>In-use stock of Inpow in ICT sector</t>
  </si>
  <si>
    <t>Lithium (Li)</t>
  </si>
  <si>
    <t>Weight% of Li used in LIBcc</t>
  </si>
  <si>
    <t>Production amount of Li used in LIBcc</t>
  </si>
  <si>
    <t>In-use stock of Li used in LIBcc</t>
  </si>
  <si>
    <t>Weight% of Mgpow used in NiMHBcc</t>
  </si>
  <si>
    <t>Weight% of Mgpow used in PHO</t>
  </si>
  <si>
    <t>Weight% of Mgpow used in LAPT</t>
  </si>
  <si>
    <t>Weight% of Mgpow used in FlMo</t>
  </si>
  <si>
    <t>Weight% of Mgpow used in FlTV</t>
  </si>
  <si>
    <t>Production amount of Mgpow used in NiMHBcc</t>
  </si>
  <si>
    <t>Production amount of Mgpow used in PHO</t>
  </si>
  <si>
    <t>Production amount of Mgpow used in LAPT</t>
  </si>
  <si>
    <t>Production amount of Mgpow used in FlMo</t>
  </si>
  <si>
    <t>Production amount of Mgpow used in FlTV</t>
  </si>
  <si>
    <t>Production amount of Mgpow used in ICT sector</t>
  </si>
  <si>
    <t>In-use stock of Mgpow used in NiMHBcc</t>
  </si>
  <si>
    <t>In-use stock of Mgpow used in PHO</t>
  </si>
  <si>
    <t>In-use stock of Mgpow used in LAPT</t>
  </si>
  <si>
    <t>In-use stock of Mgpow used in FlMo</t>
  </si>
  <si>
    <t>In-use stock of Mgpow used in FlTV</t>
  </si>
  <si>
    <t>In-use stock of Mgpow used in ICT sector</t>
  </si>
  <si>
    <t>Magnesium powder (Mgpow)</t>
  </si>
  <si>
    <t>Natural graphite (NGr)</t>
  </si>
  <si>
    <t>Weight% of NGr used in LIBcc</t>
  </si>
  <si>
    <t>Production amount of NGr used in LIBcc</t>
  </si>
  <si>
    <t>In-use stock of NGr used in LIBcc</t>
  </si>
  <si>
    <t>Codes of production countries</t>
  </si>
  <si>
    <t>Platinum Group Metals (PGMs)</t>
  </si>
  <si>
    <t>Weight% of PGMs used in Ele</t>
  </si>
  <si>
    <t>Weight% of PGMs used in FlMo</t>
  </si>
  <si>
    <t>Weight% of PGMs used in FlTV</t>
  </si>
  <si>
    <t>Production amount of PGMs used in Ele</t>
  </si>
  <si>
    <t>Production amount of PGMs used in FlMo</t>
  </si>
  <si>
    <t>Production amount of PGMs used in FlTV</t>
  </si>
  <si>
    <t>In-use stock of PGMs used in Ele</t>
  </si>
  <si>
    <t>In-use stock of PGMs used in FlMo</t>
  </si>
  <si>
    <t>In-use stock of PGMs used in FlTV</t>
  </si>
  <si>
    <t>Production amount of PGMs used in ICT sector</t>
  </si>
  <si>
    <t>In-use stock of PGMs used in ICT sector</t>
  </si>
  <si>
    <t>Phosphoric acid (Pacid)</t>
  </si>
  <si>
    <t>Weight% of Pacid used in FlMo</t>
  </si>
  <si>
    <t>Weight% of Pacid used in PHO</t>
  </si>
  <si>
    <t>Weight% of Pacid used in LAPT</t>
  </si>
  <si>
    <t>Weight% of Pacid used in FlTV</t>
  </si>
  <si>
    <t>Production amount of Pacid used in PHO</t>
  </si>
  <si>
    <t>Production amount of Pacid used in LAPT</t>
  </si>
  <si>
    <t>Production amount of Pacid used in FlMo</t>
  </si>
  <si>
    <t>Production amount of Pacid used in FlTV</t>
  </si>
  <si>
    <t>In-use stock of Pacid used in PHO</t>
  </si>
  <si>
    <t>In-use stock of Pacid used in LAPT</t>
  </si>
  <si>
    <t>In-use stock of Pacid used in FlMo</t>
  </si>
  <si>
    <t>In-use stock of Pacid used in FlTV</t>
  </si>
  <si>
    <t>Production amount of Pacid used in ICT sector</t>
  </si>
  <si>
    <t>In-use stock of Pacid used in ICT sector</t>
  </si>
  <si>
    <t>Silicon metal (Simet)</t>
  </si>
  <si>
    <t>Weight% of Simet used in PHO</t>
  </si>
  <si>
    <t>Weight% of Simet used in LAPT</t>
  </si>
  <si>
    <t>Weight% of Simet used in FlMo</t>
  </si>
  <si>
    <t>Weight% of Simet used in FlTV</t>
  </si>
  <si>
    <t>Weight% of Simet used in CRT</t>
  </si>
  <si>
    <t>Weight% of Simet used in Ele</t>
  </si>
  <si>
    <t>Weight% of Simet used in SDSIM</t>
  </si>
  <si>
    <t>Production amount of Simet used in PHO</t>
  </si>
  <si>
    <t>Production amount of Simet used in LAPT</t>
  </si>
  <si>
    <t>Production amount of Simet used in FlMo</t>
  </si>
  <si>
    <t>Production amount of Simet used in FlTV</t>
  </si>
  <si>
    <t>Production amount of Simet used in CRT</t>
  </si>
  <si>
    <t>Production amount of Simet used in Ele</t>
  </si>
  <si>
    <t>Production amount of Simet used in SDSIM</t>
  </si>
  <si>
    <t>Production amount of Simet used in ICT sector</t>
  </si>
  <si>
    <t>In-use stock of Simet used in PHO</t>
  </si>
  <si>
    <t>In-use stock of Simet used in LAPT</t>
  </si>
  <si>
    <t>In-use stock of Simet used in FlMo</t>
  </si>
  <si>
    <t>In-use stock of Simet used in FlTV</t>
  </si>
  <si>
    <t>In-use stock of Simet used in CRT</t>
  </si>
  <si>
    <t>In-use stock of Simet used in Ele</t>
  </si>
  <si>
    <t>In-use stock of Simet used in SDSIM</t>
  </si>
  <si>
    <t>In-use stock of Simet used in ICT sector</t>
  </si>
  <si>
    <t>Tantalum powder (Tapow)</t>
  </si>
  <si>
    <t>Weight% of Tapow used in Ele</t>
  </si>
  <si>
    <t>Production amount of Tapow used in Ele</t>
  </si>
  <si>
    <t>In-use stock of Tapow used in Ele</t>
  </si>
  <si>
    <t>Titanium powder (Tipow)</t>
  </si>
  <si>
    <t>Weight% of Tipow used in NiMHBcc</t>
  </si>
  <si>
    <t>Production amount of Tipow used in PHO</t>
  </si>
  <si>
    <t>Production amount of Tipow used in LAPT</t>
  </si>
  <si>
    <t>Production amount of Tipow used in FlMo</t>
  </si>
  <si>
    <t>Production amount of Tipow used in FlTV</t>
  </si>
  <si>
    <t>Weight% of Tipow used in PHO</t>
  </si>
  <si>
    <t>Weight% of Tipow used in LAPT</t>
  </si>
  <si>
    <t>Weight% of Tipow used in FlMo</t>
  </si>
  <si>
    <t>Weight% of Tipow used in FlTV</t>
  </si>
  <si>
    <t>Production amount of Tipow used in NiMHBcc</t>
  </si>
  <si>
    <t>In-use stock of Tipow used in NiMHBcc</t>
  </si>
  <si>
    <t>In-use stock of Tipow used in PHO</t>
  </si>
  <si>
    <t>In-use stock of Tipow used in LAPT</t>
  </si>
  <si>
    <t>In-use stock of Tipow used in FlMo</t>
  </si>
  <si>
    <t>In-use stock of Tipow used in FlTV</t>
  </si>
  <si>
    <t>Production amount of Tipow used in ICT sector</t>
  </si>
  <si>
    <t>In-use stock of Tipow used in ICT sector</t>
  </si>
  <si>
    <t>Vanadium powder (Vpow)</t>
  </si>
  <si>
    <t>Weight% of Vpow used in NiMHBcc</t>
  </si>
  <si>
    <t>Weight% of Vpow used in LIBcc</t>
  </si>
  <si>
    <t>Production amount of Vpow used in NiMHBcc</t>
  </si>
  <si>
    <t>Production amount of Vpow used in LIBcc</t>
  </si>
  <si>
    <t>In-use stock of Vpow used in NiMHBcc</t>
  </si>
  <si>
    <t>In-use stock of Vpow used in LIBcc</t>
  </si>
  <si>
    <t>Production amount of Vpow used in ICT sector</t>
  </si>
  <si>
    <t>In-use stock of Vpow used in ICT sector</t>
  </si>
  <si>
    <t>Tungsten powder (Wpow)</t>
  </si>
  <si>
    <t>Weight% of Wpow used in PHOeq</t>
  </si>
  <si>
    <t>Weight% of Wpow used in Ele</t>
  </si>
  <si>
    <t>In-use stock of Wpow used in PHOeq</t>
  </si>
  <si>
    <t>In-use stock of Wpow used in Ele</t>
  </si>
  <si>
    <t>Production amount of Wpow used in PHOeq</t>
  </si>
  <si>
    <t>Production amount of Wpow used in Ele</t>
  </si>
  <si>
    <t>Production amount of Wpow used in ICT sector</t>
  </si>
  <si>
    <t>In-use stock of Wpow used in ICT sector</t>
  </si>
  <si>
    <t>Intermediate raw materials</t>
  </si>
  <si>
    <t>Antimony oxides (Sb_ox)</t>
  </si>
  <si>
    <t>Weight ratio of Sb_ox used in Antimony powder</t>
  </si>
  <si>
    <t>Production amount of Sb_ox used in Antimony powder</t>
  </si>
  <si>
    <t>In-use stock of Sb_ox used in Antimony powder</t>
  </si>
  <si>
    <t>Aluminium oxide (Al_ox)</t>
  </si>
  <si>
    <t>Weight ratio of Al_ox used in Aluminium unwrought</t>
  </si>
  <si>
    <t>Production amount of Al_ox used in Aluminium unwrought</t>
  </si>
  <si>
    <t>In-use stock of Al_ox used in Aluminium unwrought</t>
  </si>
  <si>
    <t>Aluminium waste &amp; scrap (Al_sc)</t>
  </si>
  <si>
    <t>Weight ratio of Al_sc used in Aluminium unwrought</t>
  </si>
  <si>
    <t>Production amount of Al_sc used in Aluminium unwrought</t>
  </si>
  <si>
    <t>In-use stock of Al_sc used in Aluminium unwrought</t>
  </si>
  <si>
    <t>Beryllium waste &amp; scrap (Be_sc)</t>
  </si>
  <si>
    <t>Weight ratio of Be_sc used in Beryllium powder</t>
  </si>
  <si>
    <t>Production amount of Be_sc used in Beryllium powder</t>
  </si>
  <si>
    <t>In-use stock of Be_sc used in Beryllium powder</t>
  </si>
  <si>
    <t>Boric acid (Boac)</t>
  </si>
  <si>
    <t>Cobalt intermediates (Co_int)</t>
  </si>
  <si>
    <t>Weight ratio of Co_int used in cobalt powder</t>
  </si>
  <si>
    <t>Production amount of Co_int used in cobalt powder</t>
  </si>
  <si>
    <t>In-use stock of Co_int used in cobalt powder</t>
  </si>
  <si>
    <t>Cobalt waste &amp; scrap (Co_sc)</t>
  </si>
  <si>
    <t>Weight ratio of Co_sc used in cobalt powder</t>
  </si>
  <si>
    <t>Production amount of Co_sc used in cobalt powder</t>
  </si>
  <si>
    <t>In-use stock of Co_sc used in cobalt powder</t>
  </si>
  <si>
    <t>Magnesium unwrought (Mg_un)</t>
  </si>
  <si>
    <t>Weight ratio of Mg_un used in magnesium powder</t>
  </si>
  <si>
    <t>Production amount of Mg_un used in magnesium powder</t>
  </si>
  <si>
    <t>In-use stock of Mg_un used in magnesium powder</t>
  </si>
  <si>
    <t>Magnesium waste &amp; scrap (Mg_sc)</t>
  </si>
  <si>
    <t>Weight ratio of Mg_sc used in magnesium powder</t>
  </si>
  <si>
    <t>Production amount of Mg_sc used in magnesium powder</t>
  </si>
  <si>
    <t>In-use stock of Mg_sc used in magnesium powder</t>
  </si>
  <si>
    <t>Tantalum waste &amp; scrap (Ta_sc)</t>
  </si>
  <si>
    <t>Weight ratio of Ta_sc used in tantalum powder</t>
  </si>
  <si>
    <t>Production amount of Ta_sc used in tantalum powder</t>
  </si>
  <si>
    <t>In-use stock of Ta_sc used in tantalum powder</t>
  </si>
  <si>
    <t>Titanium oxide (Ti_ox)</t>
  </si>
  <si>
    <t>Weight ratio of Ti_ox used in titanium powder</t>
  </si>
  <si>
    <t>Weight ratio of Ti_ox used in electronics</t>
  </si>
  <si>
    <t>Production amount of Ti_ox used in titanium powder</t>
  </si>
  <si>
    <t>Production amount of Ti_ox used in electronics</t>
  </si>
  <si>
    <t>In-use stock of Ti_ox used in titanium powder</t>
  </si>
  <si>
    <t>In-use stock of Ti_ox used in electronics</t>
  </si>
  <si>
    <t>Titanium waste &amp; scrap (Ti_sc)</t>
  </si>
  <si>
    <t>Weight ratio of Ti_sc used in titanium powder</t>
  </si>
  <si>
    <t>Production amount of Ti_sc used in titanium powder</t>
  </si>
  <si>
    <t>In-use stock of Ti_sc used in titanium powder</t>
  </si>
  <si>
    <t>Vanadium oxide (V_ox)</t>
  </si>
  <si>
    <t>Weight ratio of V_ox used in vanadium powder</t>
  </si>
  <si>
    <t>Production amount of V_ox used in vanadium powder</t>
  </si>
  <si>
    <t>In-use stock of V_ox used in vanadium powder</t>
  </si>
  <si>
    <t>Ferro tungsten (Ferro_W)</t>
  </si>
  <si>
    <t>Weight ratio of Ferro_W used in tungsten powder</t>
  </si>
  <si>
    <t>Production amount of Ferro_W used in tungsten powder</t>
  </si>
  <si>
    <t>In-use stock of Ferro_W used in tungsten powder</t>
  </si>
  <si>
    <t>Tungsten waste &amp; scrap (Wsc)</t>
  </si>
  <si>
    <t>Weight ratio of Wsc used in tungsten powder</t>
  </si>
  <si>
    <t>Production amount of Wsc used in tungsten powder</t>
  </si>
  <si>
    <t>In-use stock of Wsc used in tungsten powder</t>
  </si>
  <si>
    <t>Minerals</t>
  </si>
  <si>
    <t>Antimony ore (Sb_ore)</t>
  </si>
  <si>
    <t>Weight ratio of Sb_ore used in Antimony oxide</t>
  </si>
  <si>
    <t>Production amount of Sb_ore used in Antimony oxide</t>
  </si>
  <si>
    <t>In-use stock of Sb_ore used in Antimony oxide</t>
  </si>
  <si>
    <t>Bauxite ore (BX_ore)</t>
  </si>
  <si>
    <t>Weight ratio of BX_ore used in Aluminium oxide</t>
  </si>
  <si>
    <t>Production amount of BX_ore used in Aluminium oxide</t>
  </si>
  <si>
    <t>In-use stock of BX_ore used in Aluminium oxide</t>
  </si>
  <si>
    <t>Beryllium ore (Be_ore)</t>
  </si>
  <si>
    <t>Weight ratio of Be_ore used in Beryllium powder</t>
  </si>
  <si>
    <t>Production amount of Be_ore used in Beryllium powder</t>
  </si>
  <si>
    <t>In-use stock of Be_ore used in Beryllium powder</t>
  </si>
  <si>
    <t>Baryte ore (Ba_ore)</t>
  </si>
  <si>
    <t>Weight ratio of Ba_ore used in Barytes</t>
  </si>
  <si>
    <t>Production amount of Ba_ore used in Barytes</t>
  </si>
  <si>
    <t>In-use stock of Ba_ore used in Barytes</t>
  </si>
  <si>
    <t>Weight ratio of Boac used in Borates</t>
  </si>
  <si>
    <t>Production amount of Boac used in Borates</t>
  </si>
  <si>
    <t>In-use stock of Boac used in Borates</t>
  </si>
  <si>
    <t>Borate mineral (Bo_min)</t>
  </si>
  <si>
    <t>Weight ratio of Bo_min used in Boric acid</t>
  </si>
  <si>
    <t>Production amount of Bo_min used in Boric acid</t>
  </si>
  <si>
    <t>In-use stock of Bo_min used in Boric acid</t>
  </si>
  <si>
    <t>Cobalt ore (Co_ore)</t>
  </si>
  <si>
    <t>Weight ratio of Co_ore used in Cobalt intermediates</t>
  </si>
  <si>
    <t>Production amount of Co_ore used in Cobalt intermediates</t>
  </si>
  <si>
    <t>In-use stock of Co_ore used in Cobalt intermediates</t>
  </si>
  <si>
    <t>Gallium ore (Gaore)</t>
  </si>
  <si>
    <t>Weight ratio of Gaore used in Gapow</t>
  </si>
  <si>
    <t>Production amount of Gaore used in Gapow</t>
  </si>
  <si>
    <t>In-use stock of Gaore used in Gapow</t>
  </si>
  <si>
    <t>Rare Earth oxides (REO)</t>
  </si>
  <si>
    <t>Weight ratio of REO used in Rare Earth elements</t>
  </si>
  <si>
    <t>Production amounts of REO used in Rare Earth elements</t>
  </si>
  <si>
    <t>In-use stock of REO used in Rare Earth elements</t>
  </si>
  <si>
    <t>Indium ore (Inore)</t>
  </si>
  <si>
    <t>Weight ratio of Inore used in Inpow</t>
  </si>
  <si>
    <t>Production amount of Inore used in Inpow</t>
  </si>
  <si>
    <t>In-use stock of Inore used in Inpow</t>
  </si>
  <si>
    <t>Lithium ore (Li_ore)</t>
  </si>
  <si>
    <t>Weight ratio of Li_ore used in Lithium</t>
  </si>
  <si>
    <t>Production amount of Li_ore used in Lithium</t>
  </si>
  <si>
    <t>In-use stock of Li_ore used in Lithium</t>
  </si>
  <si>
    <t>Magnesium ore (Mg_ore)</t>
  </si>
  <si>
    <t>Weight ratio of Mg_ore used in magnesium unwrought</t>
  </si>
  <si>
    <t>Production amount of Mg_ore used in magnesium unwrought</t>
  </si>
  <si>
    <t>In-use stock of Mg_ore used in magnesium unwrought</t>
  </si>
  <si>
    <t>Platinum Group Metal ore (PGM_ore)</t>
  </si>
  <si>
    <t>Weight ratio of PGM_ore used in Platinum Group Metals</t>
  </si>
  <si>
    <t>Production amount of PGM_ore used in Platinum Group Metals</t>
  </si>
  <si>
    <t>In-use stock of PGM_ore used in Platinum Group Metals</t>
  </si>
  <si>
    <t>Phosphate rock (PHR)</t>
  </si>
  <si>
    <t>Weight ratio of PHR used in Phosphoric acid</t>
  </si>
  <si>
    <t>Production amount of PHR used in Phosphoric acid</t>
  </si>
  <si>
    <t>In-use stock of PHR used in Phosphoric acid</t>
  </si>
  <si>
    <t>Silicon ore (Si_ore)</t>
  </si>
  <si>
    <t>Weight ratio of Si_ore used in Silicon metal</t>
  </si>
  <si>
    <t>Production amount of Si_ore used in Silicon metal</t>
  </si>
  <si>
    <t>In-use stock of Si_ore used in Silicon metal</t>
  </si>
  <si>
    <t>Tantalum ore (Ta_ore)</t>
  </si>
  <si>
    <t>Weight ratio of Ta_ore used in Tantalum powder</t>
  </si>
  <si>
    <t>Production amount of Ta_ore used in Tantalum powder</t>
  </si>
  <si>
    <t>In-use stock of Ta_ore used in Tantalum powder</t>
  </si>
  <si>
    <t>Titanium ore (Ti_ore)</t>
  </si>
  <si>
    <t>Weight ratio of Ti_ore used in Titanium oxide</t>
  </si>
  <si>
    <t>Production amount of Ti_ore used in Titanium oxide</t>
  </si>
  <si>
    <t>In-use stock of Ti_ore used in Titanium oxide</t>
  </si>
  <si>
    <t>Production amount of Ti_ox used in the ICT sector</t>
  </si>
  <si>
    <t>In-use stock of Ti_ox used in the ICT sector</t>
  </si>
  <si>
    <t>Vanadium ore (V_ore)</t>
  </si>
  <si>
    <t>Weight ratio of V_ore used in Vanadium oxide</t>
  </si>
  <si>
    <t>Production amount of V_ore used in Vanadium oxide</t>
  </si>
  <si>
    <t>In-use stock of V_ore used in Vanadium oxide</t>
  </si>
  <si>
    <t>Weight ratio of W_ore used in Ferro-Tungsten</t>
  </si>
  <si>
    <t>Production amount of W_ore used in Ferro-Tungsten</t>
  </si>
  <si>
    <t>In-use stock of W_ore used in Ferro-Tungsten</t>
  </si>
  <si>
    <t>Tungsten ore (W_ore)</t>
  </si>
  <si>
    <t>Strontium ore (Sr_ore)</t>
  </si>
  <si>
    <t>Weight ratio of Sr_ore used in Strontium oxides</t>
  </si>
  <si>
    <t>Production amount of Sr_ore used in Strontium oxides</t>
  </si>
  <si>
    <t>In-use stock of Sr_ore used in Strontium oxides</t>
  </si>
  <si>
    <t>Weight% of Srox used in PHO</t>
  </si>
  <si>
    <t>Weight% of Srox used in LAPT</t>
  </si>
  <si>
    <t>Weight% of Srox used in FlMo</t>
  </si>
  <si>
    <t>Weight% of Srox used in FlTV</t>
  </si>
  <si>
    <t>Weight% of Srox used in CRT</t>
  </si>
  <si>
    <t>Production amount of Srox used in PHO</t>
  </si>
  <si>
    <t>Production amount of Srox used in LAPT</t>
  </si>
  <si>
    <t>Production amount of Srox used in FlMo</t>
  </si>
  <si>
    <t>Production amount of Srox used in FlTV</t>
  </si>
  <si>
    <t>Production amount of Srox used in CRT</t>
  </si>
  <si>
    <t>Production amount of Srox used in ICT sector</t>
  </si>
  <si>
    <t>In-use stock of Srox used in PHO</t>
  </si>
  <si>
    <t>In-use stock of Srox used in LAPT</t>
  </si>
  <si>
    <t>In-use stock of Srox used in FlMo</t>
  </si>
  <si>
    <t>In-use stock of Srox used in FlTV</t>
  </si>
  <si>
    <t>In-use stock of Srox used in CRT</t>
  </si>
  <si>
    <t>In-use stock of Srox used in ICT sector</t>
  </si>
  <si>
    <t>Strontium oxide (Srox)</t>
  </si>
  <si>
    <t>Weight% of Mgpow used in Al plates</t>
  </si>
  <si>
    <t>Production amount of Mgpow used in Al plates</t>
  </si>
  <si>
    <t>In-use stock of Mgpow used in Al plates</t>
  </si>
  <si>
    <t>Scandium (Sc)</t>
  </si>
  <si>
    <t>Weight ratio of Sc used in aluminium plates</t>
  </si>
  <si>
    <t>Production amount of Sc used in aluminium plates</t>
  </si>
  <si>
    <t>In-use stock of Sc used in aluminium plates</t>
  </si>
  <si>
    <t>Scandium ore (Sc_ore)</t>
  </si>
  <si>
    <t>Weight ratio of Sc_ore used in Scandium</t>
  </si>
  <si>
    <t>Production amount of Sc_ore used in Scandium</t>
  </si>
  <si>
    <t>In-use stock of Sc_ore used in Scandium</t>
  </si>
  <si>
    <t>Weight% of Tipow used in Alpl</t>
  </si>
  <si>
    <t>Production amount of Tipow used in Alpl</t>
  </si>
  <si>
    <t>In-use stock of Tipow used in Alpl</t>
  </si>
  <si>
    <t>Weight% of Simet used in Al plates</t>
  </si>
  <si>
    <t>Production amount of Simet used in Al plates</t>
  </si>
  <si>
    <t>In-use stock of Simet used in Al plates</t>
  </si>
  <si>
    <t>(TrendForce 2021)</t>
  </si>
  <si>
    <t>(Wikipedia 2021)</t>
  </si>
  <si>
    <t>(Babbitt et al. 2020)</t>
  </si>
  <si>
    <t>(Jesper 2022)</t>
  </si>
  <si>
    <t xml:space="preserve">Following Blahnik and Schindelbeck (2021), it is assumed that an equal amount of phones has been produced over the last three years. </t>
  </si>
  <si>
    <t>(Zhang 2020)</t>
  </si>
  <si>
    <t>(Walter 2023)</t>
  </si>
  <si>
    <t>(Gartner 2021)</t>
  </si>
  <si>
    <t>(Alsop 2022)</t>
  </si>
  <si>
    <t>(Grand View Research 2015)</t>
  </si>
  <si>
    <t>(Sun Vision Display 2020)</t>
  </si>
  <si>
    <t>(Tabassum 2022)</t>
  </si>
  <si>
    <t>(Wired Shopper 2022)</t>
  </si>
  <si>
    <t>(Kalmykova et al. 2015)</t>
  </si>
  <si>
    <t>Data regarding global laptop shipment developments is acquired from Zhang (2020).</t>
  </si>
  <si>
    <t>Data regarding global desktop PC shipment developments is acquired from Canalys (2021) and Alsop (2022)</t>
  </si>
  <si>
    <t>Data regarding development of flat screen production is acquired from Grand View Research (2015).</t>
  </si>
  <si>
    <t>The development of the production amount is estimated based on the information given by Clausen et al. (2017). A linear production decrease is assumed from 2015 to 2019.</t>
  </si>
  <si>
    <t>Alsop, T., 2022. Desktop PC shipments worldwide from 2010 to 2026. https://www.statista.com/statistics/269044/worldwide-desktop-pc-shipments-forecast/ (accessed 07/02/2023).</t>
  </si>
  <si>
    <t>Babbitt, C.W., Madaka, H., Althaf, S., Kasulaitis, B., Ryen, E.G., 2020. Disassembly-based bill of materials data for consumer electronic products. Sci Data. 7 (1), 251. 10.1038/s41597-020-0573-9.</t>
  </si>
  <si>
    <t>Blahnik, V., Schindelbeck, O., 2021. Smartphone imaging technology and its applications. 10 (3), 145-232. doi:10.1515/aot-2021-0023.</t>
  </si>
  <si>
    <t>Canalys, 2021. Global PC market Q4 2020. https://www.canalys.com/newsroom/canalys-global-pc-market-Q4-2020 (accessed 07/02/2023).</t>
  </si>
  <si>
    <t>Clausen, J., Göll, E., Tappeser, V., 2017. Sticky Transformation How path dependencies in socio-technical regimes are impeding the transformation to a Green Economy. Journal of Innovation Management. 5, 111-38. 10.24840/2183-0606_005.002_0008.</t>
  </si>
  <si>
    <t>Gartner, 2021. Gartner Says Worldwide PC Shipments Grew 10.7% in Fourth Quarter of 2020 and 4.8% for the Year. https://www.gartner.com/en/newsroom/press-releases/2021-01-11-gartner-says-worldwide-pc-shipments-grew-10-point-7-percent-in-the-fourth-quarter-of-2020-and-4-point-8-percent-for-the-year (accessed 07/02/2023).</t>
  </si>
  <si>
    <t>Grand View Research, 2015. Electronic Display Market Analysis By Technology (LCD, LED, OLED), By Application (Consumer Electronics, Digital Signage, Automotive Display), By End-Use (Retail, Entertainment, Corporate, Healthcare, Government)And Segment Forecasts To 2022. https://www.grandviewresearch.com/industry-analysis/electronic-displays-market (accessed 06/02/2023).</t>
  </si>
  <si>
    <t>Jesper, 2022. What is the lifespan of a smartphone? https://www.coolblue.nl/en/advice/lifespan-smartphone.html (accessed 07/02/2023).</t>
  </si>
  <si>
    <t>Kalmykova, Y., Patrício, J., Rosado, L., Berg, P., 2015. Out with the old, out with the new – The effect of transitions in TVs and monitors technology on consumption and WEEE generation in Sweden 1996–2014. Waste Management. 29. 10.1016/j.wasman.2015.08.034.</t>
  </si>
  <si>
    <t>Sun Vision Display, 2020. The Lifespan of Digital Display Technologies. https://www.sunvisiondisplay.com/lifespan-digital-display (accessed 07/02/2023).</t>
  </si>
  <si>
    <t>Tabassum, S., 2022. How Long Do TVs Last? (Explained). https://www.thetechwire.com/how-long-do-tvs-last/ (accessed 07702/2023).</t>
  </si>
  <si>
    <t>TrendForce, 2021. Global Smartphone Production Expected to Reach 1.36B Units in 2021. https://www.eetasia.com/global-smartphone-production-expected-to-reach-1-36b-units-in-2021/ (accessed 07/0272023).</t>
  </si>
  <si>
    <t>Walter, D., 2023. How Long Do Computers Last? 10 Signs You Need a New One. https://www.businessnewsdaily.com/65-when-to-replace-the-company-computers.html (accessed 07/02/2023).</t>
  </si>
  <si>
    <t>Wikipedia, 2021. List of best-selling mobile phones. https://en.wikipedia.org/wiki/List_of_best-selling_mobile_phones (accessed 07/02/2023).</t>
  </si>
  <si>
    <t>Wired Shopper, 2022. How Long Does a Monitor Last? (Surprising!). https://thewiredshopper.com/how-long-does-a-monitor-last/ (accessed 07/02/2023).</t>
  </si>
  <si>
    <t>Zhang, M., 2020. Global Demand for Laptops Gets Pandemic Push. https://www.counterpointresearch.com/laptop-demand-gets-pandemic-push/ (accessed 07/02/2023).</t>
  </si>
  <si>
    <t>References</t>
  </si>
  <si>
    <t>source: (Smith et al. 2022)</t>
  </si>
  <si>
    <t xml:space="preserve">Chung, D., Elgqvist, E., Santhanagopalan, S., 2015. Automotive Lithium-ion Battery (LIB) Supply Chain and U.S. Competitiveness Considerations, in C.E.M.A.C. (CEMAC) (ed.). </t>
  </si>
  <si>
    <t xml:space="preserve">Lebedeva, N., Di Persio, F., Boon-Breet, L., 2016. Lithium ion battery value chain and related opportunities for Europe, in J.R. Center (ed.). </t>
  </si>
  <si>
    <t>Mayyas, A., Steward, D., Mann, M., 2019. The case for recycling: Overview and challenges in the material supply chain for automotive li-ion batteries. Sustainable Materials and Technologies. 19, e00087. https://doi.org/10.1016/j.susmat.2018.e00087.</t>
  </si>
  <si>
    <t>Smith, B.J., Riddle, M.E., Earlam, M.R., Iloeje, C., Diamond, D., 2022. Rare Earth Permanent Magnets - Supply Chain Deep Dive Assessment, (United States). 10.2172/1871577.</t>
  </si>
  <si>
    <t>Production amounts in kg based on Idoine et al. (2022)</t>
  </si>
  <si>
    <t>Production amounts (in kg) based on Idoine et al. (2022)</t>
  </si>
  <si>
    <t xml:space="preserve">Idoine, N.E., Raycraft, E.R., Shaw, R.A., Hobbs, S.F., Deady, E.A., Everett, P., Evans, E.J., Mills, A.J., 2022. WORLD MINERAL PRODUCTION 2016–20, in British Geological Survey (ed.). </t>
  </si>
  <si>
    <t>(Marzullo 2018)</t>
  </si>
  <si>
    <t>Marzullo, D., 2018. What is the Longest Lasting HP Laptop? https://www.hp.com/us-en/shop/tech-takes/longest-lasting-hp-laptop (accessed 07/02/2023).</t>
  </si>
  <si>
    <t>weight%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</si>
</sst>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.0000"/>
    <numFmt numFmtId="167" formatCode="0.00000"/>
    <numFmt numFmtId="168" formatCode="0.000000"/>
    <numFmt numFmtId="169" formatCode="0.0000000"/>
    <numFmt numFmtId="170" formatCode="0.00000000"/>
  </numFmts>
  <fonts count="8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u/>
      <sz val="10"/>
      <color theme="10"/>
      <name val="Segoe UI"/>
      <family val="2"/>
    </font>
    <font>
      <sz val="1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9.8000000000000007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/>
    <xf numFmtId="0" fontId="0" fillId="0" borderId="2" xfId="0" applyBorder="1"/>
    <xf numFmtId="0" fontId="0" fillId="0" borderId="0" xfId="0" applyFill="1" applyBorder="1"/>
    <xf numFmtId="9" fontId="0" fillId="0" borderId="0" xfId="0" applyNumberFormat="1"/>
    <xf numFmtId="0" fontId="0" fillId="0" borderId="0" xfId="0" applyFill="1" applyBorder="1" applyAlignment="1">
      <alignment wrapText="1"/>
    </xf>
    <xf numFmtId="0" fontId="5" fillId="0" borderId="0" xfId="0" applyFont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0" fillId="0" borderId="1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3" xfId="0" applyBorder="1"/>
    <xf numFmtId="0" fontId="0" fillId="0" borderId="5" xfId="0" applyBorder="1"/>
    <xf numFmtId="0" fontId="0" fillId="0" borderId="5" xfId="0" applyFont="1" applyFill="1" applyBorder="1" applyAlignment="1">
      <alignment horizontal="left" wrapText="1"/>
    </xf>
    <xf numFmtId="1" fontId="0" fillId="0" borderId="0" xfId="0" applyNumberFormat="1" applyBorder="1"/>
    <xf numFmtId="9" fontId="0" fillId="0" borderId="0" xfId="2" applyFon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6" xfId="2" applyFont="1" applyBorder="1"/>
    <xf numFmtId="0" fontId="0" fillId="0" borderId="7" xfId="0" applyBorder="1"/>
    <xf numFmtId="0" fontId="0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166" fontId="0" fillId="0" borderId="0" xfId="0" applyNumberFormat="1" applyBorder="1"/>
    <xf numFmtId="0" fontId="2" fillId="0" borderId="0" xfId="0" applyFont="1" applyAlignment="1"/>
    <xf numFmtId="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Alignment="1">
      <alignment vertical="center"/>
    </xf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1" xfId="0" applyBorder="1"/>
    <xf numFmtId="164" fontId="0" fillId="0" borderId="0" xfId="1" applyNumberFormat="1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9" fontId="0" fillId="0" borderId="0" xfId="0" applyNumberFormat="1" applyBorder="1"/>
    <xf numFmtId="164" fontId="0" fillId="0" borderId="0" xfId="0" applyNumberFormat="1" applyBorder="1"/>
    <xf numFmtId="0" fontId="0" fillId="0" borderId="8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2" xfId="0" applyBorder="1" applyAlignment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3" fillId="0" borderId="0" xfId="3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Border="1" applyAlignment="1"/>
    <xf numFmtId="9" fontId="0" fillId="0" borderId="6" xfId="0" applyNumberFormat="1" applyBorder="1"/>
    <xf numFmtId="0" fontId="0" fillId="0" borderId="0" xfId="0" applyBorder="1" applyAlignment="1">
      <alignment horizontal="left" wrapText="1"/>
    </xf>
    <xf numFmtId="0" fontId="0" fillId="0" borderId="5" xfId="0" applyFill="1" applyBorder="1" applyAlignment="1">
      <alignment wrapText="1"/>
    </xf>
    <xf numFmtId="43" fontId="0" fillId="0" borderId="0" xfId="0" applyNumberFormat="1" applyBorder="1"/>
    <xf numFmtId="2" fontId="0" fillId="0" borderId="0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4" fillId="0" borderId="0" xfId="3" applyFont="1" applyBorder="1"/>
    <xf numFmtId="165" fontId="0" fillId="0" borderId="0" xfId="2" applyNumberFormat="1" applyFont="1" applyFill="1" applyBorder="1"/>
    <xf numFmtId="0" fontId="0" fillId="0" borderId="0" xfId="0" applyFill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2" xfId="0" applyFill="1" applyBorder="1"/>
    <xf numFmtId="1" fontId="0" fillId="0" borderId="5" xfId="0" applyNumberFormat="1" applyFill="1" applyBorder="1"/>
    <xf numFmtId="1" fontId="0" fillId="0" borderId="0" xfId="1" applyNumberFormat="1" applyFont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1" fontId="0" fillId="0" borderId="6" xfId="1" applyNumberFormat="1" applyFont="1" applyBorder="1"/>
    <xf numFmtId="10" fontId="0" fillId="0" borderId="0" xfId="2" applyNumberFormat="1" applyFont="1" applyBorder="1"/>
    <xf numFmtId="166" fontId="0" fillId="0" borderId="0" xfId="2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4" fillId="0" borderId="2" xfId="3" applyFont="1" applyFill="1" applyBorder="1" applyAlignment="1" applyProtection="1"/>
    <xf numFmtId="0" fontId="0" fillId="0" borderId="4" xfId="0" applyFill="1" applyBorder="1"/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/>
    <xf numFmtId="0" fontId="4" fillId="0" borderId="0" xfId="3" applyFont="1" applyFill="1" applyBorder="1" applyAlignment="1" applyProtection="1"/>
    <xf numFmtId="0" fontId="0" fillId="0" borderId="5" xfId="0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4" fillId="0" borderId="0" xfId="3" applyFont="1" applyFill="1" applyBorder="1" applyAlignment="1" applyProtection="1">
      <alignment wrapText="1"/>
    </xf>
    <xf numFmtId="9" fontId="0" fillId="0" borderId="0" xfId="2" applyFont="1" applyFill="1" applyBorder="1"/>
    <xf numFmtId="9" fontId="4" fillId="0" borderId="0" xfId="2" applyFont="1" applyFill="1" applyBorder="1" applyAlignment="1" applyProtection="1"/>
    <xf numFmtId="0" fontId="4" fillId="0" borderId="0" xfId="2" applyNumberFormat="1" applyFont="1" applyFill="1" applyBorder="1" applyAlignment="1" applyProtection="1"/>
    <xf numFmtId="1" fontId="0" fillId="0" borderId="0" xfId="0" applyNumberFormat="1" applyFill="1" applyBorder="1"/>
    <xf numFmtId="0" fontId="0" fillId="0" borderId="6" xfId="0" applyFont="1" applyFill="1" applyBorder="1"/>
    <xf numFmtId="9" fontId="4" fillId="0" borderId="6" xfId="2" applyFont="1" applyFill="1" applyBorder="1" applyAlignment="1" applyProtection="1"/>
    <xf numFmtId="0" fontId="4" fillId="0" borderId="6" xfId="0" applyFont="1" applyFill="1" applyBorder="1"/>
    <xf numFmtId="1" fontId="0" fillId="0" borderId="6" xfId="0" applyNumberFormat="1" applyFill="1" applyBorder="1"/>
    <xf numFmtId="9" fontId="0" fillId="0" borderId="6" xfId="2" applyFont="1" applyFill="1" applyBorder="1"/>
    <xf numFmtId="10" fontId="0" fillId="0" borderId="0" xfId="0" applyNumberFormat="1" applyFill="1" applyBorder="1"/>
    <xf numFmtId="0" fontId="0" fillId="0" borderId="8" xfId="0" applyFill="1" applyBorder="1"/>
    <xf numFmtId="0" fontId="0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6" xfId="0" applyBorder="1" applyAlignment="1">
      <alignment horizontal="left"/>
    </xf>
    <xf numFmtId="1" fontId="0" fillId="0" borderId="7" xfId="0" applyNumberFormat="1" applyBorder="1"/>
    <xf numFmtId="10" fontId="0" fillId="0" borderId="0" xfId="0" applyNumberFormat="1" applyBorder="1"/>
    <xf numFmtId="9" fontId="0" fillId="0" borderId="0" xfId="0" applyNumberFormat="1" applyBorder="1" applyAlignment="1">
      <alignment horizontal="right"/>
    </xf>
    <xf numFmtId="9" fontId="0" fillId="0" borderId="0" xfId="0" applyNumberFormat="1" applyFill="1" applyBorder="1"/>
    <xf numFmtId="10" fontId="0" fillId="0" borderId="6" xfId="0" applyNumberFormat="1" applyBorder="1"/>
    <xf numFmtId="167" fontId="0" fillId="0" borderId="0" xfId="2" applyNumberFormat="1" applyFont="1" applyBorder="1"/>
    <xf numFmtId="167" fontId="0" fillId="0" borderId="0" xfId="0" applyNumberFormat="1" applyBorder="1"/>
    <xf numFmtId="1" fontId="7" fillId="0" borderId="0" xfId="0" applyNumberFormat="1" applyFont="1" applyBorder="1" applyAlignment="1">
      <alignment vertical="center"/>
    </xf>
    <xf numFmtId="1" fontId="7" fillId="0" borderId="6" xfId="0" applyNumberFormat="1" applyFont="1" applyBorder="1" applyAlignment="1">
      <alignment vertical="center"/>
    </xf>
    <xf numFmtId="170" fontId="0" fillId="0" borderId="0" xfId="0" applyNumberFormat="1" applyBorder="1"/>
    <xf numFmtId="168" fontId="0" fillId="0" borderId="0" xfId="0" applyNumberFormat="1" applyBorder="1"/>
    <xf numFmtId="168" fontId="0" fillId="0" borderId="0" xfId="2" applyNumberFormat="1" applyFont="1" applyBorder="1"/>
    <xf numFmtId="169" fontId="0" fillId="0" borderId="0" xfId="2" applyNumberFormat="1" applyFont="1" applyBorder="1"/>
    <xf numFmtId="0" fontId="0" fillId="0" borderId="2" xfId="0" applyBorder="1" applyAlignment="1">
      <alignment wrapText="1"/>
    </xf>
    <xf numFmtId="169" fontId="0" fillId="0" borderId="0" xfId="0" applyNumberFormat="1" applyBorder="1"/>
    <xf numFmtId="1" fontId="7" fillId="0" borderId="0" xfId="0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1" fontId="7" fillId="0" borderId="6" xfId="0" applyNumberFormat="1" applyFont="1" applyFill="1" applyBorder="1" applyAlignment="1">
      <alignment vertical="center"/>
    </xf>
    <xf numFmtId="164" fontId="7" fillId="0" borderId="0" xfId="1" applyNumberFormat="1" applyFont="1" applyBorder="1" applyAlignment="1">
      <alignment vertical="center"/>
    </xf>
    <xf numFmtId="1" fontId="4" fillId="0" borderId="6" xfId="0" applyNumberFormat="1" applyFont="1" applyBorder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1_mobile_phone/Mobile%20phone%20global%20produc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NiMHB/NiMHB%20global%20productio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NiCdB/NiCdB_global_produc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Processor/Processor_global%20productio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StUnit/Storage%20unit_global%20produ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SDSIM/SDSIM_global%20producti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PHOeq/PHOeq_global%20producti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LaPCeq/LaPCeq_global%20productio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2_MoTVeq/MoTVeq_global%20productio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3_NiMHBcc/NiMHBcc%20global%20productio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3_NiCdBcc/NiCdBcc%20global%20produ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1_laptop/Laptop_global_productio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obility/02_Electronics/Electronics%20global%20price%20and%20country%20production%20share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obility/04_Al%20foil/Al%20foil%20global%20price%20and%20country%20production%20shar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obility/04_Al%20plate/Al%20plate%20global%20price%20and%20country%20production%20share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Antimony/Sb%20global%20price%20and%20country%20production%20share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Barytes/Barytes%20global%20price%20and%20country%20production%20share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Beryllium/Beryllium%20powder%20global%20price%20and%20country%20production%20shar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Borates/Borates%20global%20price%20and%20country%20production%20shar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Cobalt/Cobalt%20price%20and%20country%20production%20shar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Gallium/Gallium%20global%20price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Rare%20Earth%20Elements/REE%20global%20price%20and%20country%20production%20sh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1_desktop_computer/PC_global_productio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Indium/Indium%20powder%20global%20price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Lithium/Lithium%20carbonate%20global%20price%20and%20country%20production%20share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Magnesium/Magnesium%20global%20price%20and%20country%20production%20share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Platinum%20Group%20Metals/PGMs%20global%20price%20and%20country%20production%20shar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Phosphorus/Phosphoric%20acid%20global%20productio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Scandium/Scandium%20global%20price%20and%20country%20production%20share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Silicon%20metal/Silicon%20metal%20global%20price%20and%20country%20production%20shar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Tantalum/Tantalum_powder%20global%20price%20and%20country%20production%20share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Titanium/Titanium%20global%20price%20and%20country%20production%20share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Vanadium/Vanadium%20global%20price%20and%20country%20production%20sha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04_LCD_Monitor_TV/Flat%20screen%20global%20price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Tungsten/Tungsten%20global%20production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Strontium/Strontium_global%20produc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Materials/Aluminium/Al%20global%20price%20and%20country%20production%20sha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1_flatscreen_monitor/FlMo_global%20produc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1_flatscreen_TV/FlTV_global%20produc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05_CRT_Monitor_TV/CRT%20screen%20global%20pric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Inventory%20model/Global_price_data/ICT/data_01_CRT_screen/CRT_global_produc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/Desktop/BW2%203.%20Paper/Flowchart/Data_Sankey_I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0.71676574770996215</v>
          </cell>
          <cell r="CE3">
            <v>1.1590047844277741E-2</v>
          </cell>
          <cell r="CT3">
            <v>2.6791939510455044E-2</v>
          </cell>
          <cell r="EO3">
            <v>1.2697554321329218E-2</v>
          </cell>
          <cell r="GN3">
            <v>7.7103045368129203E-2</v>
          </cell>
          <cell r="HH3">
            <v>6.8372407280891973E-2</v>
          </cell>
          <cell r="HT3">
            <v>1.6446930827387827E-2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0.40094985325359683</v>
          </cell>
          <cell r="BW3">
            <v>1.6273010809380001E-2</v>
          </cell>
          <cell r="CE3">
            <v>5.8744095183365333E-2</v>
          </cell>
          <cell r="CT3">
            <v>1.13904679976332E-2</v>
          </cell>
          <cell r="CU3">
            <v>8.094537230913576E-2</v>
          </cell>
          <cell r="DE3">
            <v>0.36706359512649039</v>
          </cell>
          <cell r="EO3">
            <v>1.1857777811234088E-2</v>
          </cell>
          <cell r="FO3">
            <v>1.2721620363172993E-2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0.44122396181866075</v>
          </cell>
          <cell r="BG3">
            <v>2.7811578696532228E-2</v>
          </cell>
          <cell r="BW3">
            <v>3.6148319673047047E-2</v>
          </cell>
          <cell r="CE3">
            <v>5.4790304080207526E-2</v>
          </cell>
          <cell r="CT3">
            <v>2.6453674215668722E-2</v>
          </cell>
          <cell r="DE3">
            <v>8.6805681977687704E-2</v>
          </cell>
          <cell r="EO3">
            <v>1.0437997131929966E-2</v>
          </cell>
          <cell r="GK3">
            <v>1.1856652242616327E-2</v>
          </cell>
          <cell r="GL3">
            <v>5.6465081711872707E-2</v>
          </cell>
          <cell r="GY3">
            <v>0.15417018939758226</v>
          </cell>
          <cell r="HT3">
            <v>1.9322435403765856E-2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0.24409178196268835</v>
          </cell>
          <cell r="BG3">
            <v>7.0480110864153483E-2</v>
          </cell>
          <cell r="CE3">
            <v>5.7484327432491489E-2</v>
          </cell>
          <cell r="CT3">
            <v>1.0573142674205276E-2</v>
          </cell>
          <cell r="CU3">
            <v>1.7852708933608529E-2</v>
          </cell>
          <cell r="CZ3">
            <v>1.0434695101173161E-2</v>
          </cell>
          <cell r="DB3">
            <v>1.1820297146176001E-2</v>
          </cell>
          <cell r="DX3">
            <v>1.5389747731143738E-2</v>
          </cell>
          <cell r="ED3">
            <v>0.28939712018730296</v>
          </cell>
          <cell r="EO3">
            <v>4.2137987383001327E-2</v>
          </cell>
          <cell r="FO3">
            <v>1.7379907959779027E-2</v>
          </cell>
          <cell r="GL3">
            <v>2.4891738133111376E-2</v>
          </cell>
          <cell r="HH3">
            <v>1.3210809599071704E-2</v>
          </cell>
          <cell r="HR3">
            <v>3.5223600973945106E-2</v>
          </cell>
          <cell r="HT3">
            <v>7.8959845096240197E-2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0.23069964422959144</v>
          </cell>
          <cell r="BG3">
            <v>1.8202744431903312E-2</v>
          </cell>
          <cell r="CE3">
            <v>4.2309847630759838E-2</v>
          </cell>
          <cell r="CU3">
            <v>1.0924480778584905E-2</v>
          </cell>
          <cell r="CZ3">
            <v>2.7853384504587648E-2</v>
          </cell>
          <cell r="DB3">
            <v>1.0292274501518154E-2</v>
          </cell>
          <cell r="DX3">
            <v>1.5944957409766512E-2</v>
          </cell>
          <cell r="ED3">
            <v>2.3997530486193522E-2</v>
          </cell>
          <cell r="EO3">
            <v>5.8453061010232038E-2</v>
          </cell>
          <cell r="FM3">
            <v>5.0673890150267999E-2</v>
          </cell>
          <cell r="FO3">
            <v>1.5217590158545295E-2</v>
          </cell>
          <cell r="GL3">
            <v>2.85814326253447E-2</v>
          </cell>
          <cell r="HC3">
            <v>0.28635238340414171</v>
          </cell>
          <cell r="HH3">
            <v>1.1476117493911017E-2</v>
          </cell>
          <cell r="HR3">
            <v>2.0436204552915956E-2</v>
          </cell>
          <cell r="HT3">
            <v>9.0022087691438171E-2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0.80254494503747287</v>
          </cell>
          <cell r="DE3">
            <v>1.1440935428595809E-2</v>
          </cell>
          <cell r="DX3">
            <v>4.3544358015312964E-2</v>
          </cell>
          <cell r="ED3">
            <v>1.2174065037173724E-2</v>
          </cell>
          <cell r="HT3">
            <v>1.051790766976512E-2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0.62778637838138918</v>
          </cell>
          <cell r="BG3">
            <v>1.8416907643421399E-2</v>
          </cell>
          <cell r="CT3">
            <v>3.8190147865139933E-2</v>
          </cell>
          <cell r="CU3">
            <v>1.3389625663434426E-2</v>
          </cell>
          <cell r="DJ3">
            <v>3.7680687896034334E-2</v>
          </cell>
          <cell r="EO3">
            <v>2.2994354880895265E-2</v>
          </cell>
          <cell r="FT3">
            <v>1.1943056576205473E-2</v>
          </cell>
          <cell r="GN3">
            <v>8.8562138176737623E-2</v>
          </cell>
          <cell r="HH3">
            <v>1.6695205157667588E-2</v>
          </cell>
          <cell r="HT3">
            <v>1.1694264622821497E-2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0.65260623793824946</v>
          </cell>
          <cell r="CE3">
            <v>2.9200080513324081E-2</v>
          </cell>
          <cell r="CT3">
            <v>2.3551587739168722E-2</v>
          </cell>
          <cell r="DE3">
            <v>1.514934216785052E-2</v>
          </cell>
          <cell r="DJ3">
            <v>3.1904416955962876E-2</v>
          </cell>
          <cell r="DX3">
            <v>4.1314120573854363E-2</v>
          </cell>
          <cell r="EO3">
            <v>3.5738792241601272E-2</v>
          </cell>
          <cell r="FM3">
            <v>1.6670165557340286E-2</v>
          </cell>
          <cell r="GL3">
            <v>1.128873063956223E-2</v>
          </cell>
          <cell r="GN3">
            <v>1.6564389130258799E-2</v>
          </cell>
          <cell r="HC3">
            <v>2.3622695289475273E-2</v>
          </cell>
          <cell r="HT3">
            <v>1.4854874832771141E-2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0.51001786047057363</v>
          </cell>
          <cell r="CE3">
            <v>2.6315769525592683E-2</v>
          </cell>
          <cell r="CT3">
            <v>1.6680443709013219E-2</v>
          </cell>
          <cell r="CU3">
            <v>1.8616068626066004E-2</v>
          </cell>
          <cell r="CW3">
            <v>1.5240669209970716E-2</v>
          </cell>
          <cell r="DE3">
            <v>1.5686184968251807E-2</v>
          </cell>
          <cell r="DJ3">
            <v>0.10620330431746254</v>
          </cell>
          <cell r="DX3">
            <v>3.590238419275793E-2</v>
          </cell>
          <cell r="EO3">
            <v>1.7177794998070074E-2</v>
          </cell>
          <cell r="GM3">
            <v>1.0458759736394298E-2</v>
          </cell>
          <cell r="GN3">
            <v>0.13211892293415067</v>
          </cell>
          <cell r="HQ3">
            <v>2.0972728167441789E-2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M3">
            <v>1.4065728603484649E-2</v>
          </cell>
          <cell r="AT3">
            <v>0.23705243843191795</v>
          </cell>
          <cell r="BW3">
            <v>1.3160921809837694E-2</v>
          </cell>
          <cell r="CE3">
            <v>5.0458036543974592E-2</v>
          </cell>
          <cell r="CU3">
            <v>1.6472038518637377E-2</v>
          </cell>
          <cell r="DE3">
            <v>0.3161244901732097</v>
          </cell>
          <cell r="DJ3">
            <v>0.15858906166184422</v>
          </cell>
          <cell r="DT3">
            <v>1.9230025283971851E-2</v>
          </cell>
          <cell r="DX3">
            <v>1.8362948292115835E-2</v>
          </cell>
          <cell r="GN3">
            <v>1.9262158985962275E-2</v>
          </cell>
          <cell r="HR3">
            <v>1.3941074018032676E-2</v>
          </cell>
          <cell r="HT3">
            <v>4.4824772401226488E-2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M3">
            <v>1.450734573187982E-2</v>
          </cell>
          <cell r="Z3">
            <v>1.0429505388678543E-2</v>
          </cell>
          <cell r="AG3">
            <v>1.6463329236028151E-2</v>
          </cell>
          <cell r="AT3">
            <v>0.1670625116774373</v>
          </cell>
          <cell r="BG3">
            <v>0.11465231329810993</v>
          </cell>
          <cell r="BW3">
            <v>1.8732670272154302E-2</v>
          </cell>
          <cell r="CE3">
            <v>5.5298268903238655E-2</v>
          </cell>
          <cell r="CW3">
            <v>1.0583046880146956E-2</v>
          </cell>
          <cell r="DB3">
            <v>7.6341760582327015E-2</v>
          </cell>
          <cell r="DE3">
            <v>7.2891076858469656E-2</v>
          </cell>
          <cell r="DJ3">
            <v>8.413164786004762E-2</v>
          </cell>
          <cell r="DT3">
            <v>1.5904199156511777E-2</v>
          </cell>
          <cell r="ED3">
            <v>5.475493734669603E-2</v>
          </cell>
          <cell r="FO3">
            <v>2.315502716094095E-2</v>
          </cell>
          <cell r="GK3">
            <v>1.0575697801371239E-2</v>
          </cell>
          <cell r="HC3">
            <v>1.9012690372319268E-2</v>
          </cell>
          <cell r="HH3">
            <v>1.1207103216977619E-2</v>
          </cell>
          <cell r="HJ3">
            <v>2.2809014494173066E-2</v>
          </cell>
          <cell r="HR3">
            <v>5.0367701726516806E-2</v>
          </cell>
          <cell r="HT3">
            <v>6.8511637744201589E-2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0.75666393514254449</v>
          </cell>
          <cell r="CE3">
            <v>2.9370367757024059E-2</v>
          </cell>
          <cell r="CZ3">
            <v>1.2758487290443083E-2</v>
          </cell>
          <cell r="EO3">
            <v>5.5742822567714269E-2</v>
          </cell>
          <cell r="GN3">
            <v>2.0725816202109459E-2</v>
          </cell>
          <cell r="HH3">
            <v>2.1851656757949953E-2</v>
          </cell>
          <cell r="HT3">
            <v>1.7857762007411761E-2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AT3">
            <v>0.54325231707251098</v>
          </cell>
          <cell r="DA3">
            <v>1.5603216054019939E-2</v>
          </cell>
          <cell r="DE3">
            <v>0.11690506518541134</v>
          </cell>
          <cell r="DX3">
            <v>6.1287379431743207E-2</v>
          </cell>
          <cell r="ED3">
            <v>3.268862261507792E-2</v>
          </cell>
          <cell r="FM3">
            <v>5.4348200562302662E-2</v>
          </cell>
          <cell r="GL3">
            <v>9.294150623456654E-2</v>
          </cell>
          <cell r="HT3">
            <v>6.6719765030388664E-2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M3">
            <v>7.2739286267501271E-2</v>
          </cell>
          <cell r="AT3">
            <v>0.37620659031306231</v>
          </cell>
          <cell r="BD3">
            <v>2.0069112270487431E-2</v>
          </cell>
          <cell r="BW3">
            <v>1.4204944723089708E-2</v>
          </cell>
          <cell r="CE3">
            <v>7.9042630863031399E-2</v>
          </cell>
          <cell r="CI3">
            <v>1.4980800371942098E-2</v>
          </cell>
          <cell r="DB3">
            <v>6.6399709991414133E-2</v>
          </cell>
          <cell r="DE3">
            <v>2.6264588278567612E-2</v>
          </cell>
          <cell r="DJ3">
            <v>2.3806932725370409E-2</v>
          </cell>
          <cell r="DX3">
            <v>2.269182486835513E-2</v>
          </cell>
          <cell r="FM3">
            <v>2.9637175776911689E-2</v>
          </cell>
          <cell r="FO3">
            <v>2.0950290085340988E-2</v>
          </cell>
          <cell r="GK3">
            <v>1.8024109297164317E-2</v>
          </cell>
          <cell r="GZ3">
            <v>1.8242806120623543E-2</v>
          </cell>
          <cell r="HC3">
            <v>5.1621354655649251E-2</v>
          </cell>
          <cell r="HH3">
            <v>1.0972916063919194E-2</v>
          </cell>
          <cell r="HJ3">
            <v>1.8475556290640672E-2</v>
          </cell>
          <cell r="HT3">
            <v>2.5221766167504808E-2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5">
          <cell r="M5">
            <v>1.81061602906341E-2</v>
          </cell>
          <cell r="S5">
            <v>2.2485881528850178E-2</v>
          </cell>
          <cell r="AM5">
            <v>1.7041045343013792E-2</v>
          </cell>
          <cell r="AT5">
            <v>0.23716088773089769</v>
          </cell>
          <cell r="BW5">
            <v>5.2215940784860276E-2</v>
          </cell>
          <cell r="CE5">
            <v>0.16243924331100859</v>
          </cell>
          <cell r="CI5">
            <v>1.939286845114346E-2</v>
          </cell>
          <cell r="DB5">
            <v>3.0903721484363714E-2</v>
          </cell>
          <cell r="DE5">
            <v>1.8045801135606145E-2</v>
          </cell>
          <cell r="DJ5">
            <v>7.5279604873439238E-2</v>
          </cell>
          <cell r="FB5">
            <v>1.3364958655314316E-2</v>
          </cell>
          <cell r="FU5">
            <v>1.5875993900377076E-2</v>
          </cell>
          <cell r="GF5">
            <v>2.3342881144235557E-2</v>
          </cell>
          <cell r="GQ5">
            <v>1.2248134325748566E-2</v>
          </cell>
          <cell r="GS5">
            <v>2.5357592249743106E-2</v>
          </cell>
          <cell r="GZ5">
            <v>3.0628576930149778E-2</v>
          </cell>
          <cell r="HC5">
            <v>1.8975942856246104E-2</v>
          </cell>
          <cell r="HJ5">
            <v>1.5229202154343348E-2</v>
          </cell>
          <cell r="HT5">
            <v>6.6602715949043281E-2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AH3">
            <v>7.7886727849415333E-2</v>
          </cell>
          <cell r="AT3">
            <v>0.31289045106443986</v>
          </cell>
          <cell r="BW3">
            <v>1.1584544008819461E-2</v>
          </cell>
          <cell r="DJ3">
            <v>4.1921909157624976E-2</v>
          </cell>
          <cell r="EK3">
            <v>1.3246014817910958E-2</v>
          </cell>
          <cell r="FL3">
            <v>1.1541685315778698E-2</v>
          </cell>
          <cell r="GK3">
            <v>5.2379751699769071E-2</v>
          </cell>
          <cell r="GL3">
            <v>1.1607125182715314E-2</v>
          </cell>
          <cell r="GN3">
            <v>0.16748470071895188</v>
          </cell>
          <cell r="HB3">
            <v>0.18781215024125561</v>
          </cell>
          <cell r="HC3">
            <v>3.0186395402569427E-2</v>
          </cell>
          <cell r="HT3">
            <v>1.2408288089062936E-2</v>
          </cell>
        </row>
        <row r="6">
          <cell r="S6">
            <v>0.15565111109725258</v>
          </cell>
          <cell r="V6">
            <v>3.4147493751454497E-2</v>
          </cell>
          <cell r="AH6">
            <v>4.5934389686706267E-2</v>
          </cell>
          <cell r="AT6">
            <v>0.46388400947731928</v>
          </cell>
          <cell r="BW6">
            <v>0.10607534735783873</v>
          </cell>
          <cell r="DB6">
            <v>1.2127030482754585E-2</v>
          </cell>
          <cell r="DE6">
            <v>2.5709893830670138E-2</v>
          </cell>
          <cell r="DJ6">
            <v>2.1395587554600082E-2</v>
          </cell>
          <cell r="GS6">
            <v>3.0384045442099709E-2</v>
          </cell>
          <cell r="HC6">
            <v>3.2830102010452389E-2</v>
          </cell>
          <cell r="HT6">
            <v>2.7029373758216839E-2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AG3">
            <v>1.1081928596651709E-2</v>
          </cell>
          <cell r="AT3">
            <v>0.10786103988161409</v>
          </cell>
          <cell r="CE3">
            <v>1.4953332406916575E-2</v>
          </cell>
          <cell r="DF3">
            <v>2.7904297859888884E-2</v>
          </cell>
          <cell r="DM3">
            <v>4.1122873232623106E-2</v>
          </cell>
          <cell r="ED3">
            <v>5.089346907838823E-2</v>
          </cell>
          <cell r="EI3">
            <v>8.9362715972570339E-2</v>
          </cell>
          <cell r="EO3">
            <v>2.7199881735001593E-2</v>
          </cell>
          <cell r="FH3">
            <v>2.143451667437524E-2</v>
          </cell>
          <cell r="GK3">
            <v>0.33707181510280415</v>
          </cell>
          <cell r="GN3">
            <v>5.9269638008212333E-2</v>
          </cell>
          <cell r="GS3">
            <v>1.1535049394429425E-2</v>
          </cell>
          <cell r="HC3">
            <v>2.4070205470320811E-2</v>
          </cell>
          <cell r="HJ3">
            <v>0.13248906033080493</v>
          </cell>
          <cell r="HT3">
            <v>1.9995030429026301E-2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DF3">
            <v>0.59435872887285046</v>
          </cell>
          <cell r="HR3">
            <v>0.15322016423021689</v>
          </cell>
          <cell r="HT3">
            <v>0.2441727731339986</v>
          </cell>
        </row>
        <row r="6">
          <cell r="W6">
            <v>5.7849851643122396E-2</v>
          </cell>
          <cell r="DT6">
            <v>6.7056064592780587E-2</v>
          </cell>
          <cell r="FM6">
            <v>0.1052058646064655</v>
          </cell>
          <cell r="GZ6">
            <v>0.70302498740366137</v>
          </cell>
          <cell r="HC6">
            <v>2.9770902146664925E-2</v>
          </cell>
          <cell r="HT6">
            <v>2.5267322298318622E-2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5">
          <cell r="DT5">
            <v>2.2664427324801957E-2</v>
          </cell>
          <cell r="FO5">
            <v>1.0328643324423898E-2</v>
          </cell>
          <cell r="HJ5">
            <v>0.54705618810566581</v>
          </cell>
          <cell r="HT5">
            <v>0.35762554512301242</v>
          </cell>
        </row>
        <row r="8">
          <cell r="K8">
            <v>2.6431215030201689E-2</v>
          </cell>
          <cell r="AS8">
            <v>0.13312753392016688</v>
          </cell>
          <cell r="DT8">
            <v>2.6784077332891509E-2</v>
          </cell>
          <cell r="EO8">
            <v>2.2245827373682702E-2</v>
          </cell>
          <cell r="FL8">
            <v>4.2798235092148022E-2</v>
          </cell>
          <cell r="FU8">
            <v>0.11145165105755893</v>
          </cell>
          <cell r="HJ8">
            <v>0.31529253847055727</v>
          </cell>
          <cell r="HT8">
            <v>0.26905190524151401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L3">
            <v>9.0876059069349341E-2</v>
          </cell>
          <cell r="S3">
            <v>9.6189028713574376E-2</v>
          </cell>
          <cell r="AM3">
            <v>0.11499897996134403</v>
          </cell>
          <cell r="AT3">
            <v>6.4800747197154354E-2</v>
          </cell>
          <cell r="DE3">
            <v>1.2257727118217479E-2</v>
          </cell>
          <cell r="DV3">
            <v>0.15978080061183139</v>
          </cell>
          <cell r="EO3">
            <v>2.1309285722212714E-2</v>
          </cell>
          <cell r="ET3">
            <v>4.5646353077509375E-2</v>
          </cell>
          <cell r="GQ3">
            <v>4.3818367080468511E-2</v>
          </cell>
          <cell r="HJ3">
            <v>2.4633419754607061E-2</v>
          </cell>
          <cell r="HR3">
            <v>5.0987683769657323E-2</v>
          </cell>
          <cell r="HT3">
            <v>5.6554943775935118E-2</v>
          </cell>
          <cell r="IB3">
            <v>0.21029854044730717</v>
          </cell>
        </row>
        <row r="12">
          <cell r="M12">
            <v>1.8156550443914295E-2</v>
          </cell>
          <cell r="AM12">
            <v>1.7441288483740186E-2</v>
          </cell>
          <cell r="BW12">
            <v>4.9971376610727328E-2</v>
          </cell>
          <cell r="CE12">
            <v>0.16917714146719595</v>
          </cell>
          <cell r="CW12">
            <v>3.2956017586664832E-2</v>
          </cell>
          <cell r="CZ12">
            <v>4.4077953741401041E-2</v>
          </cell>
          <cell r="DB12">
            <v>1.0377882964035235E-2</v>
          </cell>
          <cell r="DE12">
            <v>0.13916505947906724</v>
          </cell>
          <cell r="DJ12">
            <v>0.11263465064617592</v>
          </cell>
          <cell r="EO12">
            <v>2.0221514305110096E-2</v>
          </cell>
          <cell r="FU12">
            <v>1.0669410311701866E-2</v>
          </cell>
          <cell r="GL12">
            <v>1.773539800454824E-2</v>
          </cell>
          <cell r="HI12">
            <v>1.0906066480113264E-2</v>
          </cell>
          <cell r="HR12">
            <v>0.10611079020437125</v>
          </cell>
          <cell r="HT12">
            <v>0.16475723570102258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AM3">
            <v>0.42274765593151248</v>
          </cell>
          <cell r="CE3">
            <v>9.2947411333061558E-2</v>
          </cell>
          <cell r="DJ3">
            <v>0.30819404810436202</v>
          </cell>
          <cell r="EO3">
            <v>0.15002038320423972</v>
          </cell>
          <cell r="HR3">
            <v>1.4268242967794538E-2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L3">
            <v>0.68069069929711234</v>
          </cell>
          <cell r="AT3">
            <v>0.16179190588742143</v>
          </cell>
          <cell r="GN3">
            <v>8.0493148441535503E-2</v>
          </cell>
          <cell r="HC3">
            <v>3.0334806507866848E-2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S3">
            <v>1.7833348450918721E-2</v>
          </cell>
          <cell r="AT3">
            <v>0.41553657029812613</v>
          </cell>
          <cell r="BG3">
            <v>2.6476309107232695E-2</v>
          </cell>
          <cell r="BW3">
            <v>1.5948542068698213E-2</v>
          </cell>
          <cell r="CE3">
            <v>5.4872305807257236E-2</v>
          </cell>
          <cell r="CZ3">
            <v>2.2433477093127506E-2</v>
          </cell>
          <cell r="DX3">
            <v>1.8925638181131951E-2</v>
          </cell>
          <cell r="ED3">
            <v>4.0126979605345718E-2</v>
          </cell>
          <cell r="EO3">
            <v>7.4348932761916356E-2</v>
          </cell>
          <cell r="FO3">
            <v>0.10194987361328228</v>
          </cell>
          <cell r="HH3">
            <v>1.8791090333281305E-2</v>
          </cell>
          <cell r="HR3">
            <v>2.309643556657735E-2</v>
          </cell>
          <cell r="HT3">
            <v>5.9229474311976255E-2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N3">
            <v>1.7550246849402242E-2</v>
          </cell>
          <cell r="S3">
            <v>0.32230616571060444</v>
          </cell>
          <cell r="AT3">
            <v>1.2385035558751485E-2</v>
          </cell>
          <cell r="BW3">
            <v>0.1093720660784786</v>
          </cell>
          <cell r="DB3">
            <v>2.3702010477741287E-2</v>
          </cell>
          <cell r="DE3">
            <v>9.8956512603900426E-2</v>
          </cell>
          <cell r="DJ3">
            <v>3.0296937763279359E-2</v>
          </cell>
          <cell r="FU3">
            <v>0.29318657008838517</v>
          </cell>
          <cell r="GL3">
            <v>1.1447991967507769E-2</v>
          </cell>
          <cell r="HT3">
            <v>5.8958275598286022E-2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5">
          <cell r="K5">
            <v>0.10930144184740619</v>
          </cell>
          <cell r="S5">
            <v>1.4776903564388532E-2</v>
          </cell>
          <cell r="AS5">
            <v>0.4547250977180029</v>
          </cell>
          <cell r="AT5">
            <v>0.26004764648756634</v>
          </cell>
          <cell r="CE5">
            <v>1.13471666246977E-2</v>
          </cell>
          <cell r="EO5">
            <v>5.202298662266315E-2</v>
          </cell>
          <cell r="FU5">
            <v>3.6686964696762671E-2</v>
          </cell>
          <cell r="HT5">
            <v>2.9524511272074571E-2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M3">
            <v>4.7803506181348737E-2</v>
          </cell>
          <cell r="AT3">
            <v>0.74679786570042106</v>
          </cell>
          <cell r="CE3">
            <v>4.4481931934810655E-2</v>
          </cell>
          <cell r="EO3">
            <v>1.4807060979248887E-2</v>
          </cell>
          <cell r="FT3">
            <v>1.447665628409437E-2</v>
          </cell>
          <cell r="FU3">
            <v>1.5881139256386938E-2</v>
          </cell>
          <cell r="GM3">
            <v>1.2668947912078879E-2</v>
          </cell>
          <cell r="HJ3">
            <v>3.4670930947631316E-2</v>
          </cell>
          <cell r="HT3">
            <v>1.8593379695559346E-2</v>
          </cell>
        </row>
        <row r="11">
          <cell r="M11">
            <v>4.3291342081859814E-2</v>
          </cell>
          <cell r="AM11">
            <v>0.12172224382110139</v>
          </cell>
          <cell r="AT11">
            <v>7.7634986013017437E-2</v>
          </cell>
          <cell r="CE11">
            <v>7.1219089463745874E-2</v>
          </cell>
          <cell r="DB11">
            <v>1.791939423076409E-2</v>
          </cell>
          <cell r="DJ11">
            <v>1.0279322528427184E-2</v>
          </cell>
          <cell r="ED11">
            <v>5.7595177525852255E-2</v>
          </cell>
          <cell r="EO11">
            <v>1.7202210429887808E-2</v>
          </cell>
          <cell r="EV11">
            <v>0.35071243769228422</v>
          </cell>
          <cell r="FO11">
            <v>2.3496539752603407E-2</v>
          </cell>
          <cell r="FT11">
            <v>1.0691351600815635E-2</v>
          </cell>
          <cell r="GK11">
            <v>1.3811430019898896E-2</v>
          </cell>
          <cell r="GS11">
            <v>2.6161205655971031E-2</v>
          </cell>
          <cell r="GZ11">
            <v>3.014745557776051E-2</v>
          </cell>
          <cell r="HT11">
            <v>2.6183505681693604E-2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5">
          <cell r="S5">
            <v>4.391489860751329E-2</v>
          </cell>
          <cell r="AH5">
            <v>4.8911225091665428E-2</v>
          </cell>
          <cell r="BG5">
            <v>1.1755250713144977E-2</v>
          </cell>
          <cell r="CE5">
            <v>0.14966214002131675</v>
          </cell>
          <cell r="CT5">
            <v>8.0869088312700704E-2</v>
          </cell>
          <cell r="DB5">
            <v>5.320734151279867E-2</v>
          </cell>
          <cell r="DE5">
            <v>0.16346283195303418</v>
          </cell>
          <cell r="DJ5">
            <v>1.2750376837189088E-2</v>
          </cell>
          <cell r="FU5">
            <v>3.5912497887297223E-2</v>
          </cell>
          <cell r="GQ5">
            <v>0.19940292432557352</v>
          </cell>
          <cell r="GZ5">
            <v>1.5540869157298914E-2</v>
          </cell>
          <cell r="HR5">
            <v>9.0270184503626949E-2</v>
          </cell>
          <cell r="HT5">
            <v>5.1732761207672645E-2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S3">
            <v>5.7114925303432214E-2</v>
          </cell>
          <cell r="AT3">
            <v>7.1091298173177775E-2</v>
          </cell>
          <cell r="DA3">
            <v>8.1986622029002171E-2</v>
          </cell>
          <cell r="DG3">
            <v>0.10434738702352636</v>
          </cell>
          <cell r="DN3">
            <v>2.2960202929010857E-2</v>
          </cell>
          <cell r="ED3">
            <v>1.6908458444303776E-2</v>
          </cell>
          <cell r="EI3">
            <v>0.36590931296699836</v>
          </cell>
          <cell r="GG3">
            <v>8.1359024740241204E-2</v>
          </cell>
          <cell r="GN3">
            <v>1.4422459287529419E-2</v>
          </cell>
          <cell r="GQ3">
            <v>1.876353664952863E-2</v>
          </cell>
          <cell r="HI3">
            <v>3.6697660743204227E-2</v>
          </cell>
          <cell r="HT3">
            <v>5.6814141030575131E-2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5">
          <cell r="AT5">
            <v>2.3317757629965071E-2</v>
          </cell>
          <cell r="BQ5">
            <v>3.5493002382839887E-2</v>
          </cell>
          <cell r="DE5">
            <v>2.1022848792024287E-2</v>
          </cell>
          <cell r="DX5">
            <v>2.9333249066076063E-2</v>
          </cell>
          <cell r="GN5">
            <v>0.63387525423294122</v>
          </cell>
          <cell r="HC5">
            <v>0.2388715698303068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5">
          <cell r="L5">
            <v>2.6894398335594771E-2</v>
          </cell>
          <cell r="Z5">
            <v>0.11876503288440385</v>
          </cell>
          <cell r="AM5">
            <v>1.4586561577749128E-2</v>
          </cell>
          <cell r="AT5">
            <v>0.37806438274209836</v>
          </cell>
          <cell r="BW5">
            <v>5.257083344338391E-2</v>
          </cell>
          <cell r="CE5">
            <v>5.4323876618742231E-2</v>
          </cell>
          <cell r="CV5">
            <v>1.2462915862716126E-2</v>
          </cell>
          <cell r="DJ5">
            <v>1.1698937823172034E-2</v>
          </cell>
          <cell r="DX5">
            <v>3.7603506886013889E-2</v>
          </cell>
          <cell r="EO5">
            <v>5.2987008386638668E-2</v>
          </cell>
          <cell r="FB5">
            <v>0.14980886661484616</v>
          </cell>
          <cell r="HT5">
            <v>1.7960366975117679E-2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AT3">
            <v>0.18516566385331315</v>
          </cell>
          <cell r="BG3">
            <v>2.0492074466021856E-2</v>
          </cell>
          <cell r="BQ3">
            <v>2.7291582528458678E-2</v>
          </cell>
          <cell r="CE3">
            <v>0.13568441155733835</v>
          </cell>
          <cell r="CW3">
            <v>5.3484139424901565E-2</v>
          </cell>
          <cell r="DA3">
            <v>1.6769838173229256E-2</v>
          </cell>
          <cell r="DE3">
            <v>0.11096356026501349</v>
          </cell>
          <cell r="DF3">
            <v>0.10624497547537612</v>
          </cell>
          <cell r="HC3">
            <v>0.13527218187391096</v>
          </cell>
          <cell r="HR3">
            <v>1.698051644317277E-2</v>
          </cell>
          <cell r="HT3">
            <v>0.15940739321007513</v>
          </cell>
        </row>
        <row r="6">
          <cell r="M6">
            <v>1.8249132279213265E-2</v>
          </cell>
          <cell r="AT6">
            <v>0.14236887774778248</v>
          </cell>
          <cell r="BM6">
            <v>4.5196683378326261E-2</v>
          </cell>
          <cell r="BQ6">
            <v>3.4650019282684151E-2</v>
          </cell>
          <cell r="BW6">
            <v>3.8905707674508294E-2</v>
          </cell>
          <cell r="CE6">
            <v>1.7182799845738526E-2</v>
          </cell>
          <cell r="CW6">
            <v>0.19502506748939452</v>
          </cell>
          <cell r="DE6">
            <v>0.10396644812957964</v>
          </cell>
          <cell r="DJ6">
            <v>5.8174893945237179E-2</v>
          </cell>
          <cell r="DX6">
            <v>2.8593328191284226E-2</v>
          </cell>
          <cell r="ED6">
            <v>3.8632857693790976E-2</v>
          </cell>
          <cell r="EK6">
            <v>1.591785576552256E-2</v>
          </cell>
          <cell r="EO6">
            <v>1.6035480138835326E-2</v>
          </cell>
          <cell r="HC6">
            <v>3.3229849595063636E-2</v>
          </cell>
          <cell r="HR6">
            <v>1.6264944080215966E-2</v>
          </cell>
          <cell r="HT6">
            <v>0.13422387196297725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AM3">
            <v>1.6276315843921314E-2</v>
          </cell>
          <cell r="AT3">
            <v>3.9806480509998098E-2</v>
          </cell>
          <cell r="BG3">
            <v>1.7923675794424887E-2</v>
          </cell>
          <cell r="BQ3">
            <v>1.0029917883137469E-2</v>
          </cell>
          <cell r="BW3">
            <v>1.0920505357808152E-2</v>
          </cell>
          <cell r="CE3">
            <v>2.4860095690994372E-2</v>
          </cell>
          <cell r="DB3">
            <v>1.8216233794123241E-2</v>
          </cell>
          <cell r="DE3">
            <v>0.31556314953533604</v>
          </cell>
          <cell r="DF3">
            <v>0.18381546258138523</v>
          </cell>
          <cell r="EO3">
            <v>1.2302661046379639E-2</v>
          </cell>
          <cell r="FU3">
            <v>0.13297065730161442</v>
          </cell>
          <cell r="HO3">
            <v>6.9633498440323266E-2</v>
          </cell>
          <cell r="HR3">
            <v>1.990441745028633E-2</v>
          </cell>
          <cell r="HT3">
            <v>8.228790543854235E-2</v>
          </cell>
        </row>
        <row r="6">
          <cell r="L6">
            <v>1.2457546172480056E-2</v>
          </cell>
          <cell r="S6">
            <v>2.8764036922467262E-2</v>
          </cell>
          <cell r="AM6">
            <v>2.5129739846842608E-2</v>
          </cell>
          <cell r="AT6">
            <v>0.41862088881756837</v>
          </cell>
          <cell r="BG6">
            <v>2.1058293097808135E-2</v>
          </cell>
          <cell r="BW6">
            <v>7.8600070493052537E-2</v>
          </cell>
          <cell r="CE6">
            <v>0.10481710441847793</v>
          </cell>
          <cell r="DE6">
            <v>4.1096389769985184E-2</v>
          </cell>
          <cell r="DJ6">
            <v>7.625076206943604E-2</v>
          </cell>
          <cell r="EO6">
            <v>1.4143484018390903E-2</v>
          </cell>
          <cell r="FB6">
            <v>1.5972811706888471E-2</v>
          </cell>
          <cell r="GK6">
            <v>2.2784214341241976E-2</v>
          </cell>
          <cell r="GN6">
            <v>1.6551349445483188E-2</v>
          </cell>
          <cell r="HR6">
            <v>2.3859469674368101E-2</v>
          </cell>
          <cell r="HT6">
            <v>2.8309613394363557E-2</v>
          </cell>
        </row>
        <row r="9">
          <cell r="S9">
            <v>1.1101754357089185E-2</v>
          </cell>
          <cell r="AM9">
            <v>2.6410202276808972E-2</v>
          </cell>
          <cell r="BQ9">
            <v>4.973230117486787E-2</v>
          </cell>
          <cell r="BW9">
            <v>6.977434168087325E-2</v>
          </cell>
          <cell r="CE9">
            <v>0.13131512844162727</v>
          </cell>
          <cell r="DA9">
            <v>1.3668925159543118E-2</v>
          </cell>
          <cell r="DB9">
            <v>3.7902149630270179E-2</v>
          </cell>
          <cell r="DE9">
            <v>8.8039520354606382E-2</v>
          </cell>
          <cell r="DJ9">
            <v>2.8423680433914238E-2</v>
          </cell>
          <cell r="ED9">
            <v>1.2909350515013608E-2</v>
          </cell>
          <cell r="EO9">
            <v>1.2154935185706862E-2</v>
          </cell>
          <cell r="FO9">
            <v>2.7713594067610453E-2</v>
          </cell>
          <cell r="FU9">
            <v>1.2374997388690148E-2</v>
          </cell>
          <cell r="GL9">
            <v>2.208110949966037E-2</v>
          </cell>
          <cell r="GM9">
            <v>1.3307329962580721E-2</v>
          </cell>
          <cell r="GS9">
            <v>2.2675950057828645E-2</v>
          </cell>
          <cell r="GY9">
            <v>1.0399422789739862E-2</v>
          </cell>
          <cell r="GZ9">
            <v>1.9706463450841222E-2</v>
          </cell>
          <cell r="HR9">
            <v>6.9885077044718913E-2</v>
          </cell>
          <cell r="HT9">
            <v>0.23897630006830553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3">
          <cell r="Z3">
            <v>7.5961126435226206E-2</v>
          </cell>
          <cell r="AT3">
            <v>2.3853510610089921E-2</v>
          </cell>
          <cell r="BQ3">
            <v>1.4460214383637118E-2</v>
          </cell>
          <cell r="CE3">
            <v>3.2716942446720486E-2</v>
          </cell>
          <cell r="CZ3">
            <v>0.70424021027043249</v>
          </cell>
          <cell r="DJ3">
            <v>1.2033195399150782E-2</v>
          </cell>
          <cell r="FM3">
            <v>3.3292820142774966E-2</v>
          </cell>
          <cell r="FU3">
            <v>3.9605539510650448E-2</v>
          </cell>
          <cell r="HT3">
            <v>1.4365950452958427E-2</v>
          </cell>
        </row>
        <row r="6">
          <cell r="M6">
            <v>1.6641100918404421E-2</v>
          </cell>
          <cell r="Z6">
            <v>0.30253912434660152</v>
          </cell>
          <cell r="AT6">
            <v>0.12270739682868032</v>
          </cell>
          <cell r="CE6">
            <v>3.2834589078333559E-2</v>
          </cell>
          <cell r="DJ6">
            <v>2.3458960874327375E-2</v>
          </cell>
          <cell r="EO6">
            <v>1.9643193384730036E-2</v>
          </cell>
          <cell r="FU6">
            <v>0.288493159040701</v>
          </cell>
          <cell r="GK6">
            <v>1.0298753271964929E-2</v>
          </cell>
          <cell r="GQ6">
            <v>0.13489369263287426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9">
          <cell r="B9">
            <v>28562327946.999996</v>
          </cell>
        </row>
        <row r="10">
          <cell r="B10">
            <v>36.531505999747509</v>
          </cell>
        </row>
        <row r="16">
          <cell r="B16">
            <v>46699465324</v>
          </cell>
        </row>
        <row r="17">
          <cell r="B17">
            <v>25.483478039309535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ngsten_powder"/>
      <sheetName val="Ferro_tungsten"/>
      <sheetName val="Tungsten_scrap"/>
    </sheetNames>
    <sheetDataSet>
      <sheetData sheetId="0">
        <row r="3">
          <cell r="M3">
            <v>7.4200071713727167E-2</v>
          </cell>
          <cell r="AM3">
            <v>3.7834763904555389E-2</v>
          </cell>
          <cell r="AT3">
            <v>0.38142074217172345</v>
          </cell>
          <cell r="BG3">
            <v>9.4831056662122479E-2</v>
          </cell>
          <cell r="CE3">
            <v>3.4658730231344304E-2</v>
          </cell>
          <cell r="CT3">
            <v>9.1190474012051909E-2</v>
          </cell>
          <cell r="DA3">
            <v>4.1553551986134765E-2</v>
          </cell>
          <cell r="DE3">
            <v>1.7045734274935442E-2</v>
          </cell>
          <cell r="DJ3">
            <v>4.5366121232796437E-2</v>
          </cell>
          <cell r="EO3">
            <v>3.620464901881592E-2</v>
          </cell>
          <cell r="FO3">
            <v>1.3254840349820085E-2</v>
          </cell>
          <cell r="HT3">
            <v>4.9551854557938896E-2</v>
          </cell>
        </row>
      </sheetData>
      <sheetData sheetId="1">
        <row r="3">
          <cell r="S3">
            <v>4.30062867592899E-2</v>
          </cell>
          <cell r="Z3">
            <v>1.3747426967580053E-2</v>
          </cell>
          <cell r="AT3">
            <v>0.28300328597954816</v>
          </cell>
          <cell r="BQ3">
            <v>3.3547963126452064E-2</v>
          </cell>
          <cell r="BW3">
            <v>1.0228425975772056E-2</v>
          </cell>
          <cell r="CE3">
            <v>2.1587383146137343E-2</v>
          </cell>
          <cell r="DB3">
            <v>1.2397285635464356E-2</v>
          </cell>
          <cell r="DJ3">
            <v>2.4710121952778372E-2</v>
          </cell>
          <cell r="EO3">
            <v>7.1018942841222912E-2</v>
          </cell>
          <cell r="FU3">
            <v>0.39033354966049488</v>
          </cell>
          <cell r="GN3">
            <v>1.4219546852921768E-2</v>
          </cell>
          <cell r="GS3">
            <v>1.0046535136679021E-2</v>
          </cell>
          <cell r="HR3">
            <v>2.062449327789714E-2</v>
          </cell>
        </row>
      </sheetData>
      <sheetData sheetId="2">
        <row r="3">
          <cell r="M3">
            <v>2.871647077158683E-2</v>
          </cell>
          <cell r="S3">
            <v>1.0314518346688889E-2</v>
          </cell>
          <cell r="AF3">
            <v>8.0511686406442087E-2</v>
          </cell>
          <cell r="AT3">
            <v>2.5702333932471098E-2</v>
          </cell>
          <cell r="BG3">
            <v>1.4754317559330416E-2</v>
          </cell>
          <cell r="BW3">
            <v>4.8573146220312252E-2</v>
          </cell>
          <cell r="CE3">
            <v>0.12514848301795417</v>
          </cell>
          <cell r="CT3">
            <v>1.6406588604876263E-2</v>
          </cell>
          <cell r="DB3">
            <v>1.7231114119322224E-2</v>
          </cell>
          <cell r="DE3">
            <v>0.2272833057592574</v>
          </cell>
          <cell r="DJ3">
            <v>1.1332446111411288E-2</v>
          </cell>
          <cell r="DT3">
            <v>1.7347598221778004E-2</v>
          </cell>
          <cell r="ED3">
            <v>1.5185437539082951E-2</v>
          </cell>
          <cell r="EY3">
            <v>1.0348731023636855E-2</v>
          </cell>
          <cell r="FJ3">
            <v>2.5871505557426743E-2</v>
          </cell>
          <cell r="FO3">
            <v>1.9182202710352418E-2</v>
          </cell>
          <cell r="FU3">
            <v>2.2866022513068438E-2</v>
          </cell>
          <cell r="GI3">
            <v>2.1846202988561856E-2</v>
          </cell>
          <cell r="GQ3">
            <v>1.7058279725422738E-2</v>
          </cell>
          <cell r="GY3">
            <v>3.0813426117039876E-2</v>
          </cell>
          <cell r="HR3">
            <v>4.5881292798046348E-2</v>
          </cell>
          <cell r="HT3">
            <v>4.6059399969216638E-2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ontium_oxide"/>
    </sheetNames>
    <sheetDataSet>
      <sheetData sheetId="0">
        <row r="3">
          <cell r="AG3">
            <v>1.5893012677406011E-2</v>
          </cell>
          <cell r="AT3">
            <v>0.8383315924269199</v>
          </cell>
          <cell r="BW3">
            <v>1.2052400244067682E-2</v>
          </cell>
          <cell r="CE3">
            <v>3.6092805065277137E-2</v>
          </cell>
          <cell r="DE3">
            <v>1.1308016256882481E-2</v>
          </cell>
          <cell r="HR3">
            <v>1.1121873506213777E-2</v>
          </cell>
          <cell r="HT3">
            <v>2.1444193455804374E-2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data(price volatility)"/>
      <sheetName val="Production"/>
    </sheetNames>
    <sheetDataSet>
      <sheetData sheetId="0"/>
      <sheetData sheetId="1"/>
      <sheetData sheetId="2">
        <row r="11">
          <cell r="L11">
            <v>2.5532204241762578E-2</v>
          </cell>
          <cell r="M11">
            <v>1.7694640733066445E-2</v>
          </cell>
          <cell r="S11">
            <v>2.8929553924792743E-2</v>
          </cell>
          <cell r="AM11">
            <v>5.2342653714016772E-2</v>
          </cell>
          <cell r="BI11">
            <v>1.3432602565140214E-2</v>
          </cell>
          <cell r="BW11">
            <v>5.1023392662757107E-2</v>
          </cell>
          <cell r="CE11">
            <v>0.11284180018185373</v>
          </cell>
          <cell r="CT11">
            <v>2.031875350631385E-2</v>
          </cell>
          <cell r="DB11">
            <v>1.405989900462443E-2</v>
          </cell>
          <cell r="DE11">
            <v>3.100149687836817E-2</v>
          </cell>
          <cell r="DX11">
            <v>1.6334250021547276E-2</v>
          </cell>
          <cell r="ED11">
            <v>2.691285176538695E-2</v>
          </cell>
          <cell r="EO11">
            <v>5.2216585317632985E-2</v>
          </cell>
          <cell r="FO11">
            <v>2.5607197893740115E-2</v>
          </cell>
          <cell r="GF11">
            <v>1.6696022102710876E-2</v>
          </cell>
          <cell r="GS11">
            <v>1.6162069600167861E-2</v>
          </cell>
          <cell r="GY11">
            <v>1.8024395276316101E-2</v>
          </cell>
          <cell r="GZ11">
            <v>1.5872864663093209E-2</v>
          </cell>
          <cell r="HC11">
            <v>1.1863803280694354E-2</v>
          </cell>
          <cell r="HH11">
            <v>2.0121966487574201E-2</v>
          </cell>
          <cell r="HR11">
            <v>4.8344665367637714E-2</v>
          </cell>
          <cell r="HT11">
            <v>0.18038162348199213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0.63646506430652394</v>
          </cell>
          <cell r="BG3">
            <v>3.8426634521800306E-2</v>
          </cell>
          <cell r="CE3">
            <v>2.8300215283108381E-2</v>
          </cell>
          <cell r="DE3">
            <v>1.3272370970976366E-2</v>
          </cell>
          <cell r="DJ3">
            <v>1.4516279920380546E-2</v>
          </cell>
          <cell r="ED3">
            <v>1.5286724909981446E-2</v>
          </cell>
          <cell r="EO3">
            <v>8.0918429988546731E-2</v>
          </cell>
          <cell r="FO3">
            <v>1.8251967862881031E-2</v>
          </cell>
          <cell r="GN3">
            <v>2.7317908665052095E-2</v>
          </cell>
          <cell r="HH3">
            <v>1.3032289263615856E-2</v>
          </cell>
          <cell r="HT3">
            <v>2.607823579710793E-2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0.2325806433622703</v>
          </cell>
          <cell r="BG3">
            <v>1.4168340282781007E-2</v>
          </cell>
          <cell r="CU3">
            <v>7.3417767847462692E-2</v>
          </cell>
          <cell r="CW3">
            <v>1.6602668935402475E-2</v>
          </cell>
          <cell r="DJ3">
            <v>1.0833402654280325E-2</v>
          </cell>
          <cell r="DX3">
            <v>3.0614604354487599E-2</v>
          </cell>
          <cell r="ED3">
            <v>0.25780036857279953</v>
          </cell>
          <cell r="EO3">
            <v>1.5435245981023967E-2</v>
          </cell>
          <cell r="FM3">
            <v>1.1822581099669086E-2</v>
          </cell>
          <cell r="FO3">
            <v>8.4453550378073283E-2</v>
          </cell>
          <cell r="GM3">
            <v>6.3500097995190186E-2</v>
          </cell>
          <cell r="GN3">
            <v>5.2317486386591998E-2</v>
          </cell>
          <cell r="HH3">
            <v>1.3120927876391297E-2</v>
          </cell>
          <cell r="HJ3">
            <v>2.8530007428164198E-2</v>
          </cell>
          <cell r="HT3">
            <v>1.5673184174445801E-2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4">
          <cell r="B4">
            <v>4289498.0000000019</v>
          </cell>
        </row>
        <row r="6">
          <cell r="B6">
            <v>7339077.0000000009</v>
          </cell>
        </row>
        <row r="8">
          <cell r="B8">
            <v>2531286.0000000005</v>
          </cell>
        </row>
        <row r="10">
          <cell r="B10">
            <v>707047</v>
          </cell>
        </row>
        <row r="12">
          <cell r="B12">
            <v>14866908.000000004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AT3">
            <v>0.36583915095189934</v>
          </cell>
          <cell r="BW3">
            <v>1.4833010334092334E-2</v>
          </cell>
          <cell r="CE3">
            <v>2.1108424159213199E-2</v>
          </cell>
          <cell r="CT3">
            <v>2.9416136832218238E-2</v>
          </cell>
          <cell r="DE3">
            <v>1.3570340248288347E-2</v>
          </cell>
          <cell r="DJ3">
            <v>2.6982140469289245E-2</v>
          </cell>
          <cell r="DX3">
            <v>1.8945634156073341E-2</v>
          </cell>
          <cell r="EO3">
            <v>2.3028123938077776E-2</v>
          </cell>
          <cell r="FO3">
            <v>1.6687800852739521E-2</v>
          </cell>
          <cell r="GL3">
            <v>4.4021325752469843E-2</v>
          </cell>
          <cell r="GN3">
            <v>4.5408029699248828E-2</v>
          </cell>
          <cell r="GQ3">
            <v>4.8082560274133664E-2</v>
          </cell>
          <cell r="HC3">
            <v>4.1833311943546031E-2</v>
          </cell>
          <cell r="HH3">
            <v>6.5962740873892534E-2</v>
          </cell>
          <cell r="HR3">
            <v>5.2230564687694304E-2</v>
          </cell>
          <cell r="HT3">
            <v>4.9897194493972785E-2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%"/>
      <sheetName val="Flow amounts"/>
    </sheetNames>
    <sheetDataSet>
      <sheetData sheetId="0">
        <row r="8">
          <cell r="B8">
            <v>0.93120393120393119</v>
          </cell>
        </row>
        <row r="9">
          <cell r="B9">
            <v>6.8796068796068782E-2</v>
          </cell>
        </row>
        <row r="13">
          <cell r="B13">
            <v>0.45454545454545453</v>
          </cell>
        </row>
        <row r="14">
          <cell r="B14">
            <v>0.54545454545454541</v>
          </cell>
        </row>
        <row r="16">
          <cell r="B16">
            <v>0.45454545454545453</v>
          </cell>
        </row>
        <row r="17">
          <cell r="B17">
            <v>0.54545454545454541</v>
          </cell>
        </row>
        <row r="19">
          <cell r="B19">
            <v>0.12662744446540411</v>
          </cell>
        </row>
        <row r="20">
          <cell r="B20">
            <v>0.87337255553459592</v>
          </cell>
        </row>
        <row r="22">
          <cell r="B22">
            <v>9.0964822084440164E-2</v>
          </cell>
        </row>
        <row r="23">
          <cell r="B23">
            <v>6.2734360058234614E-2</v>
          </cell>
        </row>
        <row r="24">
          <cell r="B24">
            <v>6.5871078061146338E-2</v>
          </cell>
        </row>
        <row r="26">
          <cell r="B26">
            <v>1.2276422873198321E-2</v>
          </cell>
        </row>
        <row r="27">
          <cell r="B27">
            <v>9.7083956395190796E-2</v>
          </cell>
        </row>
        <row r="28">
          <cell r="B28">
            <v>0.16986560628629513</v>
          </cell>
        </row>
        <row r="29">
          <cell r="B29">
            <v>1.5157624159765274E-2</v>
          </cell>
        </row>
        <row r="30">
          <cell r="B30">
            <v>0.48592086046057437</v>
          </cell>
        </row>
        <row r="32">
          <cell r="B32">
            <v>2.6014324659872634E-3</v>
          </cell>
        </row>
        <row r="34">
          <cell r="B34">
            <v>0.14000000000000001</v>
          </cell>
        </row>
        <row r="35">
          <cell r="B35">
            <v>0.1</v>
          </cell>
        </row>
        <row r="36">
          <cell r="B36">
            <v>0.04</v>
          </cell>
        </row>
        <row r="37">
          <cell r="B37">
            <v>0.16999999999999998</v>
          </cell>
        </row>
        <row r="39">
          <cell r="B39">
            <v>0.05</v>
          </cell>
        </row>
        <row r="41">
          <cell r="B41">
            <v>0.3</v>
          </cell>
        </row>
        <row r="43">
          <cell r="B43">
            <v>7.3909830007390983E-4</v>
          </cell>
        </row>
        <row r="45">
          <cell r="B45">
            <v>9.4174332019272916E-2</v>
          </cell>
        </row>
        <row r="46">
          <cell r="B46">
            <v>0.10424879544459045</v>
          </cell>
        </row>
        <row r="47">
          <cell r="B47">
            <v>0.61322820849759097</v>
          </cell>
        </row>
        <row r="49">
          <cell r="B49">
            <v>2.2740193291642978E-4</v>
          </cell>
        </row>
        <row r="51">
          <cell r="B51">
            <v>0.11477045908183632</v>
          </cell>
        </row>
        <row r="52">
          <cell r="B52">
            <v>8.1000000000000003E-2</v>
          </cell>
        </row>
        <row r="56">
          <cell r="B56">
            <v>0.78742514970059885</v>
          </cell>
        </row>
        <row r="57">
          <cell r="B57">
            <v>0.83799999999999997</v>
          </cell>
        </row>
        <row r="58">
          <cell r="B58">
            <v>7.6846307385229545E-2</v>
          </cell>
        </row>
        <row r="59">
          <cell r="B59">
            <v>6.5000000000000002E-2</v>
          </cell>
        </row>
        <row r="60">
          <cell r="B60">
            <v>9.6251022667115835E-5</v>
          </cell>
        </row>
        <row r="64">
          <cell r="B64">
            <v>0.9430569430569431</v>
          </cell>
        </row>
        <row r="65">
          <cell r="B65">
            <v>0.90400000000000003</v>
          </cell>
        </row>
        <row r="66">
          <cell r="B66">
            <v>0.72927072927072922</v>
          </cell>
        </row>
        <row r="67">
          <cell r="B67">
            <v>0.70699999999999996</v>
          </cell>
        </row>
        <row r="69">
          <cell r="B69">
            <v>7.2999999999999995E-2</v>
          </cell>
        </row>
        <row r="71">
          <cell r="B71">
            <v>0.74</v>
          </cell>
        </row>
        <row r="72">
          <cell r="B72">
            <v>0.26</v>
          </cell>
        </row>
        <row r="73">
          <cell r="B73">
            <v>0.73</v>
          </cell>
        </row>
        <row r="74">
          <cell r="B74">
            <v>0.27</v>
          </cell>
        </row>
        <row r="75">
          <cell r="B75">
            <v>0.66999999999999993</v>
          </cell>
        </row>
        <row r="76">
          <cell r="B76">
            <v>0.33</v>
          </cell>
        </row>
        <row r="77">
          <cell r="B77">
            <v>0.04</v>
          </cell>
        </row>
        <row r="78">
          <cell r="B78">
            <v>9.9999999999999992E-2</v>
          </cell>
        </row>
        <row r="79">
          <cell r="B79">
            <v>0.10424879544459045</v>
          </cell>
        </row>
        <row r="80">
          <cell r="B80">
            <v>0.127</v>
          </cell>
        </row>
        <row r="81">
          <cell r="B81">
            <v>2.5000000000000001E-2</v>
          </cell>
        </row>
        <row r="82">
          <cell r="B82">
            <v>2.6499999999999999E-2</v>
          </cell>
        </row>
        <row r="83">
          <cell r="B83">
            <v>9.6000000000000002E-4</v>
          </cell>
        </row>
        <row r="84">
          <cell r="B84">
            <v>2.1600000000000002E-4</v>
          </cell>
        </row>
        <row r="86">
          <cell r="B86">
            <v>0.19170988300058611</v>
          </cell>
        </row>
        <row r="87">
          <cell r="B87">
            <v>8.5000000000000006E-2</v>
          </cell>
        </row>
        <row r="88">
          <cell r="B88">
            <v>0.14838226238435459</v>
          </cell>
        </row>
        <row r="89">
          <cell r="B89">
            <v>0.58149805529003806</v>
          </cell>
        </row>
        <row r="90">
          <cell r="B90">
            <v>0.14070731777826728</v>
          </cell>
        </row>
        <row r="91">
          <cell r="B91">
            <v>9.2749999999999999E-2</v>
          </cell>
        </row>
        <row r="92">
          <cell r="B92">
            <v>0.09</v>
          </cell>
        </row>
        <row r="93">
          <cell r="B93">
            <v>6.4000000000000001E-2</v>
          </cell>
        </row>
        <row r="94">
          <cell r="B94">
            <v>8.6999999999999994E-2</v>
          </cell>
        </row>
        <row r="95">
          <cell r="B95">
            <v>7.5499999999999998E-2</v>
          </cell>
        </row>
        <row r="96">
          <cell r="B96">
            <v>2.5000000000000001E-2</v>
          </cell>
        </row>
        <row r="97">
          <cell r="B97">
            <v>0.13600000000000001</v>
          </cell>
        </row>
        <row r="98">
          <cell r="B98">
            <v>3.2340000000000001E-2</v>
          </cell>
        </row>
        <row r="100">
          <cell r="B100">
            <v>1.099E-2</v>
          </cell>
        </row>
        <row r="101">
          <cell r="B101">
            <v>2.9999999999999997E-4</v>
          </cell>
        </row>
        <row r="102">
          <cell r="B102">
            <v>4.0000000000000001E-3</v>
          </cell>
        </row>
        <row r="103">
          <cell r="B103">
            <v>1.0000000000000001E-5</v>
          </cell>
        </row>
        <row r="104">
          <cell r="B104">
            <v>2.6460000000000001E-2</v>
          </cell>
        </row>
        <row r="105">
          <cell r="B105">
            <v>2.0999999999999999E-3</v>
          </cell>
        </row>
        <row r="106">
          <cell r="B106">
            <v>4.5998400000000002E-2</v>
          </cell>
        </row>
        <row r="107">
          <cell r="B107">
            <v>3.0000000000000001E-5</v>
          </cell>
        </row>
        <row r="108">
          <cell r="B108">
            <v>0.89857999999999993</v>
          </cell>
        </row>
        <row r="109">
          <cell r="B109">
            <v>0.08</v>
          </cell>
        </row>
        <row r="110">
          <cell r="B110">
            <v>2.5300000000000001E-3</v>
          </cell>
        </row>
        <row r="111">
          <cell r="B111">
            <v>7.8719999999999988E-3</v>
          </cell>
        </row>
        <row r="112">
          <cell r="B112">
            <v>0.125</v>
          </cell>
        </row>
        <row r="113">
          <cell r="B113">
            <v>7.0000000000000007E-2</v>
          </cell>
        </row>
        <row r="114">
          <cell r="B114">
            <v>3.2119999999999996E-2</v>
          </cell>
        </row>
        <row r="115">
          <cell r="B115">
            <v>4.41E-2</v>
          </cell>
        </row>
        <row r="118">
          <cell r="B118">
            <v>1.1E-5</v>
          </cell>
        </row>
        <row r="119">
          <cell r="B119">
            <v>2.7222222222222224E-6</v>
          </cell>
        </row>
        <row r="120">
          <cell r="B120">
            <v>0.17302000000000001</v>
          </cell>
        </row>
        <row r="121">
          <cell r="B121">
            <v>8.9892091648189211E-4</v>
          </cell>
        </row>
        <row r="122">
          <cell r="B122">
            <v>6.4449999999999994E-5</v>
          </cell>
        </row>
        <row r="123">
          <cell r="B123">
            <v>1.6533333333333337E-5</v>
          </cell>
        </row>
        <row r="124">
          <cell r="B124">
            <v>7.3588888888888874E-5</v>
          </cell>
        </row>
        <row r="125">
          <cell r="B125">
            <v>4.1611111111111104E-6</v>
          </cell>
        </row>
        <row r="126">
          <cell r="B126">
            <v>0.30729166666666669</v>
          </cell>
        </row>
        <row r="127">
          <cell r="B127">
            <v>6.1399999999999996E-3</v>
          </cell>
        </row>
        <row r="128">
          <cell r="B128">
            <v>1.4781966001478197E-5</v>
          </cell>
        </row>
        <row r="129">
          <cell r="B129">
            <v>2.9999999999999997E-4</v>
          </cell>
        </row>
        <row r="130">
          <cell r="B130">
            <v>2.7333333333333333E-4</v>
          </cell>
        </row>
        <row r="131">
          <cell r="B131">
            <v>1.4444444444444444E-4</v>
          </cell>
        </row>
        <row r="132">
          <cell r="B132">
            <v>7.0000000000000007E-2</v>
          </cell>
        </row>
        <row r="133">
          <cell r="B133">
            <v>1.0000000000000001E-5</v>
          </cell>
        </row>
        <row r="134">
          <cell r="B134">
            <v>8.9999999999999993E-3</v>
          </cell>
        </row>
        <row r="135">
          <cell r="B135">
            <v>6.7500000000000008E-3</v>
          </cell>
        </row>
        <row r="136">
          <cell r="B136">
            <v>0.16</v>
          </cell>
        </row>
        <row r="137">
          <cell r="B137">
            <v>1.6260162601626015E-5</v>
          </cell>
        </row>
        <row r="138">
          <cell r="B138">
            <v>1.3333333333333334E-4</v>
          </cell>
        </row>
        <row r="139">
          <cell r="B139">
            <v>2.4444444444444445E-5</v>
          </cell>
        </row>
        <row r="140">
          <cell r="B140">
            <v>5.0000000000000002E-5</v>
          </cell>
        </row>
        <row r="141">
          <cell r="B141">
            <v>5.0000000000000001E-4</v>
          </cell>
        </row>
        <row r="142">
          <cell r="B142">
            <v>3.0000000000000001E-3</v>
          </cell>
        </row>
        <row r="143">
          <cell r="B143">
            <v>0.35668</v>
          </cell>
        </row>
        <row r="144">
          <cell r="B144">
            <v>6.9999999999999999E-4</v>
          </cell>
        </row>
        <row r="145">
          <cell r="B145">
            <v>0.254</v>
          </cell>
        </row>
        <row r="146">
          <cell r="B146">
            <v>0.50892999999999999</v>
          </cell>
        </row>
        <row r="147">
          <cell r="B147">
            <v>0.15</v>
          </cell>
        </row>
        <row r="148">
          <cell r="B148">
            <v>0.4955</v>
          </cell>
        </row>
        <row r="149">
          <cell r="B149">
            <v>4.0000000000000001E-3</v>
          </cell>
        </row>
        <row r="150">
          <cell r="B150">
            <v>6.2823355506282335E-4</v>
          </cell>
        </row>
        <row r="151">
          <cell r="B151">
            <v>1.892E-3</v>
          </cell>
        </row>
        <row r="152">
          <cell r="B152">
            <v>1E-4</v>
          </cell>
        </row>
        <row r="153">
          <cell r="B153">
            <v>1E-4</v>
          </cell>
        </row>
        <row r="154">
          <cell r="B154">
            <v>0.03</v>
          </cell>
        </row>
        <row r="155">
          <cell r="B155">
            <v>1.035E-2</v>
          </cell>
        </row>
        <row r="156">
          <cell r="B156">
            <v>2.0000000000000002E-5</v>
          </cell>
        </row>
        <row r="157">
          <cell r="B157">
            <v>7.0000000000000007E-2</v>
          </cell>
        </row>
        <row r="158">
          <cell r="B158">
            <v>3.2592592592592591E-3</v>
          </cell>
        </row>
        <row r="159">
          <cell r="B159">
            <v>4.8888888888888879E-3</v>
          </cell>
        </row>
        <row r="161">
          <cell r="B161">
            <v>5.6410256410256406E-3</v>
          </cell>
        </row>
        <row r="162">
          <cell r="B162">
            <v>1.8477457501847746E-4</v>
          </cell>
        </row>
        <row r="163">
          <cell r="B163">
            <v>9.0960773166571913E-5</v>
          </cell>
        </row>
        <row r="164">
          <cell r="B164">
            <v>1.91042241562301E-4</v>
          </cell>
        </row>
        <row r="165">
          <cell r="B165">
            <v>1.7418231081865686E-4</v>
          </cell>
        </row>
        <row r="166">
          <cell r="B166">
            <v>4.3312960200202126E-5</v>
          </cell>
        </row>
        <row r="169">
          <cell r="B169">
            <v>0.26066</v>
          </cell>
        </row>
        <row r="170">
          <cell r="B170">
            <v>3.6999999999999998E-2</v>
          </cell>
        </row>
        <row r="171">
          <cell r="B171">
            <v>6.4674999999999996E-2</v>
          </cell>
        </row>
        <row r="173">
          <cell r="B173">
            <v>0.8</v>
          </cell>
        </row>
        <row r="175">
          <cell r="B175">
            <v>0.65</v>
          </cell>
        </row>
        <row r="176">
          <cell r="B176">
            <v>0.35</v>
          </cell>
        </row>
        <row r="177">
          <cell r="B177">
            <v>0.17499999999999999</v>
          </cell>
        </row>
        <row r="178">
          <cell r="B178">
            <v>1</v>
          </cell>
        </row>
        <row r="179">
          <cell r="B179">
            <v>0.67999999999999994</v>
          </cell>
        </row>
        <row r="180">
          <cell r="B180">
            <v>0.32</v>
          </cell>
        </row>
        <row r="181">
          <cell r="B181">
            <v>0.66999999999999993</v>
          </cell>
        </row>
        <row r="182">
          <cell r="B182">
            <v>0.33</v>
          </cell>
        </row>
        <row r="183">
          <cell r="B183">
            <v>0.2</v>
          </cell>
        </row>
        <row r="184">
          <cell r="B184">
            <v>0.48</v>
          </cell>
        </row>
        <row r="185">
          <cell r="B185">
            <v>0.52</v>
          </cell>
        </row>
        <row r="186">
          <cell r="B186">
            <v>1</v>
          </cell>
        </row>
        <row r="188">
          <cell r="B188">
            <v>0.54</v>
          </cell>
        </row>
        <row r="189">
          <cell r="B189">
            <v>0.46</v>
          </cell>
        </row>
        <row r="192">
          <cell r="B192">
            <v>1</v>
          </cell>
        </row>
        <row r="193">
          <cell r="B193">
            <v>1</v>
          </cell>
        </row>
        <row r="194">
          <cell r="B194">
            <v>0.82499999999999996</v>
          </cell>
        </row>
        <row r="195">
          <cell r="B195">
            <v>1</v>
          </cell>
        </row>
        <row r="196">
          <cell r="B196">
            <v>1</v>
          </cell>
        </row>
        <row r="197">
          <cell r="B197">
            <v>1</v>
          </cell>
        </row>
        <row r="198">
          <cell r="B198">
            <v>0.625</v>
          </cell>
        </row>
        <row r="199">
          <cell r="B199">
            <v>0.95</v>
          </cell>
        </row>
        <row r="200">
          <cell r="B200">
            <v>0.625</v>
          </cell>
        </row>
        <row r="201">
          <cell r="B201">
            <v>1</v>
          </cell>
        </row>
        <row r="202">
          <cell r="B202">
            <v>1</v>
          </cell>
        </row>
        <row r="203">
          <cell r="B203">
            <v>0.5</v>
          </cell>
        </row>
        <row r="204">
          <cell r="B204">
            <v>1</v>
          </cell>
        </row>
        <row r="205">
          <cell r="B205">
            <v>1</v>
          </cell>
        </row>
        <row r="206">
          <cell r="B206">
            <v>1</v>
          </cell>
        </row>
        <row r="207">
          <cell r="B207">
            <v>0.8</v>
          </cell>
        </row>
        <row r="208">
          <cell r="B208">
            <v>1</v>
          </cell>
        </row>
        <row r="209">
          <cell r="B209">
            <v>1</v>
          </cell>
        </row>
        <row r="210">
          <cell r="B210">
            <v>1</v>
          </cell>
        </row>
        <row r="211">
          <cell r="B211">
            <v>1</v>
          </cell>
        </row>
      </sheetData>
      <sheetData sheetId="1">
        <row r="6">
          <cell r="B6">
            <v>4612686</v>
          </cell>
        </row>
        <row r="7">
          <cell r="B7">
            <v>1726256</v>
          </cell>
        </row>
        <row r="8">
          <cell r="B8">
            <v>9436839</v>
          </cell>
        </row>
        <row r="9">
          <cell r="B9">
            <v>8979491</v>
          </cell>
        </row>
        <row r="10">
          <cell r="B10">
            <v>23216</v>
          </cell>
        </row>
        <row r="11">
          <cell r="H11">
            <v>184507.44</v>
          </cell>
        </row>
        <row r="12">
          <cell r="H12">
            <v>461268.6</v>
          </cell>
        </row>
        <row r="24">
          <cell r="H24">
            <v>2325514.9667735342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B76" workbookViewId="0">
      <selection activeCell="A73" sqref="A73:P90"/>
    </sheetView>
  </sheetViews>
  <sheetFormatPr baseColWidth="10" defaultRowHeight="16" x14ac:dyDescent="0.45"/>
  <cols>
    <col min="1" max="1" width="34.81640625" customWidth="1"/>
    <col min="2" max="2" width="20.26953125" customWidth="1"/>
    <col min="3" max="3" width="21.1796875" customWidth="1"/>
    <col min="4" max="4" width="34.453125" customWidth="1"/>
    <col min="5" max="5" width="30.7265625" customWidth="1"/>
    <col min="6" max="6" width="19.453125" customWidth="1"/>
    <col min="7" max="7" width="23.7265625" customWidth="1"/>
    <col min="8" max="8" width="19.453125" customWidth="1"/>
    <col min="9" max="10" width="22.54296875" customWidth="1"/>
    <col min="11" max="11" width="20.7265625" customWidth="1"/>
    <col min="12" max="12" width="20.81640625" customWidth="1"/>
    <col min="13" max="13" width="16.7265625" customWidth="1"/>
    <col min="14" max="14" width="19.453125" customWidth="1"/>
    <col min="15" max="15" width="18.7265625" customWidth="1"/>
    <col min="16" max="16" width="20" customWidth="1"/>
    <col min="17" max="17" width="21.54296875" customWidth="1"/>
    <col min="18" max="18" width="17.26953125" customWidth="1"/>
    <col min="19" max="19" width="16.26953125" customWidth="1"/>
    <col min="20" max="20" width="19.54296875" customWidth="1"/>
  </cols>
  <sheetData>
    <row r="1" spans="1:14" ht="17.5" x14ac:dyDescent="0.45">
      <c r="A1" s="13" t="s">
        <v>87</v>
      </c>
    </row>
    <row r="3" spans="1:14" x14ac:dyDescent="0.45">
      <c r="A3" s="1" t="s">
        <v>92</v>
      </c>
    </row>
    <row r="4" spans="1:14" ht="32" x14ac:dyDescent="0.45">
      <c r="A4" s="38" t="s">
        <v>1</v>
      </c>
      <c r="B4" s="5" t="s">
        <v>2</v>
      </c>
      <c r="C4" s="5" t="s">
        <v>3</v>
      </c>
      <c r="D4" s="5" t="s">
        <v>4</v>
      </c>
      <c r="E4" s="5"/>
      <c r="F4" s="10" t="s">
        <v>85</v>
      </c>
      <c r="G4" s="10" t="s">
        <v>82</v>
      </c>
      <c r="H4" s="10" t="s">
        <v>83</v>
      </c>
      <c r="I4" s="11" t="s">
        <v>84</v>
      </c>
    </row>
    <row r="5" spans="1:14" x14ac:dyDescent="0.45">
      <c r="A5" s="16" t="s">
        <v>7</v>
      </c>
      <c r="B5" s="39">
        <v>1250000000</v>
      </c>
      <c r="C5" s="17" t="s">
        <v>8</v>
      </c>
      <c r="D5" s="40" t="s">
        <v>758</v>
      </c>
      <c r="E5" s="17"/>
      <c r="F5" s="41">
        <v>156</v>
      </c>
      <c r="G5" s="42">
        <f>[1]Tabelle1!$AT$3</f>
        <v>0.71676574770996215</v>
      </c>
      <c r="H5" s="24">
        <f>G5/$G$12</f>
        <v>0.77090844157152538</v>
      </c>
      <c r="I5" s="25">
        <f>$B$11*H5</f>
        <v>139110428.28158176</v>
      </c>
    </row>
    <row r="6" spans="1:14" x14ac:dyDescent="0.45">
      <c r="A6" s="16" t="s">
        <v>9</v>
      </c>
      <c r="B6" s="39">
        <v>1350000000</v>
      </c>
      <c r="C6" s="17" t="s">
        <v>8</v>
      </c>
      <c r="D6" s="40" t="s">
        <v>759</v>
      </c>
      <c r="E6" s="17"/>
      <c r="F6" s="41">
        <v>276</v>
      </c>
      <c r="G6" s="42">
        <f>[1]Tabelle1!$CE$3</f>
        <v>1.1590047844277741E-2</v>
      </c>
      <c r="H6" s="24">
        <f t="shared" ref="H6:H11" si="0">G6/$G$12</f>
        <v>1.2465531102620499E-2</v>
      </c>
      <c r="I6" s="25">
        <f t="shared" ref="I6:I11" si="1">$B$11*H6</f>
        <v>2249405.0874678693</v>
      </c>
    </row>
    <row r="7" spans="1:14" x14ac:dyDescent="0.45">
      <c r="A7" s="16" t="s">
        <v>5</v>
      </c>
      <c r="B7" s="17">
        <v>135</v>
      </c>
      <c r="C7" s="17" t="s">
        <v>10</v>
      </c>
      <c r="D7" s="17" t="s">
        <v>760</v>
      </c>
      <c r="E7" s="17"/>
      <c r="F7" s="41">
        <v>344</v>
      </c>
      <c r="G7" s="42">
        <f>[1]Tabelle1!$CT$3</f>
        <v>2.6791939510455044E-2</v>
      </c>
      <c r="H7" s="24">
        <f t="shared" si="0"/>
        <v>2.881573568585357E-2</v>
      </c>
      <c r="I7" s="25">
        <f t="shared" si="1"/>
        <v>5199799.5045122765</v>
      </c>
    </row>
    <row r="8" spans="1:14" x14ac:dyDescent="0.45">
      <c r="A8" s="16" t="s">
        <v>6</v>
      </c>
      <c r="B8" s="17">
        <v>117</v>
      </c>
      <c r="C8" s="17" t="s">
        <v>10</v>
      </c>
      <c r="D8" s="17" t="s">
        <v>760</v>
      </c>
      <c r="E8" s="17"/>
      <c r="F8" s="41">
        <v>528</v>
      </c>
      <c r="G8" s="42">
        <f>[1]Tabelle1!$EO$3</f>
        <v>1.2697554321329218E-2</v>
      </c>
      <c r="H8" s="24">
        <f t="shared" si="0"/>
        <v>1.3656695852027034E-2</v>
      </c>
      <c r="I8" s="25">
        <f t="shared" si="1"/>
        <v>2464350.7664982784</v>
      </c>
    </row>
    <row r="9" spans="1:14" x14ac:dyDescent="0.45">
      <c r="A9" s="16" t="s">
        <v>7</v>
      </c>
      <c r="B9" s="43">
        <f>B5*B7/1000</f>
        <v>168750000</v>
      </c>
      <c r="C9" s="17" t="s">
        <v>11</v>
      </c>
      <c r="D9" s="17"/>
      <c r="E9" s="17"/>
      <c r="F9" s="41">
        <v>704</v>
      </c>
      <c r="G9" s="42">
        <f>[1]Tabelle1!$GN$3</f>
        <v>7.7103045368129203E-2</v>
      </c>
      <c r="H9" s="24">
        <f t="shared" si="0"/>
        <v>8.2927216786055372E-2</v>
      </c>
      <c r="I9" s="25">
        <f t="shared" si="1"/>
        <v>14964216.269043691</v>
      </c>
    </row>
    <row r="10" spans="1:14" x14ac:dyDescent="0.45">
      <c r="A10" s="16" t="s">
        <v>12</v>
      </c>
      <c r="B10" s="39">
        <f>(B6-B5)*B8/1000</f>
        <v>11700000</v>
      </c>
      <c r="C10" s="17" t="s">
        <v>11</v>
      </c>
      <c r="D10" s="17"/>
      <c r="E10" s="17"/>
      <c r="F10" s="41">
        <v>784</v>
      </c>
      <c r="G10" s="42">
        <f>[1]Tabelle1!$HH$3</f>
        <v>6.8372407280891973E-2</v>
      </c>
      <c r="H10" s="24">
        <f t="shared" si="0"/>
        <v>7.353708810976077E-2</v>
      </c>
      <c r="I10" s="25">
        <f t="shared" si="1"/>
        <v>13269767.549406331</v>
      </c>
    </row>
    <row r="11" spans="1:14" x14ac:dyDescent="0.45">
      <c r="A11" s="16" t="s">
        <v>9</v>
      </c>
      <c r="B11" s="23">
        <f>B9+B10</f>
        <v>180450000</v>
      </c>
      <c r="C11" s="17" t="s">
        <v>11</v>
      </c>
      <c r="D11" s="17"/>
      <c r="E11" s="17"/>
      <c r="F11" s="41">
        <v>842</v>
      </c>
      <c r="G11" s="42">
        <f>[1]Tabelle1!$HT$3</f>
        <v>1.6446930827387827E-2</v>
      </c>
      <c r="H11" s="24">
        <f t="shared" si="0"/>
        <v>1.7689290892157407E-2</v>
      </c>
      <c r="I11" s="25">
        <f t="shared" si="1"/>
        <v>3192032.5414898042</v>
      </c>
    </row>
    <row r="12" spans="1:14" x14ac:dyDescent="0.45">
      <c r="A12" s="16" t="s">
        <v>13</v>
      </c>
      <c r="B12" s="17">
        <v>2.5</v>
      </c>
      <c r="C12" s="17" t="s">
        <v>14</v>
      </c>
      <c r="D12" s="40" t="s">
        <v>761</v>
      </c>
      <c r="E12" s="17"/>
      <c r="F12" s="17" t="s">
        <v>86</v>
      </c>
      <c r="G12" s="42">
        <f>SUM(G5:G11)</f>
        <v>0.92976767286243311</v>
      </c>
      <c r="H12" s="17"/>
      <c r="I12" s="21"/>
    </row>
    <row r="13" spans="1:14" ht="64" x14ac:dyDescent="0.45">
      <c r="A13" s="44" t="s">
        <v>17</v>
      </c>
      <c r="B13" s="26">
        <f>B11*B12</f>
        <v>451125000</v>
      </c>
      <c r="C13" s="45" t="s">
        <v>11</v>
      </c>
      <c r="D13" s="46" t="s">
        <v>762</v>
      </c>
      <c r="E13" s="45"/>
      <c r="F13" s="45"/>
      <c r="G13" s="45"/>
      <c r="H13" s="45"/>
      <c r="I13" s="28"/>
    </row>
    <row r="15" spans="1:14" x14ac:dyDescent="0.45">
      <c r="A15" s="12" t="s">
        <v>91</v>
      </c>
    </row>
    <row r="16" spans="1:14" ht="32" x14ac:dyDescent="0.45">
      <c r="A16" s="38" t="s">
        <v>1</v>
      </c>
      <c r="B16" s="5" t="s">
        <v>2</v>
      </c>
      <c r="C16" s="5" t="s">
        <v>3</v>
      </c>
      <c r="D16" s="5" t="s">
        <v>4</v>
      </c>
      <c r="E16" s="5"/>
      <c r="F16" s="47" t="s">
        <v>772</v>
      </c>
      <c r="G16" s="5"/>
      <c r="H16" s="5"/>
      <c r="I16" s="5"/>
      <c r="J16" s="5"/>
      <c r="K16" s="10" t="s">
        <v>85</v>
      </c>
      <c r="L16" s="10" t="s">
        <v>82</v>
      </c>
      <c r="M16" s="10" t="s">
        <v>83</v>
      </c>
      <c r="N16" s="11" t="s">
        <v>84</v>
      </c>
    </row>
    <row r="17" spans="1:14" ht="32" x14ac:dyDescent="0.45">
      <c r="A17" s="16" t="s">
        <v>15</v>
      </c>
      <c r="B17" s="39">
        <v>173000000</v>
      </c>
      <c r="C17" s="17" t="s">
        <v>8</v>
      </c>
      <c r="D17" s="40" t="s">
        <v>763</v>
      </c>
      <c r="E17" s="17"/>
      <c r="F17" s="48" t="s">
        <v>20</v>
      </c>
      <c r="G17" s="48" t="s">
        <v>22</v>
      </c>
      <c r="H17" s="48" t="s">
        <v>23</v>
      </c>
      <c r="I17" s="48" t="s">
        <v>21</v>
      </c>
      <c r="J17" s="17"/>
      <c r="K17" s="41">
        <v>156</v>
      </c>
      <c r="L17" s="42">
        <f>[2]Tabelle1!$AT$3</f>
        <v>0.75666393514254449</v>
      </c>
      <c r="M17" s="24">
        <f>L17/$L$24</f>
        <v>0.8269814683426957</v>
      </c>
      <c r="N17" s="25">
        <f>M17*$B$19</f>
        <v>387141450.62701291</v>
      </c>
    </row>
    <row r="18" spans="1:14" x14ac:dyDescent="0.45">
      <c r="A18" s="16" t="s">
        <v>16</v>
      </c>
      <c r="B18" s="17">
        <v>2706</v>
      </c>
      <c r="C18" s="17" t="s">
        <v>10</v>
      </c>
      <c r="D18" s="17" t="s">
        <v>760</v>
      </c>
      <c r="E18" s="17"/>
      <c r="F18" s="17">
        <v>2017</v>
      </c>
      <c r="G18" s="39">
        <v>164700000</v>
      </c>
      <c r="H18" s="17"/>
      <c r="I18" s="43">
        <f>I19/H19</f>
        <v>445678200.00000006</v>
      </c>
      <c r="J18" s="17"/>
      <c r="K18" s="41">
        <v>276</v>
      </c>
      <c r="L18" s="42">
        <f>[2]Tabelle1!$CE$3</f>
        <v>2.9370367757024059E-2</v>
      </c>
      <c r="M18" s="24">
        <f t="shared" ref="M18:M23" si="2">L18/$L$24</f>
        <v>3.2099785288290605E-2</v>
      </c>
      <c r="N18" s="25">
        <f t="shared" ref="N18:N23" si="3">M18*$B$19</f>
        <v>15027129.285289787</v>
      </c>
    </row>
    <row r="19" spans="1:14" x14ac:dyDescent="0.45">
      <c r="A19" s="16" t="s">
        <v>15</v>
      </c>
      <c r="B19" s="39">
        <f>B17*B18/1000</f>
        <v>468138000</v>
      </c>
      <c r="C19" s="17" t="s">
        <v>11</v>
      </c>
      <c r="D19" s="50"/>
      <c r="E19" s="17"/>
      <c r="F19" s="17">
        <v>2018</v>
      </c>
      <c r="G19" s="39">
        <v>156900000</v>
      </c>
      <c r="H19" s="24">
        <f>G19/G18</f>
        <v>0.95264116575591984</v>
      </c>
      <c r="I19" s="43">
        <f>I20/H20</f>
        <v>424571400.00000006</v>
      </c>
      <c r="J19" s="17"/>
      <c r="K19" s="41">
        <v>372</v>
      </c>
      <c r="L19" s="42">
        <f>[2]Tabelle1!$CZ$3</f>
        <v>1.2758487290443083E-2</v>
      </c>
      <c r="M19" s="24">
        <f t="shared" si="2"/>
        <v>1.3944146222978872E-2</v>
      </c>
      <c r="N19" s="25">
        <f t="shared" si="3"/>
        <v>6527784.7245328836</v>
      </c>
    </row>
    <row r="20" spans="1:14" x14ac:dyDescent="0.45">
      <c r="A20" s="16" t="s">
        <v>19</v>
      </c>
      <c r="B20" s="43">
        <v>4</v>
      </c>
      <c r="C20" s="17" t="s">
        <v>14</v>
      </c>
      <c r="D20" s="40" t="s">
        <v>764</v>
      </c>
      <c r="E20" s="17"/>
      <c r="F20" s="17">
        <v>2019</v>
      </c>
      <c r="G20" s="39">
        <v>158400000</v>
      </c>
      <c r="H20" s="24">
        <f>G20/G19</f>
        <v>1.0095602294455066</v>
      </c>
      <c r="I20" s="43">
        <f>I21/H21</f>
        <v>428630400</v>
      </c>
      <c r="J20" s="17"/>
      <c r="K20" s="41">
        <v>528</v>
      </c>
      <c r="L20" s="42">
        <f>[2]Tabelle1!$EO$3</f>
        <v>5.5742822567714269E-2</v>
      </c>
      <c r="M20" s="24">
        <f t="shared" si="2"/>
        <v>6.0923058593945617E-2</v>
      </c>
      <c r="N20" s="25">
        <f t="shared" si="3"/>
        <v>28520398.804052513</v>
      </c>
    </row>
    <row r="21" spans="1:14" x14ac:dyDescent="0.45">
      <c r="A21" s="16" t="s">
        <v>18</v>
      </c>
      <c r="B21" s="23">
        <f>SUM(I18:I21)</f>
        <v>1767018000</v>
      </c>
      <c r="C21" s="17" t="s">
        <v>11</v>
      </c>
      <c r="D21" s="17"/>
      <c r="E21" s="17"/>
      <c r="F21" s="17">
        <v>2020</v>
      </c>
      <c r="G21" s="39">
        <v>173000000</v>
      </c>
      <c r="H21" s="24">
        <f>G21/G20</f>
        <v>1.0921717171717171</v>
      </c>
      <c r="I21" s="43">
        <f>B19</f>
        <v>468138000</v>
      </c>
      <c r="J21" s="17"/>
      <c r="K21" s="41">
        <v>704</v>
      </c>
      <c r="L21" s="42">
        <f>[2]Tabelle1!$GN$3</f>
        <v>2.0725816202109459E-2</v>
      </c>
      <c r="M21" s="24">
        <f t="shared" si="2"/>
        <v>2.2651886946603861E-2</v>
      </c>
      <c r="N21" s="25">
        <f t="shared" si="3"/>
        <v>10604209.051409239</v>
      </c>
    </row>
    <row r="22" spans="1:14" x14ac:dyDescent="0.4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41">
        <v>784</v>
      </c>
      <c r="L22" s="42">
        <f>[2]Tabelle1!$HH$3</f>
        <v>2.1851656757949953E-2</v>
      </c>
      <c r="M22" s="24">
        <f t="shared" si="2"/>
        <v>2.3882352986740071E-2</v>
      </c>
      <c r="N22" s="25">
        <f t="shared" si="3"/>
        <v>11180236.962506523</v>
      </c>
    </row>
    <row r="23" spans="1:14" x14ac:dyDescent="0.4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41">
        <v>842</v>
      </c>
      <c r="L23" s="42">
        <f>[2]Tabelle1!$HT$3</f>
        <v>1.7857762007411761E-2</v>
      </c>
      <c r="M23" s="24">
        <f t="shared" si="2"/>
        <v>1.9517301618745316E-2</v>
      </c>
      <c r="N23" s="25">
        <f t="shared" si="3"/>
        <v>9136790.5451961942</v>
      </c>
    </row>
    <row r="24" spans="1:14" x14ac:dyDescent="0.45">
      <c r="A24" s="51"/>
      <c r="B24" s="45"/>
      <c r="C24" s="45"/>
      <c r="D24" s="45"/>
      <c r="E24" s="45"/>
      <c r="F24" s="45"/>
      <c r="G24" s="45"/>
      <c r="H24" s="45"/>
      <c r="I24" s="45"/>
      <c r="J24" s="45"/>
      <c r="K24" s="45" t="s">
        <v>86</v>
      </c>
      <c r="L24" s="56">
        <f>SUM(L17:L23)</f>
        <v>0.91497084772519699</v>
      </c>
      <c r="M24" s="45"/>
      <c r="N24" s="28"/>
    </row>
    <row r="26" spans="1:14" x14ac:dyDescent="0.45">
      <c r="A26" s="1" t="s">
        <v>90</v>
      </c>
    </row>
    <row r="27" spans="1:14" ht="32" x14ac:dyDescent="0.45">
      <c r="A27" s="38" t="s">
        <v>1</v>
      </c>
      <c r="B27" s="5" t="s">
        <v>2</v>
      </c>
      <c r="C27" s="5" t="s">
        <v>3</v>
      </c>
      <c r="D27" s="5" t="s">
        <v>4</v>
      </c>
      <c r="E27" s="5"/>
      <c r="F27" s="54" t="s">
        <v>773</v>
      </c>
      <c r="G27" s="54"/>
      <c r="H27" s="54"/>
      <c r="I27" s="54"/>
      <c r="J27" s="5"/>
      <c r="K27" s="10" t="s">
        <v>85</v>
      </c>
      <c r="L27" s="10" t="s">
        <v>82</v>
      </c>
      <c r="M27" s="10" t="s">
        <v>83</v>
      </c>
      <c r="N27" s="11" t="s">
        <v>84</v>
      </c>
    </row>
    <row r="28" spans="1:14" ht="32" x14ac:dyDescent="0.45">
      <c r="A28" s="16" t="s">
        <v>25</v>
      </c>
      <c r="B28" s="39">
        <v>275000000</v>
      </c>
      <c r="C28" s="17" t="s">
        <v>8</v>
      </c>
      <c r="D28" s="40" t="s">
        <v>765</v>
      </c>
      <c r="E28" s="17"/>
      <c r="F28" s="48" t="s">
        <v>20</v>
      </c>
      <c r="G28" s="48" t="s">
        <v>23</v>
      </c>
      <c r="H28" s="48" t="s">
        <v>32</v>
      </c>
      <c r="I28" s="48" t="s">
        <v>31</v>
      </c>
      <c r="J28" s="17"/>
      <c r="K28" s="41">
        <v>56</v>
      </c>
      <c r="L28" s="42">
        <f>[3]Tabelle1!$S$3</f>
        <v>1.7833348450918721E-2</v>
      </c>
      <c r="M28" s="24">
        <f>L28/$L$41</f>
        <v>2.0047178923745117E-2</v>
      </c>
      <c r="N28" s="25">
        <f>$B$32*M28</f>
        <v>14061116.35608848</v>
      </c>
    </row>
    <row r="29" spans="1:14" x14ac:dyDescent="0.45">
      <c r="A29" s="15" t="s">
        <v>26</v>
      </c>
      <c r="B29" s="24">
        <v>0.28999999999999998</v>
      </c>
      <c r="C29" s="17"/>
      <c r="D29" s="17"/>
      <c r="E29" s="17"/>
      <c r="F29" s="17">
        <v>2014</v>
      </c>
      <c r="G29" s="24"/>
      <c r="H29" s="39">
        <f t="shared" ref="H29:H34" si="4">H30/G30</f>
        <v>132916666.66666669</v>
      </c>
      <c r="I29" s="43">
        <f t="shared" ref="I29:I34" si="5">I30/G30</f>
        <v>1169002083.3333335</v>
      </c>
      <c r="J29" s="17"/>
      <c r="K29" s="41">
        <v>156</v>
      </c>
      <c r="L29" s="42">
        <f>[3]Tabelle1!$AT$3</f>
        <v>0.41553657029812613</v>
      </c>
      <c r="M29" s="24">
        <f t="shared" ref="M29:M40" si="6">L29/$L$41</f>
        <v>0.46712124742321015</v>
      </c>
      <c r="N29" s="25">
        <f t="shared" ref="N29:N40" si="7">$B$32*M29</f>
        <v>327639426.84419888</v>
      </c>
    </row>
    <row r="30" spans="1:14" x14ac:dyDescent="0.45">
      <c r="A30" s="16" t="s">
        <v>27</v>
      </c>
      <c r="B30" s="43">
        <f>B28*B29</f>
        <v>79750000</v>
      </c>
      <c r="C30" s="17" t="s">
        <v>8</v>
      </c>
      <c r="D30" s="40" t="s">
        <v>766</v>
      </c>
      <c r="E30" s="17"/>
      <c r="F30" s="17">
        <v>2015</v>
      </c>
      <c r="G30" s="24">
        <f>0.85/1</f>
        <v>0.85</v>
      </c>
      <c r="H30" s="39">
        <f t="shared" si="4"/>
        <v>112979166.66666669</v>
      </c>
      <c r="I30" s="43">
        <f t="shared" si="5"/>
        <v>993651770.83333349</v>
      </c>
      <c r="J30" s="17"/>
      <c r="K30" s="41">
        <v>203</v>
      </c>
      <c r="L30" s="42">
        <f>[3]Tabelle1!$BG$3</f>
        <v>2.6476309107232695E-2</v>
      </c>
      <c r="M30" s="24">
        <f t="shared" si="6"/>
        <v>2.9763076035545764E-2</v>
      </c>
      <c r="N30" s="25">
        <f t="shared" si="7"/>
        <v>20875858.735176843</v>
      </c>
    </row>
    <row r="31" spans="1:14" x14ac:dyDescent="0.45">
      <c r="A31" s="16" t="s">
        <v>28</v>
      </c>
      <c r="B31" s="17">
        <v>8795</v>
      </c>
      <c r="C31" s="17" t="s">
        <v>10</v>
      </c>
      <c r="D31" s="17"/>
      <c r="E31" s="17"/>
      <c r="F31" s="17">
        <v>2016</v>
      </c>
      <c r="G31" s="24">
        <f>0.8/0.85</f>
        <v>0.94117647058823539</v>
      </c>
      <c r="H31" s="39">
        <f t="shared" si="4"/>
        <v>106333333.33333336</v>
      </c>
      <c r="I31" s="43">
        <f t="shared" si="5"/>
        <v>935201666.66666687</v>
      </c>
      <c r="J31" s="17"/>
      <c r="K31" s="41">
        <v>251</v>
      </c>
      <c r="L31" s="42">
        <f>[3]Tabelle1!$BW$3</f>
        <v>1.5948542068698213E-2</v>
      </c>
      <c r="M31" s="24">
        <f t="shared" si="6"/>
        <v>1.7928392825610828E-2</v>
      </c>
      <c r="N31" s="25">
        <f t="shared" si="7"/>
        <v>12574997.138374466</v>
      </c>
    </row>
    <row r="32" spans="1:14" x14ac:dyDescent="0.45">
      <c r="A32" s="16" t="s">
        <v>27</v>
      </c>
      <c r="B32" s="23">
        <f>B30*B31/1000</f>
        <v>701401250</v>
      </c>
      <c r="C32" s="17" t="s">
        <v>11</v>
      </c>
      <c r="D32" s="17"/>
      <c r="E32" s="17"/>
      <c r="F32" s="17">
        <v>2017</v>
      </c>
      <c r="G32" s="24">
        <f>0.75/0.8</f>
        <v>0.9375</v>
      </c>
      <c r="H32" s="39">
        <f t="shared" si="4"/>
        <v>99687500.00000003</v>
      </c>
      <c r="I32" s="43">
        <f t="shared" si="5"/>
        <v>876751562.50000024</v>
      </c>
      <c r="J32" s="17"/>
      <c r="K32" s="41">
        <v>276</v>
      </c>
      <c r="L32" s="42">
        <f>[3]Tabelle1!$CE$3</f>
        <v>5.4872305807257236E-2</v>
      </c>
      <c r="M32" s="24">
        <f t="shared" si="6"/>
        <v>6.1684149530531571E-2</v>
      </c>
      <c r="N32" s="25">
        <f t="shared" si="7"/>
        <v>43265339.58590176</v>
      </c>
    </row>
    <row r="33" spans="1:20" x14ac:dyDescent="0.45">
      <c r="A33" s="16" t="s">
        <v>29</v>
      </c>
      <c r="B33" s="17">
        <f>(5+8)/2</f>
        <v>6.5</v>
      </c>
      <c r="C33" s="17" t="s">
        <v>14</v>
      </c>
      <c r="D33" s="40" t="s">
        <v>764</v>
      </c>
      <c r="E33" s="17"/>
      <c r="F33" s="17">
        <v>2018</v>
      </c>
      <c r="G33" s="24">
        <f>0.7/0.75</f>
        <v>0.93333333333333324</v>
      </c>
      <c r="H33" s="39">
        <f t="shared" si="4"/>
        <v>93041666.666666687</v>
      </c>
      <c r="I33" s="43">
        <f t="shared" si="5"/>
        <v>818301458.33333349</v>
      </c>
      <c r="J33" s="17"/>
      <c r="K33" s="41">
        <v>372</v>
      </c>
      <c r="L33" s="42">
        <f>[3]Tabelle1!$CZ$3</f>
        <v>2.2433477093127506E-2</v>
      </c>
      <c r="M33" s="24">
        <f t="shared" si="6"/>
        <v>2.5218367173467971E-2</v>
      </c>
      <c r="N33" s="25">
        <f t="shared" si="7"/>
        <v>17688194.258429401</v>
      </c>
    </row>
    <row r="34" spans="1:20" x14ac:dyDescent="0.45">
      <c r="A34" s="16" t="s">
        <v>30</v>
      </c>
      <c r="B34" s="23">
        <f>SUM(I30:I35)+50%*I29</f>
        <v>5786560312.5000019</v>
      </c>
      <c r="C34" s="17" t="s">
        <v>11</v>
      </c>
      <c r="D34" s="17"/>
      <c r="E34" s="17"/>
      <c r="F34" s="17">
        <v>2019</v>
      </c>
      <c r="G34" s="24">
        <f>0.75/0.7</f>
        <v>1.0714285714285714</v>
      </c>
      <c r="H34" s="39">
        <f t="shared" si="4"/>
        <v>99687500.000000015</v>
      </c>
      <c r="I34" s="43">
        <f t="shared" si="5"/>
        <v>876751562.50000012</v>
      </c>
      <c r="J34" s="17"/>
      <c r="K34" s="41">
        <v>458</v>
      </c>
      <c r="L34" s="42">
        <f>[3]Tabelle1!$DX$3</f>
        <v>1.8925638181131951E-2</v>
      </c>
      <c r="M34" s="24">
        <f t="shared" si="6"/>
        <v>2.1275065415080164E-2</v>
      </c>
      <c r="N34" s="25">
        <f t="shared" si="7"/>
        <v>14922357.475968996</v>
      </c>
    </row>
    <row r="35" spans="1:20" x14ac:dyDescent="0.45">
      <c r="A35" s="15"/>
      <c r="B35" s="17"/>
      <c r="C35" s="17"/>
      <c r="D35" s="17"/>
      <c r="E35" s="17"/>
      <c r="F35" s="17">
        <v>2020</v>
      </c>
      <c r="G35" s="24">
        <f>0.6/0.75</f>
        <v>0.79999999999999993</v>
      </c>
      <c r="H35" s="39">
        <f>B30</f>
        <v>79750000</v>
      </c>
      <c r="I35" s="43">
        <f>B32</f>
        <v>701401250</v>
      </c>
      <c r="J35" s="17"/>
      <c r="K35" s="41">
        <v>484</v>
      </c>
      <c r="L35" s="42">
        <f>[3]Tabelle1!$ED$3</f>
        <v>4.0126979605345718E-2</v>
      </c>
      <c r="M35" s="24">
        <f t="shared" si="6"/>
        <v>4.5108339694691205E-2</v>
      </c>
      <c r="N35" s="25">
        <f t="shared" si="7"/>
        <v>31639045.847281028</v>
      </c>
    </row>
    <row r="36" spans="1:20" x14ac:dyDescent="0.4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41">
        <v>528</v>
      </c>
      <c r="L36" s="42">
        <f>[3]Tabelle1!$EO$3</f>
        <v>7.4348932761916356E-2</v>
      </c>
      <c r="M36" s="24">
        <f t="shared" si="6"/>
        <v>8.3578603422109821E-2</v>
      </c>
      <c r="N36" s="25">
        <f t="shared" si="7"/>
        <v>58622136.913522109</v>
      </c>
    </row>
    <row r="37" spans="1:20" x14ac:dyDescent="0.4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41">
        <v>616</v>
      </c>
      <c r="L37" s="42">
        <f>[3]Tabelle1!$FO$3</f>
        <v>0.10194987361328228</v>
      </c>
      <c r="M37" s="24">
        <f t="shared" si="6"/>
        <v>0.11460592289797265</v>
      </c>
      <c r="N37" s="25">
        <f t="shared" si="7"/>
        <v>80384737.578041643</v>
      </c>
    </row>
    <row r="38" spans="1:20" x14ac:dyDescent="0.4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41">
        <v>784</v>
      </c>
      <c r="L38" s="42">
        <f>[3]Tabelle1!$HH$3</f>
        <v>1.8791090333281305E-2</v>
      </c>
      <c r="M38" s="24">
        <f t="shared" si="6"/>
        <v>2.1123814807989166E-2</v>
      </c>
      <c r="N38" s="25">
        <f t="shared" si="7"/>
        <v>14816270.111092111</v>
      </c>
    </row>
    <row r="39" spans="1:20" x14ac:dyDescent="0.45">
      <c r="A39" s="15"/>
      <c r="B39" s="17"/>
      <c r="C39" s="17"/>
      <c r="D39" s="17"/>
      <c r="E39" s="17"/>
      <c r="F39" s="17"/>
      <c r="G39" s="17"/>
      <c r="H39" s="17"/>
      <c r="I39" s="17"/>
      <c r="J39" s="17"/>
      <c r="K39" s="41">
        <v>826</v>
      </c>
      <c r="L39" s="42">
        <f>[3]Tabelle1!$HR$3</f>
        <v>2.309643556657735E-2</v>
      </c>
      <c r="M39" s="24">
        <f t="shared" si="6"/>
        <v>2.5963625259622692E-2</v>
      </c>
      <c r="N39" s="25">
        <f t="shared" si="7"/>
        <v>18210919.211630929</v>
      </c>
    </row>
    <row r="40" spans="1:20" x14ac:dyDescent="0.45">
      <c r="A40" s="15"/>
      <c r="B40" s="17"/>
      <c r="C40" s="17"/>
      <c r="D40" s="17"/>
      <c r="E40" s="17"/>
      <c r="F40" s="17"/>
      <c r="G40" s="17"/>
      <c r="H40" s="17"/>
      <c r="I40" s="17"/>
      <c r="J40" s="17"/>
      <c r="K40" s="41">
        <v>842</v>
      </c>
      <c r="L40" s="42">
        <f>[3]Tabelle1!$HT$3</f>
        <v>5.9229474311976255E-2</v>
      </c>
      <c r="M40" s="24">
        <f t="shared" si="6"/>
        <v>6.6582216590422905E-2</v>
      </c>
      <c r="N40" s="25">
        <f t="shared" si="7"/>
        <v>46700849.944293365</v>
      </c>
    </row>
    <row r="41" spans="1:20" x14ac:dyDescent="0.45">
      <c r="A41" s="51"/>
      <c r="B41" s="45"/>
      <c r="C41" s="45"/>
      <c r="D41" s="45"/>
      <c r="E41" s="45"/>
      <c r="F41" s="45"/>
      <c r="G41" s="45"/>
      <c r="H41" s="45"/>
      <c r="I41" s="45"/>
      <c r="J41" s="45"/>
      <c r="K41" s="45" t="s">
        <v>86</v>
      </c>
      <c r="L41" s="56">
        <f>SUM(L28:L40)</f>
        <v>0.88956897719887174</v>
      </c>
      <c r="M41" s="45"/>
      <c r="N41" s="28"/>
    </row>
    <row r="43" spans="1:20" x14ac:dyDescent="0.45">
      <c r="A43" s="1" t="s">
        <v>33</v>
      </c>
    </row>
    <row r="44" spans="1:20" x14ac:dyDescent="0.45">
      <c r="A44" s="38" t="s">
        <v>1</v>
      </c>
      <c r="B44" s="5" t="s">
        <v>2</v>
      </c>
      <c r="C44" s="5" t="s">
        <v>3</v>
      </c>
      <c r="D44" s="5" t="s">
        <v>4</v>
      </c>
      <c r="E44" s="5"/>
      <c r="F44" s="5" t="s">
        <v>774</v>
      </c>
      <c r="G44" s="5"/>
      <c r="H44" s="5"/>
      <c r="I44" s="5"/>
      <c r="J44" s="5"/>
      <c r="K44" s="5"/>
      <c r="L44" s="52" t="s">
        <v>213</v>
      </c>
      <c r="M44" s="52"/>
      <c r="N44" s="52"/>
      <c r="O44" s="52"/>
      <c r="P44" s="5"/>
      <c r="Q44" s="52" t="s">
        <v>214</v>
      </c>
      <c r="R44" s="52"/>
      <c r="S44" s="52"/>
      <c r="T44" s="53"/>
    </row>
    <row r="45" spans="1:20" ht="32" x14ac:dyDescent="0.45">
      <c r="A45" s="16" t="s">
        <v>61</v>
      </c>
      <c r="B45" s="39">
        <v>313500000000</v>
      </c>
      <c r="C45" s="17" t="s">
        <v>34</v>
      </c>
      <c r="D45" s="17" t="s">
        <v>767</v>
      </c>
      <c r="E45" s="17"/>
      <c r="F45" s="55" t="s">
        <v>68</v>
      </c>
      <c r="G45" s="17"/>
      <c r="H45" s="17"/>
      <c r="I45" s="17"/>
      <c r="J45" s="17"/>
      <c r="K45" s="17"/>
      <c r="L45" s="8" t="s">
        <v>85</v>
      </c>
      <c r="M45" s="8" t="s">
        <v>82</v>
      </c>
      <c r="N45" s="8" t="s">
        <v>83</v>
      </c>
      <c r="O45" s="8" t="s">
        <v>84</v>
      </c>
      <c r="P45" s="17"/>
      <c r="Q45" s="8" t="s">
        <v>85</v>
      </c>
      <c r="R45" s="8" t="s">
        <v>82</v>
      </c>
      <c r="S45" s="8" t="s">
        <v>83</v>
      </c>
      <c r="T45" s="58" t="s">
        <v>84</v>
      </c>
    </row>
    <row r="46" spans="1:20" ht="32" x14ac:dyDescent="0.45">
      <c r="A46" s="16" t="s">
        <v>58</v>
      </c>
      <c r="B46" s="39">
        <f>[4]Tabelle1!$B$9</f>
        <v>28562327946.999996</v>
      </c>
      <c r="C46" s="17" t="s">
        <v>34</v>
      </c>
      <c r="D46" s="17" t="s">
        <v>35</v>
      </c>
      <c r="E46" s="17"/>
      <c r="F46" s="17" t="s">
        <v>20</v>
      </c>
      <c r="G46" s="48" t="s">
        <v>69</v>
      </c>
      <c r="H46" s="48" t="s">
        <v>38</v>
      </c>
      <c r="I46" s="48" t="s">
        <v>70</v>
      </c>
      <c r="J46" s="48" t="s">
        <v>71</v>
      </c>
      <c r="K46" s="17"/>
      <c r="L46" s="41">
        <v>156</v>
      </c>
      <c r="M46" s="42">
        <f>[5]Tabelle1!$AT$3</f>
        <v>0.63646506430652394</v>
      </c>
      <c r="N46" s="24">
        <f>M46/$M$57</f>
        <v>0.69798082120492677</v>
      </c>
      <c r="O46" s="23">
        <f>$B$52*N46</f>
        <v>2273173045.1257215</v>
      </c>
      <c r="P46" s="17"/>
      <c r="Q46" s="41">
        <v>156</v>
      </c>
      <c r="R46" s="42">
        <f>[6]Tabelle1!$AT$3</f>
        <v>0.2325806433622703</v>
      </c>
      <c r="S46" s="24">
        <f>R46/$R$61</f>
        <v>0.25256596672582965</v>
      </c>
      <c r="T46" s="25">
        <f>S46*$B$53</f>
        <v>1927928924.8109252</v>
      </c>
    </row>
    <row r="47" spans="1:20" x14ac:dyDescent="0.45">
      <c r="A47" s="16" t="s">
        <v>59</v>
      </c>
      <c r="B47" s="39">
        <f>[4]Tabelle1!$B$16</f>
        <v>46699465324</v>
      </c>
      <c r="C47" s="17" t="s">
        <v>34</v>
      </c>
      <c r="D47" s="17" t="s">
        <v>35</v>
      </c>
      <c r="E47" s="17"/>
      <c r="F47" s="17">
        <v>2012</v>
      </c>
      <c r="G47" s="17">
        <v>120</v>
      </c>
      <c r="H47" s="17"/>
      <c r="I47" s="43">
        <f t="shared" ref="I47:I54" si="8">I48/H48</f>
        <v>1246616035.604773</v>
      </c>
      <c r="J47" s="43">
        <f t="shared" ref="J47:J54" si="9">J48/H48</f>
        <v>2921863283.3817158</v>
      </c>
      <c r="K47" s="17"/>
      <c r="L47" s="41">
        <v>203</v>
      </c>
      <c r="M47" s="42">
        <f>[5]Tabelle1!$BG$3</f>
        <v>3.8426634521800306E-2</v>
      </c>
      <c r="N47" s="24">
        <f t="shared" ref="N47:N56" si="10">M47/$M$57</f>
        <v>4.2140653782609894E-2</v>
      </c>
      <c r="O47" s="23">
        <f t="shared" ref="O47:O56" si="11">$B$52*N47</f>
        <v>137243023.55075645</v>
      </c>
      <c r="P47" s="17"/>
      <c r="Q47" s="41">
        <v>203</v>
      </c>
      <c r="R47" s="42">
        <f>[6]Tabelle1!$BG$3</f>
        <v>1.4168340282781007E-2</v>
      </c>
      <c r="S47" s="24">
        <f t="shared" ref="S47:S60" si="12">R47/$R$61</f>
        <v>1.5385805579904941E-2</v>
      </c>
      <c r="T47" s="25">
        <f t="shared" ref="T47:T60" si="13">S47*$B$53</f>
        <v>117445513.31896646</v>
      </c>
    </row>
    <row r="48" spans="1:20" x14ac:dyDescent="0.45">
      <c r="A48" s="16" t="s">
        <v>60</v>
      </c>
      <c r="B48" s="24">
        <f>B46/(B46+B47)</f>
        <v>0.37950634320064336</v>
      </c>
      <c r="C48" s="17"/>
      <c r="D48" s="50"/>
      <c r="E48" s="17"/>
      <c r="F48" s="17">
        <v>2013</v>
      </c>
      <c r="G48" s="17">
        <v>130</v>
      </c>
      <c r="H48" s="24">
        <f t="shared" ref="H48:H55" si="14">G48/G47</f>
        <v>1.0833333333333333</v>
      </c>
      <c r="I48" s="43">
        <f t="shared" si="8"/>
        <v>1350500705.2385039</v>
      </c>
      <c r="J48" s="43">
        <f t="shared" si="9"/>
        <v>3165351890.3301921</v>
      </c>
      <c r="K48" s="17"/>
      <c r="L48" s="41">
        <v>276</v>
      </c>
      <c r="M48" s="42">
        <f>[5]Tabelle1!$CE$3</f>
        <v>2.8300215283108381E-2</v>
      </c>
      <c r="N48" s="24">
        <f t="shared" si="10"/>
        <v>3.1035493715751043E-2</v>
      </c>
      <c r="O48" s="23">
        <f t="shared" si="11"/>
        <v>101075911.56304972</v>
      </c>
      <c r="P48" s="17"/>
      <c r="Q48" s="41">
        <v>348</v>
      </c>
      <c r="R48" s="42">
        <f>[6]Tabelle1!$CU$3</f>
        <v>7.3417767847462692E-2</v>
      </c>
      <c r="S48" s="24">
        <f t="shared" si="12"/>
        <v>7.9726452052006846E-2</v>
      </c>
      <c r="T48" s="25">
        <f t="shared" si="13"/>
        <v>608581334.12119734</v>
      </c>
    </row>
    <row r="49" spans="1:20" x14ac:dyDescent="0.45">
      <c r="A49" s="16" t="s">
        <v>62</v>
      </c>
      <c r="B49" s="24">
        <f>B47/(B46+B47)</f>
        <v>0.62049365679935664</v>
      </c>
      <c r="C49" s="17"/>
      <c r="D49" s="50"/>
      <c r="E49" s="17"/>
      <c r="F49" s="17">
        <v>2014</v>
      </c>
      <c r="G49" s="17">
        <v>140</v>
      </c>
      <c r="H49" s="24">
        <f t="shared" si="14"/>
        <v>1.0769230769230769</v>
      </c>
      <c r="I49" s="43">
        <f t="shared" si="8"/>
        <v>1454385374.8722348</v>
      </c>
      <c r="J49" s="43">
        <f t="shared" si="9"/>
        <v>3408840497.2786684</v>
      </c>
      <c r="K49" s="17"/>
      <c r="L49" s="41">
        <v>392</v>
      </c>
      <c r="M49" s="42">
        <f>[5]Tabelle1!$DE$3</f>
        <v>1.3272370970976366E-2</v>
      </c>
      <c r="N49" s="24">
        <f t="shared" si="10"/>
        <v>1.4555174995743374E-2</v>
      </c>
      <c r="O49" s="23">
        <f t="shared" si="11"/>
        <v>47403066.763775118</v>
      </c>
      <c r="P49" s="17"/>
      <c r="Q49" s="41">
        <v>360</v>
      </c>
      <c r="R49" s="42">
        <f>[6]Tabelle1!$CW$3</f>
        <v>1.6602668935402475E-2</v>
      </c>
      <c r="S49" s="24">
        <f t="shared" si="12"/>
        <v>1.8029312625846262E-2</v>
      </c>
      <c r="T49" s="25">
        <f t="shared" si="13"/>
        <v>137624374.95610937</v>
      </c>
    </row>
    <row r="50" spans="1:20" x14ac:dyDescent="0.45">
      <c r="A50" s="16" t="s">
        <v>63</v>
      </c>
      <c r="B50" s="17">
        <f>[4]Tabelle1!$B$10</f>
        <v>36.531505999747509</v>
      </c>
      <c r="C50" s="17" t="s">
        <v>36</v>
      </c>
      <c r="D50" s="17" t="s">
        <v>35</v>
      </c>
      <c r="E50" s="17"/>
      <c r="F50" s="17">
        <v>2015</v>
      </c>
      <c r="G50" s="17">
        <v>155</v>
      </c>
      <c r="H50" s="24">
        <f t="shared" si="14"/>
        <v>1.1071428571428572</v>
      </c>
      <c r="I50" s="43">
        <f t="shared" si="8"/>
        <v>1610212379.3228316</v>
      </c>
      <c r="J50" s="43">
        <f t="shared" si="9"/>
        <v>3774073407.7013831</v>
      </c>
      <c r="K50" s="17"/>
      <c r="L50" s="41">
        <v>410</v>
      </c>
      <c r="M50" s="42">
        <f>[5]Tabelle1!$DJ$3</f>
        <v>1.4516279920380546E-2</v>
      </c>
      <c r="N50" s="24">
        <f t="shared" si="10"/>
        <v>1.5919310497752873E-2</v>
      </c>
      <c r="O50" s="23">
        <f t="shared" si="11"/>
        <v>51845761.976680703</v>
      </c>
      <c r="P50" s="17"/>
      <c r="Q50" s="41">
        <v>410</v>
      </c>
      <c r="R50" s="42">
        <f>[6]Tabelle1!$DJ$3</f>
        <v>1.0833402654280325E-2</v>
      </c>
      <c r="S50" s="24">
        <f t="shared" si="12"/>
        <v>1.1764301511741121E-2</v>
      </c>
      <c r="T50" s="25">
        <f t="shared" si="13"/>
        <v>89801240.676672161</v>
      </c>
    </row>
    <row r="51" spans="1:20" x14ac:dyDescent="0.45">
      <c r="A51" s="16" t="s">
        <v>64</v>
      </c>
      <c r="B51" s="17">
        <f>[4]Tabelle1!$B$17</f>
        <v>25.483478039309535</v>
      </c>
      <c r="C51" s="17" t="s">
        <v>36</v>
      </c>
      <c r="D51" s="17" t="s">
        <v>35</v>
      </c>
      <c r="E51" s="17"/>
      <c r="F51" s="17">
        <v>2016</v>
      </c>
      <c r="G51" s="17">
        <v>170</v>
      </c>
      <c r="H51" s="24">
        <f t="shared" si="14"/>
        <v>1.096774193548387</v>
      </c>
      <c r="I51" s="43">
        <f t="shared" si="8"/>
        <v>1766039383.7734282</v>
      </c>
      <c r="J51" s="43">
        <f t="shared" si="9"/>
        <v>4139306318.1240973</v>
      </c>
      <c r="K51" s="17"/>
      <c r="L51" s="41">
        <v>484</v>
      </c>
      <c r="M51" s="42">
        <f>[5]Tabelle1!$ED$3</f>
        <v>1.5286724909981446E-2</v>
      </c>
      <c r="N51" s="24">
        <f t="shared" si="10"/>
        <v>1.6764220700515975E-2</v>
      </c>
      <c r="O51" s="23">
        <f t="shared" si="11"/>
        <v>54597452.3385408</v>
      </c>
      <c r="P51" s="17"/>
      <c r="Q51" s="41">
        <v>458</v>
      </c>
      <c r="R51" s="42">
        <f>[6]Tabelle1!$DX$3</f>
        <v>3.0614604354487599E-2</v>
      </c>
      <c r="S51" s="24">
        <f t="shared" si="12"/>
        <v>3.3245273694923007E-2</v>
      </c>
      <c r="T51" s="25">
        <f t="shared" si="13"/>
        <v>253773402.65038556</v>
      </c>
    </row>
    <row r="52" spans="1:20" x14ac:dyDescent="0.45">
      <c r="A52" s="16" t="s">
        <v>65</v>
      </c>
      <c r="B52" s="23">
        <f>B45/B50*B48</f>
        <v>3256784393.0174685</v>
      </c>
      <c r="C52" s="17" t="s">
        <v>11</v>
      </c>
      <c r="D52" s="17"/>
      <c r="E52" s="17"/>
      <c r="F52" s="17">
        <v>2017</v>
      </c>
      <c r="G52" s="17">
        <v>200</v>
      </c>
      <c r="H52" s="24">
        <f t="shared" si="14"/>
        <v>1.1764705882352942</v>
      </c>
      <c r="I52" s="43">
        <f t="shared" si="8"/>
        <v>2077693392.6746213</v>
      </c>
      <c r="J52" s="43">
        <f t="shared" si="9"/>
        <v>4869772138.9695263</v>
      </c>
      <c r="K52" s="17"/>
      <c r="L52" s="41">
        <v>528</v>
      </c>
      <c r="M52" s="42">
        <f>[5]Tabelle1!$EO$3</f>
        <v>8.0918429988546731E-2</v>
      </c>
      <c r="N52" s="24">
        <f t="shared" si="10"/>
        <v>8.8739375311287283E-2</v>
      </c>
      <c r="O52" s="23">
        <f t="shared" si="11"/>
        <v>289005012.55992007</v>
      </c>
      <c r="P52" s="17"/>
      <c r="Q52" s="41">
        <v>484</v>
      </c>
      <c r="R52" s="42">
        <f>[6]Tabelle1!$ED$3</f>
        <v>0.25780036857279953</v>
      </c>
      <c r="S52" s="24">
        <f t="shared" si="12"/>
        <v>0.27995278699717813</v>
      </c>
      <c r="T52" s="25">
        <f t="shared" si="13"/>
        <v>2136982597.5769289</v>
      </c>
    </row>
    <row r="53" spans="1:20" x14ac:dyDescent="0.45">
      <c r="A53" s="16" t="s">
        <v>66</v>
      </c>
      <c r="B53" s="23">
        <f>B45/B51*B49</f>
        <v>7633367827.8347311</v>
      </c>
      <c r="C53" s="17" t="s">
        <v>11</v>
      </c>
      <c r="D53" s="17"/>
      <c r="E53" s="17"/>
      <c r="F53" s="17">
        <v>2018</v>
      </c>
      <c r="G53" s="17">
        <v>230</v>
      </c>
      <c r="H53" s="24">
        <f t="shared" si="14"/>
        <v>1.1499999999999999</v>
      </c>
      <c r="I53" s="43">
        <f t="shared" si="8"/>
        <v>2389347401.5758142</v>
      </c>
      <c r="J53" s="43">
        <f t="shared" si="9"/>
        <v>5600237959.8149548</v>
      </c>
      <c r="K53" s="17"/>
      <c r="L53" s="41">
        <v>616</v>
      </c>
      <c r="M53" s="42">
        <f>[5]Tabelle1!$FO$3</f>
        <v>1.8251967862881031E-2</v>
      </c>
      <c r="N53" s="24">
        <f t="shared" si="10"/>
        <v>2.0016060946597743E-2</v>
      </c>
      <c r="O53" s="23">
        <f t="shared" si="11"/>
        <v>65187994.900565989</v>
      </c>
      <c r="P53" s="17"/>
      <c r="Q53" s="41">
        <v>528</v>
      </c>
      <c r="R53" s="42">
        <f>[6]Tabelle1!$EO$3</f>
        <v>1.5435245981023967E-2</v>
      </c>
      <c r="S53" s="24">
        <f t="shared" si="12"/>
        <v>1.6761574680039363E-2</v>
      </c>
      <c r="T53" s="25">
        <f t="shared" si="13"/>
        <v>127947264.9064617</v>
      </c>
    </row>
    <row r="54" spans="1:20" x14ac:dyDescent="0.45">
      <c r="A54" s="16" t="s">
        <v>67</v>
      </c>
      <c r="B54" s="59">
        <v>7</v>
      </c>
      <c r="C54" s="17" t="s">
        <v>14</v>
      </c>
      <c r="D54" s="40" t="s">
        <v>768</v>
      </c>
      <c r="E54" s="17"/>
      <c r="F54" s="17">
        <v>2019</v>
      </c>
      <c r="G54" s="17">
        <v>260</v>
      </c>
      <c r="H54" s="24">
        <f t="shared" si="14"/>
        <v>1.1304347826086956</v>
      </c>
      <c r="I54" s="43">
        <f t="shared" si="8"/>
        <v>2701001410.4770074</v>
      </c>
      <c r="J54" s="43">
        <f t="shared" si="9"/>
        <v>6330703780.6603832</v>
      </c>
      <c r="K54" s="17"/>
      <c r="L54" s="41">
        <v>704</v>
      </c>
      <c r="M54" s="42">
        <f>[5]Tabelle1!$GN$3</f>
        <v>2.7317908665052095E-2</v>
      </c>
      <c r="N54" s="24">
        <f t="shared" si="10"/>
        <v>2.9958244989313865E-2</v>
      </c>
      <c r="O54" s="23">
        <f t="shared" si="11"/>
        <v>97567544.723391175</v>
      </c>
      <c r="P54" s="17"/>
      <c r="Q54" s="41">
        <v>608</v>
      </c>
      <c r="R54" s="42">
        <f>[6]Tabelle1!$FM$3</f>
        <v>1.1822581099669086E-2</v>
      </c>
      <c r="S54" s="24">
        <f t="shared" si="12"/>
        <v>1.2838478651817319E-2</v>
      </c>
      <c r="T54" s="25">
        <f t="shared" si="13"/>
        <v>98000829.899125338</v>
      </c>
    </row>
    <row r="55" spans="1:20" x14ac:dyDescent="0.45">
      <c r="A55" s="16" t="s">
        <v>37</v>
      </c>
      <c r="B55" s="60">
        <v>8.5</v>
      </c>
      <c r="C55" s="17" t="s">
        <v>14</v>
      </c>
      <c r="D55" s="40" t="s">
        <v>769</v>
      </c>
      <c r="E55" s="17"/>
      <c r="F55" s="17">
        <v>2020</v>
      </c>
      <c r="G55" s="17">
        <v>313.5</v>
      </c>
      <c r="H55" s="24">
        <f t="shared" si="14"/>
        <v>1.2057692307692307</v>
      </c>
      <c r="I55" s="43">
        <f>B52</f>
        <v>3256784393.0174685</v>
      </c>
      <c r="J55" s="43">
        <f>B53</f>
        <v>7633367827.8347311</v>
      </c>
      <c r="K55" s="17"/>
      <c r="L55" s="41">
        <v>784</v>
      </c>
      <c r="M55" s="42">
        <f>[5]Tabelle1!$HH$3</f>
        <v>1.3032289263615856E-2</v>
      </c>
      <c r="N55" s="24">
        <f t="shared" si="10"/>
        <v>1.4291888860089797E-2</v>
      </c>
      <c r="O55" s="23">
        <f t="shared" si="11"/>
        <v>46545600.586280666</v>
      </c>
      <c r="P55" s="17"/>
      <c r="Q55" s="41">
        <v>616</v>
      </c>
      <c r="R55" s="42">
        <f>[6]Tabelle1!$FO$3</f>
        <v>8.4453550378073283E-2</v>
      </c>
      <c r="S55" s="24">
        <f t="shared" si="12"/>
        <v>9.1710523654552942E-2</v>
      </c>
      <c r="T55" s="25">
        <f t="shared" si="13"/>
        <v>700060160.73854053</v>
      </c>
    </row>
    <row r="56" spans="1:20" x14ac:dyDescent="0.45">
      <c r="A56" s="16" t="s">
        <v>73</v>
      </c>
      <c r="B56" s="61">
        <f>SUM(I49:I55)</f>
        <v>15255463735.713406</v>
      </c>
      <c r="C56" s="17" t="s">
        <v>11</v>
      </c>
      <c r="D56" s="50"/>
      <c r="E56" s="17"/>
      <c r="F56" s="17"/>
      <c r="G56" s="17"/>
      <c r="H56" s="17"/>
      <c r="I56" s="17"/>
      <c r="J56" s="17"/>
      <c r="K56" s="17"/>
      <c r="L56" s="41">
        <v>842</v>
      </c>
      <c r="M56" s="42">
        <f>[5]Tabelle1!$HT$3</f>
        <v>2.607823579710793E-2</v>
      </c>
      <c r="N56" s="24">
        <f t="shared" si="10"/>
        <v>2.8598754995411514E-2</v>
      </c>
      <c r="O56" s="23">
        <f t="shared" si="11"/>
        <v>93139978.928786576</v>
      </c>
      <c r="P56" s="17"/>
      <c r="Q56" s="41">
        <v>703</v>
      </c>
      <c r="R56" s="42">
        <f>[6]Tabelle1!$GM$3</f>
        <v>6.3500097995190186E-2</v>
      </c>
      <c r="S56" s="24">
        <f t="shared" si="12"/>
        <v>6.8956570957451557E-2</v>
      </c>
      <c r="T56" s="25">
        <f t="shared" si="13"/>
        <v>526370870.26441348</v>
      </c>
    </row>
    <row r="57" spans="1:20" x14ac:dyDescent="0.45">
      <c r="A57" s="16" t="s">
        <v>72</v>
      </c>
      <c r="B57" s="23">
        <f>SUM(J48:J55)+50%*J47</f>
        <v>40382585462.4048</v>
      </c>
      <c r="C57" s="17" t="s">
        <v>11</v>
      </c>
      <c r="D57" s="17"/>
      <c r="E57" s="17"/>
      <c r="F57" s="17"/>
      <c r="G57" s="17"/>
      <c r="H57" s="17"/>
      <c r="I57" s="17"/>
      <c r="J57" s="17"/>
      <c r="K57" s="17"/>
      <c r="L57" s="17" t="s">
        <v>86</v>
      </c>
      <c r="M57" s="42">
        <f>SUM(M46:M56)</f>
        <v>0.91186612148997448</v>
      </c>
      <c r="N57" s="17"/>
      <c r="O57" s="17"/>
      <c r="P57" s="17"/>
      <c r="Q57" s="41">
        <v>704</v>
      </c>
      <c r="R57" s="42">
        <f>[6]Tabelle1!$GN$3</f>
        <v>5.2317486386591998E-2</v>
      </c>
      <c r="S57" s="24">
        <f t="shared" si="12"/>
        <v>5.6813053463410354E-2</v>
      </c>
      <c r="T57" s="25">
        <f t="shared" si="13"/>
        <v>433674934.50865114</v>
      </c>
    </row>
    <row r="58" spans="1:20" x14ac:dyDescent="0.45">
      <c r="A58" s="16"/>
      <c r="B58" s="2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42"/>
      <c r="N58" s="17"/>
      <c r="O58" s="17"/>
      <c r="P58" s="17"/>
      <c r="Q58" s="41">
        <v>784</v>
      </c>
      <c r="R58" s="42">
        <f>[6]Tabelle1!$HH$3</f>
        <v>1.3120927876391297E-2</v>
      </c>
      <c r="S58" s="24">
        <f t="shared" si="12"/>
        <v>1.4248390517515622E-2</v>
      </c>
      <c r="T58" s="25">
        <f t="shared" si="13"/>
        <v>108763205.77482921</v>
      </c>
    </row>
    <row r="59" spans="1:20" x14ac:dyDescent="0.45">
      <c r="A59" s="16"/>
      <c r="B59" s="2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42"/>
      <c r="N59" s="17"/>
      <c r="O59" s="17"/>
      <c r="P59" s="17"/>
      <c r="Q59" s="41">
        <v>792</v>
      </c>
      <c r="R59" s="42">
        <f>[6]Tabelle1!$HJ$3</f>
        <v>2.8530007428164198E-2</v>
      </c>
      <c r="S59" s="24">
        <f t="shared" si="12"/>
        <v>3.0981550324313514E-2</v>
      </c>
      <c r="T59" s="25">
        <f t="shared" si="13"/>
        <v>236493569.50205746</v>
      </c>
    </row>
    <row r="60" spans="1:20" x14ac:dyDescent="0.45">
      <c r="A60" s="16"/>
      <c r="B60" s="2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42"/>
      <c r="N60" s="17"/>
      <c r="O60" s="17"/>
      <c r="P60" s="17"/>
      <c r="Q60" s="41">
        <v>842</v>
      </c>
      <c r="R60" s="42">
        <f>[6]Tabelle1!$HT$3</f>
        <v>1.5673184174445801E-2</v>
      </c>
      <c r="S60" s="24">
        <f t="shared" si="12"/>
        <v>1.7019958563469328E-2</v>
      </c>
      <c r="T60" s="25">
        <f t="shared" si="13"/>
        <v>129919604.129467</v>
      </c>
    </row>
    <row r="61" spans="1:20" x14ac:dyDescent="0.45">
      <c r="A61" s="44"/>
      <c r="B61" s="26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56"/>
      <c r="N61" s="45"/>
      <c r="O61" s="45"/>
      <c r="P61" s="45"/>
      <c r="Q61" s="45" t="s">
        <v>86</v>
      </c>
      <c r="R61" s="56">
        <f>SUM(R46:R60)</f>
        <v>0.92087087732903383</v>
      </c>
      <c r="S61" s="45"/>
      <c r="T61" s="28"/>
    </row>
    <row r="62" spans="1:20" x14ac:dyDescent="0.45">
      <c r="A62" s="2"/>
      <c r="B62" s="4"/>
      <c r="M62" s="7"/>
    </row>
    <row r="63" spans="1:20" x14ac:dyDescent="0.45">
      <c r="A63" s="2"/>
      <c r="B63" s="4"/>
      <c r="M63" s="7"/>
    </row>
    <row r="64" spans="1:20" x14ac:dyDescent="0.45">
      <c r="A64" s="2"/>
      <c r="B64" s="4"/>
      <c r="M64" s="7"/>
    </row>
    <row r="65" spans="1:16" x14ac:dyDescent="0.45">
      <c r="A65" s="2"/>
      <c r="B65" s="4"/>
      <c r="M65" s="7"/>
    </row>
    <row r="66" spans="1:16" x14ac:dyDescent="0.45">
      <c r="A66" s="2"/>
      <c r="B66" s="4"/>
      <c r="M66" s="7"/>
    </row>
    <row r="67" spans="1:16" x14ac:dyDescent="0.45">
      <c r="A67" s="2"/>
      <c r="B67" s="4"/>
      <c r="M67" s="7"/>
    </row>
    <row r="68" spans="1:16" x14ac:dyDescent="0.45">
      <c r="A68" s="2"/>
      <c r="B68" s="4"/>
      <c r="M68" s="7"/>
    </row>
    <row r="72" spans="1:16" x14ac:dyDescent="0.45">
      <c r="A72" s="1" t="s">
        <v>39</v>
      </c>
    </row>
    <row r="73" spans="1:16" ht="32" x14ac:dyDescent="0.45">
      <c r="A73" s="38" t="s">
        <v>1</v>
      </c>
      <c r="B73" s="5" t="s">
        <v>2</v>
      </c>
      <c r="C73" s="5" t="s">
        <v>3</v>
      </c>
      <c r="D73" s="5" t="s">
        <v>4</v>
      </c>
      <c r="E73" s="5" t="s">
        <v>41</v>
      </c>
      <c r="F73" s="5"/>
      <c r="G73" s="5" t="s">
        <v>775</v>
      </c>
      <c r="H73" s="5"/>
      <c r="I73" s="5"/>
      <c r="J73" s="5"/>
      <c r="K73" s="5"/>
      <c r="L73" s="5"/>
      <c r="M73" s="10" t="s">
        <v>85</v>
      </c>
      <c r="N73" s="10" t="s">
        <v>82</v>
      </c>
      <c r="O73" s="10" t="s">
        <v>83</v>
      </c>
      <c r="P73" s="11" t="s">
        <v>84</v>
      </c>
    </row>
    <row r="74" spans="1:16" ht="64" x14ac:dyDescent="0.45">
      <c r="A74" s="16" t="s">
        <v>40</v>
      </c>
      <c r="B74" s="39">
        <f>[7]Tabelle1!$B$12</f>
        <v>14866908.000000004</v>
      </c>
      <c r="C74" s="17" t="s">
        <v>11</v>
      </c>
      <c r="D74" s="17" t="s">
        <v>35</v>
      </c>
      <c r="E74" s="48" t="s">
        <v>42</v>
      </c>
      <c r="F74" s="17"/>
      <c r="G74" s="17" t="s">
        <v>54</v>
      </c>
      <c r="H74" s="17"/>
      <c r="I74" s="17"/>
      <c r="J74" s="17"/>
      <c r="K74" s="17"/>
      <c r="L74" s="17"/>
      <c r="M74" s="41">
        <v>156</v>
      </c>
      <c r="N74" s="42">
        <f>[8]Tabelle1!$AT$3</f>
        <v>0.36583915095189934</v>
      </c>
      <c r="O74" s="24">
        <f>N74/$N$90</f>
        <v>0.41674615693996631</v>
      </c>
      <c r="P74" s="25">
        <f>O74*$B$86</f>
        <v>2511135.0165768345</v>
      </c>
    </row>
    <row r="75" spans="1:16" ht="32" x14ac:dyDescent="0.45">
      <c r="A75" s="15" t="s">
        <v>43</v>
      </c>
      <c r="B75" s="17">
        <v>9</v>
      </c>
      <c r="C75" s="17" t="s">
        <v>14</v>
      </c>
      <c r="D75" s="40" t="s">
        <v>770</v>
      </c>
      <c r="E75" s="17"/>
      <c r="F75" s="17"/>
      <c r="G75" s="17" t="s">
        <v>20</v>
      </c>
      <c r="H75" s="48" t="s">
        <v>52</v>
      </c>
      <c r="I75" s="48" t="s">
        <v>53</v>
      </c>
      <c r="J75" s="48" t="s">
        <v>55</v>
      </c>
      <c r="K75" s="48" t="s">
        <v>56</v>
      </c>
      <c r="L75" s="17"/>
      <c r="M75" s="41">
        <v>251</v>
      </c>
      <c r="N75" s="42">
        <f>[8]Tabelle1!$BW$3</f>
        <v>1.4833010334092334E-2</v>
      </c>
      <c r="O75" s="24">
        <f t="shared" ref="O75:O89" si="15">N75/$N$90</f>
        <v>1.6897043513520907E-2</v>
      </c>
      <c r="P75" s="25">
        <f t="shared" ref="P75:P89" si="16">O75*$B$86</f>
        <v>101814.39453450583</v>
      </c>
    </row>
    <row r="76" spans="1:16" x14ac:dyDescent="0.45">
      <c r="A76" s="16" t="s">
        <v>47</v>
      </c>
      <c r="B76" s="39">
        <f>[7]Tabelle1!$B$4+[7]Tabelle1!$B$6</f>
        <v>11628575.000000004</v>
      </c>
      <c r="C76" s="17" t="s">
        <v>11</v>
      </c>
      <c r="D76" s="17"/>
      <c r="E76" s="17"/>
      <c r="F76" s="17"/>
      <c r="G76" s="17">
        <v>2011</v>
      </c>
      <c r="H76" s="48">
        <v>35000000</v>
      </c>
      <c r="I76" s="43">
        <f>H76*$B$84/$B$85</f>
        <v>241401376.87183881</v>
      </c>
      <c r="J76" s="39">
        <f t="shared" ref="J76:J83" si="17">H76*$B$79</f>
        <v>1102500000</v>
      </c>
      <c r="K76" s="39">
        <f t="shared" ref="K76:K83" si="18">I76*$B$78</f>
        <v>3958982580.6981559</v>
      </c>
      <c r="L76" s="17"/>
      <c r="M76" s="41">
        <v>276</v>
      </c>
      <c r="N76" s="42">
        <f>[8]Tabelle1!$CE$3</f>
        <v>2.1108424159213199E-2</v>
      </c>
      <c r="O76" s="24">
        <f t="shared" si="15"/>
        <v>2.40456895455879E-2</v>
      </c>
      <c r="P76" s="25">
        <f t="shared" si="16"/>
        <v>144889.09378079642</v>
      </c>
    </row>
    <row r="77" spans="1:16" x14ac:dyDescent="0.45">
      <c r="A77" s="16" t="s">
        <v>48</v>
      </c>
      <c r="B77" s="39">
        <f>[7]Tabelle1!$B$8+[7]Tabelle1!$B$10</f>
        <v>3238333.0000000005</v>
      </c>
      <c r="C77" s="17" t="s">
        <v>11</v>
      </c>
      <c r="D77" s="17"/>
      <c r="E77" s="17"/>
      <c r="F77" s="17"/>
      <c r="G77" s="17">
        <v>2012</v>
      </c>
      <c r="H77" s="39">
        <v>15500000</v>
      </c>
      <c r="I77" s="43">
        <f t="shared" ref="I77:I84" si="19">H77*$B$84/$B$85</f>
        <v>106906324.0432429</v>
      </c>
      <c r="J77" s="39">
        <f t="shared" si="17"/>
        <v>488250000</v>
      </c>
      <c r="K77" s="39">
        <f t="shared" si="18"/>
        <v>1753263714.3091834</v>
      </c>
      <c r="L77" s="17"/>
      <c r="M77" s="41">
        <v>344</v>
      </c>
      <c r="N77" s="42">
        <f>[8]Tabelle1!$CT$3</f>
        <v>2.9416136832218238E-2</v>
      </c>
      <c r="O77" s="24">
        <f t="shared" si="15"/>
        <v>3.3509431521884792E-2</v>
      </c>
      <c r="P77" s="25">
        <f t="shared" si="16"/>
        <v>201913.57611561628</v>
      </c>
    </row>
    <row r="78" spans="1:16" x14ac:dyDescent="0.45">
      <c r="A78" s="15" t="s">
        <v>45</v>
      </c>
      <c r="B78" s="39">
        <v>16.399999999999999</v>
      </c>
      <c r="C78" s="17" t="s">
        <v>46</v>
      </c>
      <c r="D78" s="40" t="s">
        <v>771</v>
      </c>
      <c r="E78" s="17"/>
      <c r="F78" s="17"/>
      <c r="G78" s="17">
        <v>2013</v>
      </c>
      <c r="H78" s="39">
        <v>8000000</v>
      </c>
      <c r="I78" s="43">
        <f t="shared" si="19"/>
        <v>55177457.570706017</v>
      </c>
      <c r="J78" s="39">
        <f t="shared" si="17"/>
        <v>252000000</v>
      </c>
      <c r="K78" s="39">
        <f t="shared" si="18"/>
        <v>904910304.15957856</v>
      </c>
      <c r="L78" s="17"/>
      <c r="M78" s="41">
        <v>392</v>
      </c>
      <c r="N78" s="42">
        <f>[8]Tabelle1!$DE$3</f>
        <v>1.3570340248288347E-2</v>
      </c>
      <c r="O78" s="24">
        <f t="shared" si="15"/>
        <v>1.5458671200517544E-2</v>
      </c>
      <c r="P78" s="25">
        <f t="shared" si="16"/>
        <v>93147.375002571251</v>
      </c>
    </row>
    <row r="79" spans="1:16" x14ac:dyDescent="0.45">
      <c r="A79" s="15" t="s">
        <v>44</v>
      </c>
      <c r="B79" s="39">
        <v>31.5</v>
      </c>
      <c r="C79" s="17" t="s">
        <v>46</v>
      </c>
      <c r="D79" s="40" t="s">
        <v>771</v>
      </c>
      <c r="E79" s="17"/>
      <c r="F79" s="17"/>
      <c r="G79" s="17">
        <v>2014</v>
      </c>
      <c r="H79" s="39">
        <v>4500000</v>
      </c>
      <c r="I79" s="43">
        <f t="shared" si="19"/>
        <v>31037319.883522134</v>
      </c>
      <c r="J79" s="39">
        <f t="shared" si="17"/>
        <v>141750000</v>
      </c>
      <c r="K79" s="39">
        <f t="shared" si="18"/>
        <v>509012046.08976299</v>
      </c>
      <c r="L79" s="17"/>
      <c r="M79" s="41">
        <v>410</v>
      </c>
      <c r="N79" s="42">
        <f>[8]Tabelle1!$DJ$3</f>
        <v>2.6982140469289245E-2</v>
      </c>
      <c r="O79" s="24">
        <f t="shared" si="15"/>
        <v>3.073674131741326E-2</v>
      </c>
      <c r="P79" s="25">
        <f t="shared" si="16"/>
        <v>185206.52472084833</v>
      </c>
    </row>
    <row r="80" spans="1:16" x14ac:dyDescent="0.45">
      <c r="A80" s="15" t="s">
        <v>49</v>
      </c>
      <c r="B80" s="59">
        <f>B76/(B76+B77)*B78+B77/(B76+B77)*B79</f>
        <v>19.689105461606406</v>
      </c>
      <c r="C80" s="17" t="s">
        <v>46</v>
      </c>
      <c r="D80" s="17"/>
      <c r="E80" s="17"/>
      <c r="F80" s="17"/>
      <c r="G80" s="17">
        <v>2015</v>
      </c>
      <c r="H80" s="39">
        <v>1500000</v>
      </c>
      <c r="I80" s="43">
        <f t="shared" si="19"/>
        <v>10345773.294507379</v>
      </c>
      <c r="J80" s="39">
        <f t="shared" si="17"/>
        <v>47250000</v>
      </c>
      <c r="K80" s="39">
        <f t="shared" si="18"/>
        <v>169670682.029921</v>
      </c>
      <c r="L80" s="17"/>
      <c r="M80" s="41">
        <v>458</v>
      </c>
      <c r="N80" s="42">
        <f>[8]Tabelle1!$DX$3</f>
        <v>1.8945634156073341E-2</v>
      </c>
      <c r="O80" s="24">
        <f t="shared" si="15"/>
        <v>2.158194442773631E-2</v>
      </c>
      <c r="P80" s="25">
        <f t="shared" si="16"/>
        <v>130043.61402212267</v>
      </c>
    </row>
    <row r="81" spans="1:16" x14ac:dyDescent="0.45">
      <c r="A81" s="16" t="s">
        <v>47</v>
      </c>
      <c r="B81" s="43">
        <f>B76/B78</f>
        <v>709059.4512195125</v>
      </c>
      <c r="C81" s="17" t="s">
        <v>8</v>
      </c>
      <c r="D81" s="17"/>
      <c r="E81" s="17"/>
      <c r="F81" s="17"/>
      <c r="G81" s="17">
        <v>2016</v>
      </c>
      <c r="H81" s="39">
        <v>500000</v>
      </c>
      <c r="I81" s="43">
        <f t="shared" si="19"/>
        <v>3448591.0981691261</v>
      </c>
      <c r="J81" s="39">
        <f t="shared" si="17"/>
        <v>15750000</v>
      </c>
      <c r="K81" s="39">
        <f t="shared" si="18"/>
        <v>56556894.00997366</v>
      </c>
      <c r="L81" s="17"/>
      <c r="M81" s="41">
        <v>528</v>
      </c>
      <c r="N81" s="42">
        <f>[8]Tabelle1!$EO$3</f>
        <v>2.3028123938077776E-2</v>
      </c>
      <c r="O81" s="24">
        <f t="shared" si="15"/>
        <v>2.6232518110105053E-2</v>
      </c>
      <c r="P81" s="25">
        <f t="shared" si="16"/>
        <v>158065.99221684015</v>
      </c>
    </row>
    <row r="82" spans="1:16" x14ac:dyDescent="0.45">
      <c r="A82" s="16" t="s">
        <v>48</v>
      </c>
      <c r="B82" s="43">
        <f>B77/B79</f>
        <v>102804.22222222223</v>
      </c>
      <c r="C82" s="17" t="s">
        <v>8</v>
      </c>
      <c r="D82" s="17"/>
      <c r="E82" s="17"/>
      <c r="F82" s="17"/>
      <c r="G82" s="17">
        <v>2017</v>
      </c>
      <c r="H82" s="39">
        <f>H81-((H81-H85)/4)</f>
        <v>375000</v>
      </c>
      <c r="I82" s="43">
        <f t="shared" si="19"/>
        <v>2586443.3236268447</v>
      </c>
      <c r="J82" s="39">
        <f t="shared" si="17"/>
        <v>11812500</v>
      </c>
      <c r="K82" s="39">
        <f t="shared" si="18"/>
        <v>42417670.507480249</v>
      </c>
      <c r="L82" s="17"/>
      <c r="M82" s="41">
        <v>616</v>
      </c>
      <c r="N82" s="42">
        <f>[8]Tabelle1!$FO$3</f>
        <v>1.6687800852739521E-2</v>
      </c>
      <c r="O82" s="24">
        <f t="shared" si="15"/>
        <v>1.9009930607654067E-2</v>
      </c>
      <c r="P82" s="25">
        <f t="shared" si="16"/>
        <v>114545.75313204981</v>
      </c>
    </row>
    <row r="83" spans="1:16" x14ac:dyDescent="0.45">
      <c r="A83" s="16" t="s">
        <v>40</v>
      </c>
      <c r="B83" s="43">
        <f>B81+B82</f>
        <v>811863.67344173475</v>
      </c>
      <c r="C83" s="17" t="s">
        <v>8</v>
      </c>
      <c r="D83" s="17"/>
      <c r="E83" s="17"/>
      <c r="F83" s="17"/>
      <c r="G83" s="17">
        <v>2018</v>
      </c>
      <c r="H83" s="39">
        <f>H82-((H81-H85)/3)</f>
        <v>208333.33333333334</v>
      </c>
      <c r="I83" s="43">
        <f t="shared" si="19"/>
        <v>1436912.9575704692</v>
      </c>
      <c r="J83" s="39">
        <f t="shared" si="17"/>
        <v>6562500</v>
      </c>
      <c r="K83" s="39">
        <f t="shared" si="18"/>
        <v>23565372.504155692</v>
      </c>
      <c r="L83" s="17"/>
      <c r="M83" s="41">
        <v>702</v>
      </c>
      <c r="N83" s="42">
        <f>[8]Tabelle1!$GL$3</f>
        <v>4.4021325752469843E-2</v>
      </c>
      <c r="O83" s="24">
        <f t="shared" si="15"/>
        <v>5.0146951967850698E-2</v>
      </c>
      <c r="P83" s="25">
        <f t="shared" si="16"/>
        <v>302164.19507188525</v>
      </c>
    </row>
    <row r="84" spans="1:16" ht="32" x14ac:dyDescent="0.45">
      <c r="A84" s="16" t="s">
        <v>50</v>
      </c>
      <c r="B84" s="24">
        <f>B81/(B81+B82)</f>
        <v>0.87337255553459592</v>
      </c>
      <c r="C84" s="17"/>
      <c r="D84" s="17"/>
      <c r="E84" s="17"/>
      <c r="F84" s="17"/>
      <c r="G84" s="17">
        <v>2019</v>
      </c>
      <c r="H84" s="39">
        <f>H83-((H81-H85)/3)</f>
        <v>41666.666666666686</v>
      </c>
      <c r="I84" s="43">
        <f t="shared" si="19"/>
        <v>287382.59151409398</v>
      </c>
      <c r="J84" s="39">
        <f>H84*$B$79</f>
        <v>1312500.0000000007</v>
      </c>
      <c r="K84" s="39">
        <f>I84*$B$78</f>
        <v>4713074.5008311411</v>
      </c>
      <c r="L84" s="17"/>
      <c r="M84" s="41">
        <v>704</v>
      </c>
      <c r="N84" s="42">
        <f>[8]Tabelle1!$GN$3</f>
        <v>4.5408029699248828E-2</v>
      </c>
      <c r="O84" s="24">
        <f t="shared" si="15"/>
        <v>5.1726617619080054E-2</v>
      </c>
      <c r="P84" s="25">
        <f t="shared" si="16"/>
        <v>311682.58813977166</v>
      </c>
    </row>
    <row r="85" spans="1:16" ht="32" x14ac:dyDescent="0.45">
      <c r="A85" s="16" t="s">
        <v>51</v>
      </c>
      <c r="B85" s="24">
        <f>B82/(B81+B82)</f>
        <v>0.12662744446540411</v>
      </c>
      <c r="C85" s="17"/>
      <c r="D85" s="17"/>
      <c r="E85" s="17"/>
      <c r="F85" s="17"/>
      <c r="G85" s="17"/>
      <c r="H85" s="39"/>
      <c r="I85" s="43"/>
      <c r="J85" s="39"/>
      <c r="K85" s="39"/>
      <c r="L85" s="17"/>
      <c r="M85" s="41">
        <v>710</v>
      </c>
      <c r="N85" s="42">
        <f>[8]Tabelle1!$GQ$3</f>
        <v>4.8082560274133664E-2</v>
      </c>
      <c r="O85" s="24">
        <f t="shared" si="15"/>
        <v>5.4773312692041894E-2</v>
      </c>
      <c r="P85" s="25">
        <f t="shared" si="16"/>
        <v>330040.67628321837</v>
      </c>
    </row>
    <row r="86" spans="1:16" x14ac:dyDescent="0.45">
      <c r="A86" s="16" t="s">
        <v>96</v>
      </c>
      <c r="B86" s="62">
        <f>J84+K84</f>
        <v>6025574.5008311421</v>
      </c>
      <c r="C86" s="17" t="s">
        <v>11</v>
      </c>
      <c r="D86" s="17"/>
      <c r="E86" s="17"/>
      <c r="F86" s="17"/>
      <c r="G86" s="17"/>
      <c r="H86" s="39"/>
      <c r="I86" s="43"/>
      <c r="J86" s="39"/>
      <c r="K86" s="39"/>
      <c r="L86" s="17"/>
      <c r="M86" s="41">
        <v>764</v>
      </c>
      <c r="N86" s="42">
        <f>[8]Tabelle1!$HC$3</f>
        <v>4.1833311943546031E-2</v>
      </c>
      <c r="O86" s="24">
        <f t="shared" si="15"/>
        <v>4.7654473117984611E-2</v>
      </c>
      <c r="P86" s="25">
        <f t="shared" si="16"/>
        <v>287145.57807027118</v>
      </c>
    </row>
    <row r="87" spans="1:16" x14ac:dyDescent="0.45">
      <c r="A87" s="16" t="s">
        <v>57</v>
      </c>
      <c r="B87" s="23">
        <f>SUM(J76:J84)+SUM(K76:K84)</f>
        <v>9490279838.8090439</v>
      </c>
      <c r="C87" s="63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41">
        <v>784</v>
      </c>
      <c r="N87" s="42">
        <f>[8]Tabelle1!$HH$3</f>
        <v>6.5962740873892534E-2</v>
      </c>
      <c r="O87" s="24">
        <f t="shared" si="15"/>
        <v>7.5141544279485564E-2</v>
      </c>
      <c r="P87" s="25">
        <f t="shared" si="16"/>
        <v>452770.9731635424</v>
      </c>
    </row>
    <row r="88" spans="1:16" x14ac:dyDescent="0.45">
      <c r="A88" s="1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41">
        <v>826</v>
      </c>
      <c r="N88" s="42">
        <f>[8]Tabelle1!$HR$3</f>
        <v>5.2230564687694304E-2</v>
      </c>
      <c r="O88" s="24">
        <f t="shared" si="15"/>
        <v>5.9498517454362972E-2</v>
      </c>
      <c r="P88" s="25">
        <f t="shared" si="16"/>
        <v>358512.74961026618</v>
      </c>
    </row>
    <row r="89" spans="1:16" x14ac:dyDescent="0.45">
      <c r="A89" s="15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41">
        <v>842</v>
      </c>
      <c r="N89" s="42">
        <f>[8]Tabelle1!$HT$3</f>
        <v>4.9897194493972785E-2</v>
      </c>
      <c r="O89" s="24">
        <f t="shared" si="15"/>
        <v>5.6840455684807965E-2</v>
      </c>
      <c r="P89" s="25">
        <f t="shared" si="16"/>
        <v>342496.40039000142</v>
      </c>
    </row>
    <row r="90" spans="1:16" x14ac:dyDescent="0.45">
      <c r="A90" s="5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 t="s">
        <v>86</v>
      </c>
      <c r="N90" s="56">
        <f>SUM(N74:N89)</f>
        <v>0.87784648966684942</v>
      </c>
      <c r="O90" s="45"/>
      <c r="P90" s="28"/>
    </row>
    <row r="91" spans="1:16" x14ac:dyDescent="0.45">
      <c r="A91" s="1" t="s">
        <v>792</v>
      </c>
    </row>
    <row r="92" spans="1:16" x14ac:dyDescent="0.45">
      <c r="A92" t="s">
        <v>776</v>
      </c>
    </row>
    <row r="93" spans="1:16" x14ac:dyDescent="0.45">
      <c r="A93" t="s">
        <v>777</v>
      </c>
    </row>
    <row r="94" spans="1:16" x14ac:dyDescent="0.45">
      <c r="A94" t="s">
        <v>778</v>
      </c>
    </row>
    <row r="95" spans="1:16" x14ac:dyDescent="0.45">
      <c r="A95" t="s">
        <v>779</v>
      </c>
    </row>
    <row r="96" spans="1:16" x14ac:dyDescent="0.45">
      <c r="A96" t="s">
        <v>780</v>
      </c>
    </row>
    <row r="97" spans="1:1" x14ac:dyDescent="0.45">
      <c r="A97" t="s">
        <v>781</v>
      </c>
    </row>
    <row r="98" spans="1:1" x14ac:dyDescent="0.45">
      <c r="A98" t="s">
        <v>782</v>
      </c>
    </row>
    <row r="99" spans="1:1" x14ac:dyDescent="0.45">
      <c r="A99" t="s">
        <v>783</v>
      </c>
    </row>
    <row r="100" spans="1:1" x14ac:dyDescent="0.45">
      <c r="A100" t="s">
        <v>784</v>
      </c>
    </row>
    <row r="101" spans="1:1" x14ac:dyDescent="0.45">
      <c r="A101" t="s">
        <v>785</v>
      </c>
    </row>
    <row r="102" spans="1:1" x14ac:dyDescent="0.45">
      <c r="A102" t="s">
        <v>786</v>
      </c>
    </row>
    <row r="103" spans="1:1" x14ac:dyDescent="0.45">
      <c r="A103" t="s">
        <v>787</v>
      </c>
    </row>
    <row r="104" spans="1:1" x14ac:dyDescent="0.45">
      <c r="A104" t="s">
        <v>788</v>
      </c>
    </row>
    <row r="105" spans="1:1" x14ac:dyDescent="0.45">
      <c r="A105" t="s">
        <v>789</v>
      </c>
    </row>
    <row r="106" spans="1:1" x14ac:dyDescent="0.45">
      <c r="A106" t="s">
        <v>790</v>
      </c>
    </row>
    <row r="107" spans="1:1" x14ac:dyDescent="0.45">
      <c r="A107" t="s">
        <v>791</v>
      </c>
    </row>
  </sheetData>
  <mergeCells count="3">
    <mergeCell ref="L44:O44"/>
    <mergeCell ref="Q44:T44"/>
    <mergeCell ref="F27:I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127" workbookViewId="0">
      <selection activeCell="C137" sqref="C137"/>
    </sheetView>
  </sheetViews>
  <sheetFormatPr baseColWidth="10" defaultRowHeight="16" x14ac:dyDescent="0.45"/>
  <cols>
    <col min="1" max="1" width="37" customWidth="1"/>
    <col min="2" max="2" width="15.81640625" customWidth="1"/>
    <col min="4" max="4" width="36.81640625" customWidth="1"/>
    <col min="6" max="6" width="17.7265625" customWidth="1"/>
    <col min="7" max="7" width="17.54296875" customWidth="1"/>
    <col min="8" max="8" width="18.1796875" customWidth="1"/>
    <col min="9" max="9" width="20.7265625" customWidth="1"/>
  </cols>
  <sheetData>
    <row r="1" spans="1:9" ht="17.5" x14ac:dyDescent="0.45">
      <c r="A1" s="13" t="s">
        <v>218</v>
      </c>
    </row>
    <row r="3" spans="1:9" x14ac:dyDescent="0.45">
      <c r="A3" s="1" t="s">
        <v>118</v>
      </c>
    </row>
    <row r="4" spans="1:9" ht="44.25" customHeight="1" x14ac:dyDescent="0.45">
      <c r="A4" s="14" t="s">
        <v>1</v>
      </c>
      <c r="B4" s="5" t="s">
        <v>2</v>
      </c>
      <c r="C4" s="5" t="s">
        <v>119</v>
      </c>
      <c r="D4" s="5" t="s">
        <v>4</v>
      </c>
      <c r="E4" s="68"/>
      <c r="F4" s="36" t="s">
        <v>145</v>
      </c>
      <c r="G4" s="36"/>
      <c r="H4" s="36"/>
      <c r="I4" s="37"/>
    </row>
    <row r="5" spans="1:9" x14ac:dyDescent="0.45">
      <c r="A5" s="15" t="s">
        <v>120</v>
      </c>
      <c r="B5" s="31">
        <f>'[9]Weight%'!$B$22</f>
        <v>9.0964822084440164E-2</v>
      </c>
      <c r="C5" s="17" t="s">
        <v>803</v>
      </c>
      <c r="D5" s="57" t="s">
        <v>191</v>
      </c>
      <c r="E5" s="17"/>
      <c r="F5" s="19" t="s">
        <v>129</v>
      </c>
      <c r="G5" s="19" t="s">
        <v>130</v>
      </c>
      <c r="H5" s="19" t="s">
        <v>131</v>
      </c>
      <c r="I5" s="18" t="s">
        <v>144</v>
      </c>
    </row>
    <row r="6" spans="1:9" x14ac:dyDescent="0.45">
      <c r="A6" s="15" t="s">
        <v>121</v>
      </c>
      <c r="B6" s="31">
        <f>'[9]Weight%'!$B$34</f>
        <v>0.14000000000000001</v>
      </c>
      <c r="C6" s="17" t="s">
        <v>803</v>
      </c>
      <c r="D6" s="57"/>
      <c r="E6" s="17"/>
      <c r="F6" s="29" t="s">
        <v>132</v>
      </c>
      <c r="G6" s="29">
        <v>268000</v>
      </c>
      <c r="H6" s="64">
        <f>G6/$G$18</f>
        <v>0.71341106319544267</v>
      </c>
      <c r="I6" s="69">
        <f>$B$9*H6</f>
        <v>58466834.730598889</v>
      </c>
    </row>
    <row r="7" spans="1:9" x14ac:dyDescent="0.45">
      <c r="A7" s="16" t="s">
        <v>122</v>
      </c>
      <c r="B7" s="61">
        <f>data_1tier!B11*B5</f>
        <v>16414602.145137228</v>
      </c>
      <c r="C7" s="17" t="s">
        <v>11</v>
      </c>
      <c r="D7" s="17"/>
      <c r="E7" s="17"/>
      <c r="F7" s="29" t="s">
        <v>133</v>
      </c>
      <c r="G7" s="29">
        <v>1000</v>
      </c>
      <c r="H7" s="64">
        <f t="shared" ref="H7:H17" si="0">G7/$G$18</f>
        <v>2.6619815790874727E-3</v>
      </c>
      <c r="I7" s="69">
        <f t="shared" ref="I7:I17" si="1">$B$9*H7</f>
        <v>218159.83108432422</v>
      </c>
    </row>
    <row r="8" spans="1:9" x14ac:dyDescent="0.45">
      <c r="A8" s="16" t="s">
        <v>123</v>
      </c>
      <c r="B8" s="61">
        <f>B6*data_1tier!B19</f>
        <v>65539320.000000007</v>
      </c>
      <c r="C8" s="17" t="s">
        <v>11</v>
      </c>
      <c r="D8" s="17"/>
      <c r="E8" s="17"/>
      <c r="F8" s="29" t="s">
        <v>134</v>
      </c>
      <c r="G8" s="29">
        <v>300</v>
      </c>
      <c r="H8" s="64">
        <f t="shared" si="0"/>
        <v>7.9859447372624185E-4</v>
      </c>
      <c r="I8" s="69">
        <f t="shared" si="1"/>
        <v>65447.949325297268</v>
      </c>
    </row>
    <row r="9" spans="1:9" x14ac:dyDescent="0.45">
      <c r="A9" s="16" t="s">
        <v>128</v>
      </c>
      <c r="B9" s="61">
        <f>B7+B8</f>
        <v>81953922.145137236</v>
      </c>
      <c r="C9" s="17" t="s">
        <v>11</v>
      </c>
      <c r="D9" s="17"/>
      <c r="E9" s="17"/>
      <c r="F9" s="29" t="s">
        <v>135</v>
      </c>
      <c r="G9" s="29">
        <v>1600</v>
      </c>
      <c r="H9" s="64">
        <f t="shared" si="0"/>
        <v>4.2591705265399562E-3</v>
      </c>
      <c r="I9" s="69">
        <f t="shared" si="1"/>
        <v>349055.72973491874</v>
      </c>
    </row>
    <row r="10" spans="1:9" x14ac:dyDescent="0.45">
      <c r="A10" s="16" t="s">
        <v>125</v>
      </c>
      <c r="B10" s="70">
        <f>B5*data_1tier!B13</f>
        <v>41036505.362843066</v>
      </c>
      <c r="C10" s="17" t="s">
        <v>11</v>
      </c>
      <c r="D10" s="17"/>
      <c r="E10" s="17"/>
      <c r="F10" s="29" t="s">
        <v>136</v>
      </c>
      <c r="G10" s="29">
        <v>300</v>
      </c>
      <c r="H10" s="64">
        <f t="shared" si="0"/>
        <v>7.9859447372624185E-4</v>
      </c>
      <c r="I10" s="69">
        <f t="shared" si="1"/>
        <v>65447.949325297268</v>
      </c>
    </row>
    <row r="11" spans="1:9" x14ac:dyDescent="0.45">
      <c r="A11" s="16" t="s">
        <v>126</v>
      </c>
      <c r="B11" s="61">
        <f>B6*data_1tier!B21</f>
        <v>247382520.00000003</v>
      </c>
      <c r="C11" s="17" t="s">
        <v>11</v>
      </c>
      <c r="D11" s="17"/>
      <c r="E11" s="17"/>
      <c r="F11" s="29" t="s">
        <v>137</v>
      </c>
      <c r="G11" s="29">
        <v>14000</v>
      </c>
      <c r="H11" s="64">
        <f t="shared" si="0"/>
        <v>3.7267742107224618E-2</v>
      </c>
      <c r="I11" s="69">
        <f t="shared" si="1"/>
        <v>3054237.635180539</v>
      </c>
    </row>
    <row r="12" spans="1:9" x14ac:dyDescent="0.45">
      <c r="A12" s="16" t="s">
        <v>127</v>
      </c>
      <c r="B12" s="61">
        <f>B10+B11</f>
        <v>288419025.3628431</v>
      </c>
      <c r="C12" s="17" t="s">
        <v>11</v>
      </c>
      <c r="D12" s="17"/>
      <c r="E12" s="17"/>
      <c r="F12" s="29" t="s">
        <v>138</v>
      </c>
      <c r="G12" s="29">
        <v>27000</v>
      </c>
      <c r="H12" s="64">
        <f t="shared" si="0"/>
        <v>7.1873502635361769E-2</v>
      </c>
      <c r="I12" s="69">
        <f t="shared" si="1"/>
        <v>5890315.4392767539</v>
      </c>
    </row>
    <row r="13" spans="1:9" x14ac:dyDescent="0.45">
      <c r="A13" s="15"/>
      <c r="B13" s="17"/>
      <c r="C13" s="17"/>
      <c r="D13" s="17"/>
      <c r="E13" s="17"/>
      <c r="F13" s="29" t="s">
        <v>139</v>
      </c>
      <c r="G13" s="29">
        <v>6000</v>
      </c>
      <c r="H13" s="64">
        <f t="shared" si="0"/>
        <v>1.5971889474524836E-2</v>
      </c>
      <c r="I13" s="69">
        <f t="shared" si="1"/>
        <v>1308958.9865059452</v>
      </c>
    </row>
    <row r="14" spans="1:9" x14ac:dyDescent="0.45">
      <c r="A14" s="15"/>
      <c r="B14" s="17"/>
      <c r="C14" s="17"/>
      <c r="D14" s="17"/>
      <c r="E14" s="17"/>
      <c r="F14" s="29" t="s">
        <v>140</v>
      </c>
      <c r="G14" s="29">
        <v>18000</v>
      </c>
      <c r="H14" s="64">
        <f t="shared" si="0"/>
        <v>4.791566842357451E-2</v>
      </c>
      <c r="I14" s="69">
        <f t="shared" si="1"/>
        <v>3926876.9595178361</v>
      </c>
    </row>
    <row r="15" spans="1:9" x14ac:dyDescent="0.45">
      <c r="A15" s="15"/>
      <c r="B15" s="17"/>
      <c r="C15" s="17"/>
      <c r="D15" s="17"/>
      <c r="E15" s="17"/>
      <c r="F15" s="29" t="s">
        <v>141</v>
      </c>
      <c r="G15" s="29">
        <v>460</v>
      </c>
      <c r="H15" s="64">
        <f t="shared" si="0"/>
        <v>1.2245115263802375E-3</v>
      </c>
      <c r="I15" s="69">
        <f t="shared" si="1"/>
        <v>100353.52229878915</v>
      </c>
    </row>
    <row r="16" spans="1:9" x14ac:dyDescent="0.45">
      <c r="A16" s="15"/>
      <c r="B16" s="17"/>
      <c r="C16" s="17"/>
      <c r="D16" s="17"/>
      <c r="E16" s="17"/>
      <c r="F16" s="29" t="s">
        <v>142</v>
      </c>
      <c r="G16" s="29">
        <v>2000</v>
      </c>
      <c r="H16" s="64">
        <f t="shared" si="0"/>
        <v>5.3239631581749455E-3</v>
      </c>
      <c r="I16" s="69">
        <f t="shared" si="1"/>
        <v>436319.66216864844</v>
      </c>
    </row>
    <row r="17" spans="1:9" x14ac:dyDescent="0.45">
      <c r="A17" s="15"/>
      <c r="B17" s="17"/>
      <c r="C17" s="17"/>
      <c r="D17" s="17"/>
      <c r="E17" s="17"/>
      <c r="F17" s="29" t="s">
        <v>143</v>
      </c>
      <c r="G17" s="29">
        <v>37000</v>
      </c>
      <c r="H17" s="64">
        <f t="shared" si="0"/>
        <v>9.8493318426236487E-2</v>
      </c>
      <c r="I17" s="69">
        <f t="shared" si="1"/>
        <v>8071913.7501199953</v>
      </c>
    </row>
    <row r="18" spans="1:9" x14ac:dyDescent="0.45">
      <c r="A18" s="51"/>
      <c r="B18" s="45"/>
      <c r="C18" s="45"/>
      <c r="D18" s="45"/>
      <c r="E18" s="45"/>
      <c r="F18" s="71" t="s">
        <v>86</v>
      </c>
      <c r="G18" s="71">
        <f>SUM(G6:G17)</f>
        <v>375660</v>
      </c>
      <c r="H18" s="72"/>
      <c r="I18" s="73"/>
    </row>
    <row r="20" spans="1:9" x14ac:dyDescent="0.45">
      <c r="A20" s="1" t="s">
        <v>146</v>
      </c>
    </row>
    <row r="21" spans="1:9" ht="32" x14ac:dyDescent="0.45">
      <c r="A21" s="14" t="s">
        <v>1</v>
      </c>
      <c r="B21" s="5" t="s">
        <v>2</v>
      </c>
      <c r="C21" s="5" t="s">
        <v>119</v>
      </c>
      <c r="D21" s="5" t="s">
        <v>4</v>
      </c>
      <c r="E21" s="5"/>
      <c r="F21" s="10" t="s">
        <v>85</v>
      </c>
      <c r="G21" s="10" t="s">
        <v>82</v>
      </c>
      <c r="H21" s="10" t="s">
        <v>83</v>
      </c>
      <c r="I21" s="11" t="s">
        <v>84</v>
      </c>
    </row>
    <row r="22" spans="1:9" ht="32" x14ac:dyDescent="0.45">
      <c r="A22" s="15" t="s">
        <v>147</v>
      </c>
      <c r="B22" s="31">
        <f>'[9]Weight%'!$B$24</f>
        <v>6.5871078061146338E-2</v>
      </c>
      <c r="C22" s="17" t="s">
        <v>803</v>
      </c>
      <c r="D22" s="48" t="s">
        <v>191</v>
      </c>
      <c r="E22" s="17"/>
      <c r="F22" s="41">
        <v>156</v>
      </c>
      <c r="G22" s="42">
        <f>[10]Tabelle1!$AT$3</f>
        <v>0.40094985325359683</v>
      </c>
      <c r="H22" s="24">
        <f>G22/$G$30</f>
        <v>0.41767968174696135</v>
      </c>
      <c r="I22" s="25">
        <f>H22*$B$23</f>
        <v>4964722.8206780022</v>
      </c>
    </row>
    <row r="23" spans="1:9" x14ac:dyDescent="0.45">
      <c r="A23" s="16" t="s">
        <v>148</v>
      </c>
      <c r="B23" s="23">
        <f>B22*data_1tier!B11</f>
        <v>11886436.036133857</v>
      </c>
      <c r="C23" s="17" t="s">
        <v>11</v>
      </c>
      <c r="D23" s="17"/>
      <c r="E23" s="17"/>
      <c r="F23" s="41">
        <v>251</v>
      </c>
      <c r="G23" s="42">
        <f>[10]Tabelle1!$BW$3</f>
        <v>1.6273010809380001E-2</v>
      </c>
      <c r="H23" s="24">
        <f t="shared" ref="H23:H29" si="2">G23/$G$30</f>
        <v>1.6952010134862736E-2</v>
      </c>
      <c r="I23" s="25">
        <f t="shared" ref="I23:I29" si="3">H23*$B$23</f>
        <v>201498.98415193878</v>
      </c>
    </row>
    <row r="24" spans="1:9" x14ac:dyDescent="0.45">
      <c r="A24" s="16" t="s">
        <v>149</v>
      </c>
      <c r="B24" s="23">
        <f>B22*data_1tier!B13</f>
        <v>29716090.090334643</v>
      </c>
      <c r="C24" s="17" t="s">
        <v>11</v>
      </c>
      <c r="D24" s="17"/>
      <c r="E24" s="17"/>
      <c r="F24" s="41">
        <v>276</v>
      </c>
      <c r="G24" s="42">
        <f>[10]Tabelle1!$CE$3</f>
        <v>5.8744095183365333E-2</v>
      </c>
      <c r="H24" s="24">
        <f t="shared" si="2"/>
        <v>6.1195221251726765E-2</v>
      </c>
      <c r="I24" s="25">
        <f t="shared" si="3"/>
        <v>727393.08312570944</v>
      </c>
    </row>
    <row r="25" spans="1:9" x14ac:dyDescent="0.45">
      <c r="A25" s="15"/>
      <c r="B25" s="17"/>
      <c r="C25" s="17"/>
      <c r="D25" s="17"/>
      <c r="E25" s="17"/>
      <c r="F25" s="41">
        <v>344</v>
      </c>
      <c r="G25" s="42">
        <f>[10]Tabelle1!$CT$3</f>
        <v>1.13904679976332E-2</v>
      </c>
      <c r="H25" s="24">
        <f t="shared" si="2"/>
        <v>1.186574083914496E-2</v>
      </c>
      <c r="I25" s="25">
        <f t="shared" si="3"/>
        <v>141041.36950583785</v>
      </c>
    </row>
    <row r="26" spans="1:9" x14ac:dyDescent="0.45">
      <c r="A26" s="15"/>
      <c r="B26" s="17"/>
      <c r="C26" s="17"/>
      <c r="D26" s="17"/>
      <c r="E26" s="17"/>
      <c r="F26" s="41">
        <v>348</v>
      </c>
      <c r="G26" s="42">
        <f>[10]Tabelle1!$CU$3</f>
        <v>8.094537230913576E-2</v>
      </c>
      <c r="H26" s="24">
        <f t="shared" si="2"/>
        <v>8.4322857511024238E-2</v>
      </c>
      <c r="I26" s="25">
        <f t="shared" si="3"/>
        <v>1002298.252188819</v>
      </c>
    </row>
    <row r="27" spans="1:9" x14ac:dyDescent="0.45">
      <c r="A27" s="15"/>
      <c r="B27" s="17"/>
      <c r="C27" s="17"/>
      <c r="D27" s="17"/>
      <c r="E27" s="17"/>
      <c r="F27" s="41">
        <v>392</v>
      </c>
      <c r="G27" s="42">
        <f>[10]Tabelle1!$DE$3</f>
        <v>0.36706359512649039</v>
      </c>
      <c r="H27" s="24">
        <f t="shared" si="2"/>
        <v>0.38237950294586526</v>
      </c>
      <c r="I27" s="25">
        <f t="shared" si="3"/>
        <v>4545129.5032946849</v>
      </c>
    </row>
    <row r="28" spans="1:9" x14ac:dyDescent="0.45">
      <c r="A28" s="15"/>
      <c r="B28" s="17"/>
      <c r="C28" s="17"/>
      <c r="D28" s="17"/>
      <c r="E28" s="17"/>
      <c r="F28" s="41">
        <v>528</v>
      </c>
      <c r="G28" s="42">
        <f>[10]Tabelle1!$EO$3</f>
        <v>1.1857777811234088E-2</v>
      </c>
      <c r="H28" s="24">
        <f t="shared" si="2"/>
        <v>1.2352549383001935E-2</v>
      </c>
      <c r="I28" s="25">
        <f t="shared" si="3"/>
        <v>146827.78812423724</v>
      </c>
    </row>
    <row r="29" spans="1:9" x14ac:dyDescent="0.45">
      <c r="A29" s="15"/>
      <c r="B29" s="17"/>
      <c r="C29" s="17"/>
      <c r="D29" s="17"/>
      <c r="E29" s="17"/>
      <c r="F29" s="41">
        <v>616</v>
      </c>
      <c r="G29" s="42">
        <f>[10]Tabelle1!$FO$3</f>
        <v>1.2721620363172993E-2</v>
      </c>
      <c r="H29" s="24">
        <f t="shared" si="2"/>
        <v>1.3252436187412651E-2</v>
      </c>
      <c r="I29" s="25">
        <f t="shared" si="3"/>
        <v>157524.23506462612</v>
      </c>
    </row>
    <row r="30" spans="1:9" x14ac:dyDescent="0.45">
      <c r="A30" s="51"/>
      <c r="B30" s="45"/>
      <c r="C30" s="45"/>
      <c r="D30" s="45"/>
      <c r="E30" s="45"/>
      <c r="F30" s="45" t="s">
        <v>86</v>
      </c>
      <c r="G30" s="56">
        <f>SUM(G22:G29)</f>
        <v>0.95994579285400872</v>
      </c>
      <c r="H30" s="45"/>
      <c r="I30" s="28"/>
    </row>
    <row r="32" spans="1:9" x14ac:dyDescent="0.45">
      <c r="A32" s="1" t="s">
        <v>150</v>
      </c>
    </row>
    <row r="33" spans="1:9" ht="32" x14ac:dyDescent="0.45">
      <c r="A33" s="14" t="s">
        <v>1</v>
      </c>
      <c r="B33" s="5" t="s">
        <v>2</v>
      </c>
      <c r="C33" s="5" t="s">
        <v>119</v>
      </c>
      <c r="D33" s="5" t="s">
        <v>4</v>
      </c>
      <c r="E33" s="5"/>
      <c r="F33" s="10" t="s">
        <v>85</v>
      </c>
      <c r="G33" s="10" t="s">
        <v>82</v>
      </c>
      <c r="H33" s="10" t="s">
        <v>83</v>
      </c>
      <c r="I33" s="11" t="s">
        <v>84</v>
      </c>
    </row>
    <row r="34" spans="1:9" ht="32" x14ac:dyDescent="0.45">
      <c r="A34" s="15" t="s">
        <v>151</v>
      </c>
      <c r="B34" s="31">
        <f>'[9]Weight%'!$B$23</f>
        <v>6.2734360058234614E-2</v>
      </c>
      <c r="C34" s="17" t="s">
        <v>803</v>
      </c>
      <c r="D34" s="48" t="s">
        <v>191</v>
      </c>
      <c r="E34" s="17"/>
      <c r="F34" s="41">
        <v>156</v>
      </c>
      <c r="G34" s="42">
        <f>[11]Tabelle1!$AT$3</f>
        <v>0.44122396181866075</v>
      </c>
      <c r="H34" s="24">
        <f>G34/$G$45</f>
        <v>0.47674845515633052</v>
      </c>
      <c r="I34" s="25">
        <f>H34*$B$35</f>
        <v>5396990.492896528</v>
      </c>
    </row>
    <row r="35" spans="1:9" x14ac:dyDescent="0.45">
      <c r="A35" s="16" t="s">
        <v>152</v>
      </c>
      <c r="B35" s="23">
        <f>B34*data_1tier!B11</f>
        <v>11320415.272508437</v>
      </c>
      <c r="C35" s="17" t="s">
        <v>11</v>
      </c>
      <c r="D35" s="17"/>
      <c r="E35" s="17"/>
      <c r="F35" s="41">
        <v>203</v>
      </c>
      <c r="G35" s="42">
        <f>[11]Tabelle1!$BG$3</f>
        <v>2.7811578696532228E-2</v>
      </c>
      <c r="H35" s="24">
        <f t="shared" ref="H35:H44" si="4">G35/$G$45</f>
        <v>3.005078673510447E-2</v>
      </c>
      <c r="I35" s="25">
        <f t="shared" ref="I35:I44" si="5">H35*$B$35</f>
        <v>340187.38510697056</v>
      </c>
    </row>
    <row r="36" spans="1:9" x14ac:dyDescent="0.45">
      <c r="A36" s="16" t="s">
        <v>153</v>
      </c>
      <c r="B36" s="23">
        <f>B34*data_1tier!B13</f>
        <v>28301038.181271091</v>
      </c>
      <c r="C36" s="17" t="s">
        <v>11</v>
      </c>
      <c r="D36" s="17"/>
      <c r="E36" s="17"/>
      <c r="F36" s="41">
        <v>251</v>
      </c>
      <c r="G36" s="42">
        <f>[11]Tabelle1!$BW$3</f>
        <v>3.6148319673047047E-2</v>
      </c>
      <c r="H36" s="24">
        <f t="shared" si="4"/>
        <v>3.9058748055268253E-2</v>
      </c>
      <c r="I36" s="25">
        <f t="shared" si="5"/>
        <v>442161.24800991791</v>
      </c>
    </row>
    <row r="37" spans="1:9" x14ac:dyDescent="0.45">
      <c r="A37" s="15"/>
      <c r="B37" s="17"/>
      <c r="C37" s="17"/>
      <c r="D37" s="17"/>
      <c r="E37" s="17"/>
      <c r="F37" s="41">
        <v>276</v>
      </c>
      <c r="G37" s="42">
        <f>[11]Tabelle1!$CE$3</f>
        <v>5.4790304080207526E-2</v>
      </c>
      <c r="H37" s="24">
        <f t="shared" si="4"/>
        <v>5.9201664207258343E-2</v>
      </c>
      <c r="I37" s="25">
        <f t="shared" si="5"/>
        <v>670187.42364976346</v>
      </c>
    </row>
    <row r="38" spans="1:9" x14ac:dyDescent="0.45">
      <c r="A38" s="15"/>
      <c r="B38" s="17"/>
      <c r="C38" s="17"/>
      <c r="D38" s="17"/>
      <c r="E38" s="17"/>
      <c r="F38" s="41">
        <v>344</v>
      </c>
      <c r="G38" s="42">
        <f>[11]Tabelle1!$CT$3</f>
        <v>2.6453674215668722E-2</v>
      </c>
      <c r="H38" s="24">
        <f t="shared" si="4"/>
        <v>2.8583552587545635E-2</v>
      </c>
      <c r="I38" s="25">
        <f t="shared" si="5"/>
        <v>323577.68525459967</v>
      </c>
    </row>
    <row r="39" spans="1:9" x14ac:dyDescent="0.45">
      <c r="A39" s="15"/>
      <c r="B39" s="17"/>
      <c r="C39" s="17"/>
      <c r="D39" s="17"/>
      <c r="E39" s="17"/>
      <c r="F39" s="41">
        <v>392</v>
      </c>
      <c r="G39" s="42">
        <f>[11]Tabelle1!$DE$3</f>
        <v>8.6805681977687704E-2</v>
      </c>
      <c r="H39" s="24">
        <f t="shared" si="4"/>
        <v>9.379471280542781E-2</v>
      </c>
      <c r="I39" s="25">
        <f t="shared" si="5"/>
        <v>1061795.0993231076</v>
      </c>
    </row>
    <row r="40" spans="1:9" x14ac:dyDescent="0.45">
      <c r="A40" s="15"/>
      <c r="B40" s="17"/>
      <c r="C40" s="17"/>
      <c r="D40" s="17"/>
      <c r="E40" s="17"/>
      <c r="F40" s="41">
        <v>528</v>
      </c>
      <c r="G40" s="42">
        <f>[11]Tabelle1!$EO$3</f>
        <v>1.0437997131929966E-2</v>
      </c>
      <c r="H40" s="24">
        <f t="shared" si="4"/>
        <v>1.1278397000612211E-2</v>
      </c>
      <c r="I40" s="25">
        <f t="shared" si="5"/>
        <v>127676.13765514382</v>
      </c>
    </row>
    <row r="41" spans="1:9" x14ac:dyDescent="0.45">
      <c r="A41" s="15"/>
      <c r="B41" s="17"/>
      <c r="C41" s="17"/>
      <c r="D41" s="17"/>
      <c r="E41" s="17"/>
      <c r="F41" s="41">
        <v>699</v>
      </c>
      <c r="G41" s="42">
        <f>[11]Tabelle1!$GK$3</f>
        <v>1.1856652242616327E-2</v>
      </c>
      <c r="H41" s="24">
        <f t="shared" si="4"/>
        <v>1.2811273024914187E-2</v>
      </c>
      <c r="I41" s="25">
        <f t="shared" si="5"/>
        <v>145028.93081151391</v>
      </c>
    </row>
    <row r="42" spans="1:9" x14ac:dyDescent="0.45">
      <c r="A42" s="15"/>
      <c r="B42" s="17"/>
      <c r="C42" s="17"/>
      <c r="D42" s="17"/>
      <c r="E42" s="17"/>
      <c r="F42" s="41">
        <v>702</v>
      </c>
      <c r="G42" s="42">
        <f>[11]Tabelle1!$GL$3</f>
        <v>5.6465081711872707E-2</v>
      </c>
      <c r="H42" s="24">
        <f t="shared" si="4"/>
        <v>6.1011284077710684E-2</v>
      </c>
      <c r="I42" s="25">
        <f t="shared" si="5"/>
        <v>690673.07206866681</v>
      </c>
    </row>
    <row r="43" spans="1:9" x14ac:dyDescent="0.45">
      <c r="A43" s="15"/>
      <c r="B43" s="17"/>
      <c r="C43" s="17"/>
      <c r="D43" s="17"/>
      <c r="E43" s="17"/>
      <c r="F43" s="41">
        <v>752</v>
      </c>
      <c r="G43" s="42">
        <f>[11]Tabelle1!$GY$3</f>
        <v>0.15417018939758226</v>
      </c>
      <c r="H43" s="24">
        <f t="shared" si="4"/>
        <v>0.16658297369775274</v>
      </c>
      <c r="I43" s="25">
        <f t="shared" si="5"/>
        <v>1885788.4395879114</v>
      </c>
    </row>
    <row r="44" spans="1:9" x14ac:dyDescent="0.45">
      <c r="A44" s="15"/>
      <c r="B44" s="17"/>
      <c r="C44" s="17"/>
      <c r="D44" s="17"/>
      <c r="E44" s="17"/>
      <c r="F44" s="41">
        <v>842</v>
      </c>
      <c r="G44" s="42">
        <f>[11]Tabelle1!$HT$3</f>
        <v>1.9322435403765856E-2</v>
      </c>
      <c r="H44" s="24">
        <f t="shared" si="4"/>
        <v>2.087815265207511E-2</v>
      </c>
      <c r="I44" s="25">
        <f t="shared" si="5"/>
        <v>236349.35814431359</v>
      </c>
    </row>
    <row r="45" spans="1:9" x14ac:dyDescent="0.45">
      <c r="A45" s="51"/>
      <c r="B45" s="45"/>
      <c r="C45" s="45"/>
      <c r="D45" s="45"/>
      <c r="E45" s="45"/>
      <c r="F45" s="45" t="s">
        <v>86</v>
      </c>
      <c r="G45" s="56">
        <f>SUM(G34:G44)</f>
        <v>0.92548587634957113</v>
      </c>
      <c r="H45" s="45"/>
      <c r="I45" s="28"/>
    </row>
    <row r="47" spans="1:9" x14ac:dyDescent="0.45">
      <c r="A47" s="1" t="s">
        <v>154</v>
      </c>
    </row>
    <row r="48" spans="1:9" ht="32" x14ac:dyDescent="0.45">
      <c r="A48" s="14" t="s">
        <v>1</v>
      </c>
      <c r="B48" s="5" t="s">
        <v>2</v>
      </c>
      <c r="C48" s="5" t="s">
        <v>119</v>
      </c>
      <c r="D48" s="5" t="s">
        <v>4</v>
      </c>
      <c r="E48" s="5"/>
      <c r="F48" s="10" t="s">
        <v>85</v>
      </c>
      <c r="G48" s="10" t="s">
        <v>82</v>
      </c>
      <c r="H48" s="10" t="s">
        <v>83</v>
      </c>
      <c r="I48" s="11" t="s">
        <v>84</v>
      </c>
    </row>
    <row r="49" spans="1:9" x14ac:dyDescent="0.45">
      <c r="A49" s="15" t="s">
        <v>155</v>
      </c>
      <c r="B49" s="31">
        <f>'[9]Weight%'!$B$36</f>
        <v>0.04</v>
      </c>
      <c r="C49" s="17" t="s">
        <v>803</v>
      </c>
      <c r="D49" s="66" t="s">
        <v>191</v>
      </c>
      <c r="E49" s="17"/>
      <c r="F49" s="41">
        <v>156</v>
      </c>
      <c r="G49" s="42">
        <f>[12]Tabelle1!$AT$3</f>
        <v>0.24409178196268835</v>
      </c>
      <c r="H49" s="24">
        <f>G49/$G$64</f>
        <v>0.25985792867984242</v>
      </c>
      <c r="I49" s="25">
        <f>H49*$B$53</f>
        <v>23866847.765590176</v>
      </c>
    </row>
    <row r="50" spans="1:9" x14ac:dyDescent="0.45">
      <c r="A50" s="15" t="s">
        <v>156</v>
      </c>
      <c r="B50" s="31">
        <f>'[9]Weight%'!$B$46</f>
        <v>0.10424879544459045</v>
      </c>
      <c r="C50" s="17" t="s">
        <v>803</v>
      </c>
      <c r="D50" s="66"/>
      <c r="E50" s="17"/>
      <c r="F50" s="41">
        <v>203</v>
      </c>
      <c r="G50" s="42">
        <f>[12]Tabelle1!$BG$3</f>
        <v>7.0480110864153483E-2</v>
      </c>
      <c r="H50" s="24">
        <f t="shared" ref="H50:H63" si="6">G50/$G$64</f>
        <v>7.5032495871098892E-2</v>
      </c>
      <c r="I50" s="25">
        <f t="shared" ref="I50:I63" si="7">H50*$B$53</f>
        <v>6891416.2655168772</v>
      </c>
    </row>
    <row r="51" spans="1:9" x14ac:dyDescent="0.45">
      <c r="A51" s="15" t="s">
        <v>157</v>
      </c>
      <c r="B51" s="23">
        <f>B49*data_1tier!B19</f>
        <v>18725520</v>
      </c>
      <c r="C51" s="17" t="s">
        <v>11</v>
      </c>
      <c r="D51" s="17"/>
      <c r="E51" s="17"/>
      <c r="F51" s="41">
        <v>276</v>
      </c>
      <c r="G51" s="42">
        <f>[12]Tabelle1!$CE$3</f>
        <v>5.7484327432491489E-2</v>
      </c>
      <c r="H51" s="24">
        <f t="shared" si="6"/>
        <v>6.119730102361437E-2</v>
      </c>
      <c r="I51" s="25">
        <f t="shared" si="7"/>
        <v>5620712.3431477575</v>
      </c>
    </row>
    <row r="52" spans="1:9" x14ac:dyDescent="0.45">
      <c r="A52" s="15" t="s">
        <v>158</v>
      </c>
      <c r="B52" s="23">
        <f>B50*data_1tier!B32</f>
        <v>73120235.435830057</v>
      </c>
      <c r="C52" s="17" t="s">
        <v>11</v>
      </c>
      <c r="D52" s="17"/>
      <c r="E52" s="17"/>
      <c r="F52" s="41">
        <v>344</v>
      </c>
      <c r="G52" s="42">
        <f>[12]Tabelle1!$CT$3</f>
        <v>1.0573142674205276E-2</v>
      </c>
      <c r="H52" s="24">
        <f t="shared" si="6"/>
        <v>1.1256073157659259E-2</v>
      </c>
      <c r="I52" s="25">
        <f t="shared" si="7"/>
        <v>1033822.5424061837</v>
      </c>
    </row>
    <row r="53" spans="1:9" x14ac:dyDescent="0.45">
      <c r="A53" s="15" t="s">
        <v>161</v>
      </c>
      <c r="B53" s="23">
        <f>SUM(B51:B52)</f>
        <v>91845755.435830057</v>
      </c>
      <c r="C53" s="17" t="s">
        <v>11</v>
      </c>
      <c r="D53" s="17"/>
      <c r="E53" s="17"/>
      <c r="F53" s="41">
        <v>348</v>
      </c>
      <c r="G53" s="42">
        <f>[12]Tabelle1!$CU$3</f>
        <v>1.7852708933608529E-2</v>
      </c>
      <c r="H53" s="24">
        <f t="shared" si="6"/>
        <v>1.9005834311622873E-2</v>
      </c>
      <c r="I53" s="25">
        <f t="shared" si="7"/>
        <v>1745605.2100392219</v>
      </c>
    </row>
    <row r="54" spans="1:9" x14ac:dyDescent="0.45">
      <c r="A54" s="15" t="s">
        <v>159</v>
      </c>
      <c r="B54" s="23">
        <f>B49*data_1tier!B21</f>
        <v>70680720</v>
      </c>
      <c r="C54" s="17" t="s">
        <v>11</v>
      </c>
      <c r="D54" s="17"/>
      <c r="E54" s="17"/>
      <c r="F54" s="41">
        <v>372</v>
      </c>
      <c r="G54" s="42">
        <f>[12]Tabelle1!$CZ$3</f>
        <v>1.0434695101173161E-2</v>
      </c>
      <c r="H54" s="24">
        <f t="shared" si="6"/>
        <v>1.1108683109253713E-2</v>
      </c>
      <c r="I54" s="25">
        <f t="shared" si="7"/>
        <v>1020285.3920666528</v>
      </c>
    </row>
    <row r="55" spans="1:9" x14ac:dyDescent="0.45">
      <c r="A55" s="15" t="s">
        <v>160</v>
      </c>
      <c r="B55" s="23">
        <f>B50*data_1tier!B32</f>
        <v>73120235.435830057</v>
      </c>
      <c r="C55" s="17" t="s">
        <v>11</v>
      </c>
      <c r="D55" s="17"/>
      <c r="E55" s="17"/>
      <c r="F55" s="41">
        <v>381</v>
      </c>
      <c r="G55" s="42">
        <f>[12]Tabelle1!$DB$3</f>
        <v>1.1820297146176001E-2</v>
      </c>
      <c r="H55" s="24">
        <f t="shared" si="6"/>
        <v>1.2583782657849046E-2</v>
      </c>
      <c r="I55" s="25">
        <f t="shared" si="7"/>
        <v>1155767.024450443</v>
      </c>
    </row>
    <row r="56" spans="1:9" x14ac:dyDescent="0.45">
      <c r="A56" s="15" t="s">
        <v>162</v>
      </c>
      <c r="B56" s="23">
        <f>SUM(B54:B55)</f>
        <v>143800955.43583006</v>
      </c>
      <c r="C56" s="17" t="s">
        <v>11</v>
      </c>
      <c r="D56" s="17"/>
      <c r="E56" s="17"/>
      <c r="F56" s="41">
        <v>458</v>
      </c>
      <c r="G56" s="42">
        <f>[12]Tabelle1!$DX$3</f>
        <v>1.5389747731143738E-2</v>
      </c>
      <c r="H56" s="24">
        <f t="shared" si="6"/>
        <v>1.6383787836542658E-2</v>
      </c>
      <c r="I56" s="25">
        <f t="shared" si="7"/>
        <v>1504781.3707476242</v>
      </c>
    </row>
    <row r="57" spans="1:9" x14ac:dyDescent="0.45">
      <c r="A57" s="15"/>
      <c r="B57" s="17"/>
      <c r="C57" s="17"/>
      <c r="D57" s="17"/>
      <c r="E57" s="17"/>
      <c r="F57" s="41">
        <v>484</v>
      </c>
      <c r="G57" s="42">
        <f>[12]Tabelle1!$ED$3</f>
        <v>0.28939712018730296</v>
      </c>
      <c r="H57" s="24">
        <f t="shared" si="6"/>
        <v>0.30808958668374703</v>
      </c>
      <c r="I57" s="25">
        <f t="shared" si="7"/>
        <v>28296720.830881394</v>
      </c>
    </row>
    <row r="58" spans="1:9" x14ac:dyDescent="0.45">
      <c r="A58" s="15"/>
      <c r="B58" s="17"/>
      <c r="C58" s="17"/>
      <c r="D58" s="17"/>
      <c r="E58" s="17"/>
      <c r="F58" s="41">
        <v>528</v>
      </c>
      <c r="G58" s="42">
        <f>[12]Tabelle1!$EO$3</f>
        <v>4.2137987383001327E-2</v>
      </c>
      <c r="H58" s="24">
        <f t="shared" si="6"/>
        <v>4.4859724616856819E-2</v>
      </c>
      <c r="I58" s="25">
        <f t="shared" si="7"/>
        <v>4120175.2960785166</v>
      </c>
    </row>
    <row r="59" spans="1:9" x14ac:dyDescent="0.45">
      <c r="A59" s="15"/>
      <c r="B59" s="17"/>
      <c r="C59" s="17"/>
      <c r="D59" s="17"/>
      <c r="E59" s="17"/>
      <c r="F59" s="41">
        <v>616</v>
      </c>
      <c r="G59" s="42">
        <f>[12]Tabelle1!$FO$3</f>
        <v>1.7379907959779027E-2</v>
      </c>
      <c r="H59" s="24">
        <f t="shared" si="6"/>
        <v>1.8502494622145219E-2</v>
      </c>
      <c r="I59" s="25">
        <f t="shared" si="7"/>
        <v>1699375.5960183106</v>
      </c>
    </row>
    <row r="60" spans="1:9" x14ac:dyDescent="0.45">
      <c r="A60" s="15"/>
      <c r="B60" s="17"/>
      <c r="C60" s="17"/>
      <c r="D60" s="17"/>
      <c r="E60" s="17"/>
      <c r="F60" s="41">
        <v>702</v>
      </c>
      <c r="G60" s="42">
        <f>[12]Tabelle1!$GL$3</f>
        <v>2.4891738133111376E-2</v>
      </c>
      <c r="H60" s="24">
        <f t="shared" si="6"/>
        <v>2.649952186223177E-2</v>
      </c>
      <c r="I60" s="25">
        <f t="shared" si="7"/>
        <v>2433868.6041249712</v>
      </c>
    </row>
    <row r="61" spans="1:9" x14ac:dyDescent="0.45">
      <c r="A61" s="15"/>
      <c r="B61" s="17"/>
      <c r="C61" s="17"/>
      <c r="D61" s="17"/>
      <c r="E61" s="17"/>
      <c r="F61" s="41">
        <v>784</v>
      </c>
      <c r="G61" s="42">
        <f>[12]Tabelle1!$HH$3</f>
        <v>1.3210809599071704E-2</v>
      </c>
      <c r="H61" s="24">
        <f t="shared" si="6"/>
        <v>1.4064109782783706E-2</v>
      </c>
      <c r="I61" s="25">
        <f t="shared" si="7"/>
        <v>1291728.7875322173</v>
      </c>
    </row>
    <row r="62" spans="1:9" x14ac:dyDescent="0.45">
      <c r="A62" s="15"/>
      <c r="B62" s="17"/>
      <c r="C62" s="17"/>
      <c r="D62" s="17"/>
      <c r="E62" s="17"/>
      <c r="F62" s="41">
        <v>826</v>
      </c>
      <c r="G62" s="42">
        <f>[12]Tabelle1!$HR$3</f>
        <v>3.5223600973945106E-2</v>
      </c>
      <c r="H62" s="24">
        <f t="shared" si="6"/>
        <v>3.7498730666539998E-2</v>
      </c>
      <c r="I62" s="25">
        <f t="shared" si="7"/>
        <v>3444099.2459530933</v>
      </c>
    </row>
    <row r="63" spans="1:9" x14ac:dyDescent="0.45">
      <c r="A63" s="15"/>
      <c r="B63" s="17"/>
      <c r="C63" s="17"/>
      <c r="D63" s="17"/>
      <c r="E63" s="17"/>
      <c r="F63" s="41">
        <v>842</v>
      </c>
      <c r="G63" s="42">
        <f>[12]Tabelle1!$HT$3</f>
        <v>7.8959845096240197E-2</v>
      </c>
      <c r="H63" s="24">
        <f t="shared" si="6"/>
        <v>8.4059945118212159E-2</v>
      </c>
      <c r="I63" s="25">
        <f t="shared" si="7"/>
        <v>7720549.1612766106</v>
      </c>
    </row>
    <row r="64" spans="1:9" x14ac:dyDescent="0.45">
      <c r="A64" s="51"/>
      <c r="B64" s="45"/>
      <c r="C64" s="45"/>
      <c r="D64" s="45"/>
      <c r="E64" s="45"/>
      <c r="F64" s="45" t="s">
        <v>86</v>
      </c>
      <c r="G64" s="56">
        <f>SUM(G49:G63)</f>
        <v>0.93932782117809177</v>
      </c>
      <c r="H64" s="45"/>
      <c r="I64" s="28"/>
    </row>
    <row r="66" spans="1:9" x14ac:dyDescent="0.45">
      <c r="A66" s="1" t="s">
        <v>163</v>
      </c>
    </row>
    <row r="67" spans="1:9" ht="32" x14ac:dyDescent="0.45">
      <c r="A67" s="14" t="s">
        <v>1</v>
      </c>
      <c r="B67" s="5" t="s">
        <v>2</v>
      </c>
      <c r="C67" s="5" t="s">
        <v>119</v>
      </c>
      <c r="D67" s="5" t="s">
        <v>4</v>
      </c>
      <c r="E67" s="5"/>
      <c r="F67" s="10" t="s">
        <v>85</v>
      </c>
      <c r="G67" s="10" t="s">
        <v>82</v>
      </c>
      <c r="H67" s="10" t="s">
        <v>83</v>
      </c>
      <c r="I67" s="11" t="s">
        <v>84</v>
      </c>
    </row>
    <row r="68" spans="1:9" x14ac:dyDescent="0.45">
      <c r="A68" s="15" t="s">
        <v>164</v>
      </c>
      <c r="B68" s="31">
        <f>'[9]Weight%'!$B$37</f>
        <v>0.16999999999999998</v>
      </c>
      <c r="C68" s="17" t="s">
        <v>803</v>
      </c>
      <c r="D68" s="66" t="s">
        <v>191</v>
      </c>
      <c r="E68" s="17"/>
      <c r="F68" s="41">
        <v>156</v>
      </c>
      <c r="G68" s="42">
        <f>[13]Tabelle1!$AT$3</f>
        <v>0.23069964422959144</v>
      </c>
      <c r="H68" s="24">
        <f>G68/$G$84</f>
        <v>0.24505037468059465</v>
      </c>
      <c r="I68" s="25">
        <f>H68*$B$72</f>
        <v>35688512.718314849</v>
      </c>
    </row>
    <row r="69" spans="1:9" x14ac:dyDescent="0.45">
      <c r="A69" s="15" t="s">
        <v>165</v>
      </c>
      <c r="B69" s="31">
        <f>'[9]Weight%'!$B$45</f>
        <v>9.4174332019272916E-2</v>
      </c>
      <c r="C69" s="17" t="s">
        <v>803</v>
      </c>
      <c r="D69" s="66"/>
      <c r="E69" s="17"/>
      <c r="F69" s="41">
        <v>203</v>
      </c>
      <c r="G69" s="42">
        <f>[13]Tabelle1!$BG$3</f>
        <v>1.8202744431903312E-2</v>
      </c>
      <c r="H69" s="24">
        <f t="shared" ref="H69:H83" si="8">G69/$G$84</f>
        <v>1.9335050810975037E-2</v>
      </c>
      <c r="I69" s="25">
        <f t="shared" ref="I69:I83" si="9">H69*$B$72</f>
        <v>2815907.5768652153</v>
      </c>
    </row>
    <row r="70" spans="1:9" x14ac:dyDescent="0.45">
      <c r="A70" s="15" t="s">
        <v>166</v>
      </c>
      <c r="B70" s="61">
        <f>B68*data_1tier!B19</f>
        <v>79583460</v>
      </c>
      <c r="C70" s="17" t="s">
        <v>11</v>
      </c>
      <c r="D70" s="17"/>
      <c r="E70" s="17"/>
      <c r="F70" s="41">
        <v>276</v>
      </c>
      <c r="G70" s="42">
        <f>[13]Tabelle1!$CE$3</f>
        <v>4.2309847630759838E-2</v>
      </c>
      <c r="H70" s="24">
        <f t="shared" si="8"/>
        <v>4.4941742538095679E-2</v>
      </c>
      <c r="I70" s="25">
        <f t="shared" si="9"/>
        <v>6545200.9703908069</v>
      </c>
    </row>
    <row r="71" spans="1:9" x14ac:dyDescent="0.45">
      <c r="A71" s="15" t="s">
        <v>167</v>
      </c>
      <c r="B71" s="61">
        <f>B69*data_1tier!B32</f>
        <v>66053994.196233049</v>
      </c>
      <c r="C71" s="17" t="s">
        <v>11</v>
      </c>
      <c r="D71" s="17"/>
      <c r="E71" s="17"/>
      <c r="F71" s="41">
        <v>348</v>
      </c>
      <c r="G71" s="42">
        <f>[13]Tabelle1!$CU$3</f>
        <v>1.0924480778584905E-2</v>
      </c>
      <c r="H71" s="24">
        <f t="shared" si="8"/>
        <v>1.1604040903153699E-2</v>
      </c>
      <c r="I71" s="25">
        <f t="shared" si="9"/>
        <v>1689982.9755242614</v>
      </c>
    </row>
    <row r="72" spans="1:9" x14ac:dyDescent="0.45">
      <c r="A72" s="15" t="s">
        <v>168</v>
      </c>
      <c r="B72" s="61">
        <f>SUM(B70:B71)</f>
        <v>145637454.19623303</v>
      </c>
      <c r="C72" s="17" t="s">
        <v>11</v>
      </c>
      <c r="D72" s="17"/>
      <c r="E72" s="17"/>
      <c r="F72" s="41">
        <v>372</v>
      </c>
      <c r="G72" s="42">
        <f>[13]Tabelle1!$CZ$3</f>
        <v>2.7853384504587648E-2</v>
      </c>
      <c r="H72" s="24">
        <f t="shared" si="8"/>
        <v>2.9586011420889655E-2</v>
      </c>
      <c r="I72" s="25">
        <f t="shared" si="9"/>
        <v>4308831.3831590442</v>
      </c>
    </row>
    <row r="73" spans="1:9" x14ac:dyDescent="0.45">
      <c r="A73" s="15" t="s">
        <v>169</v>
      </c>
      <c r="B73" s="61">
        <f>B68*data_1tier!B21</f>
        <v>300393060</v>
      </c>
      <c r="C73" s="17" t="s">
        <v>11</v>
      </c>
      <c r="D73" s="17"/>
      <c r="E73" s="17"/>
      <c r="F73" s="41">
        <v>381</v>
      </c>
      <c r="G73" s="42">
        <f>[13]Tabelle1!$DB$3</f>
        <v>1.0292274501518154E-2</v>
      </c>
      <c r="H73" s="24">
        <f t="shared" si="8"/>
        <v>1.0932508072715291E-2</v>
      </c>
      <c r="I73" s="25">
        <f t="shared" si="9"/>
        <v>1592182.643690021</v>
      </c>
    </row>
    <row r="74" spans="1:9" x14ac:dyDescent="0.45">
      <c r="A74" s="15" t="s">
        <v>170</v>
      </c>
      <c r="B74" s="61">
        <f>B69*data_1tier!B34</f>
        <v>544945452.11892283</v>
      </c>
      <c r="C74" s="17" t="s">
        <v>11</v>
      </c>
      <c r="D74" s="17"/>
      <c r="E74" s="17"/>
      <c r="F74" s="41">
        <v>458</v>
      </c>
      <c r="G74" s="42">
        <f>[13]Tabelle1!$DX$3</f>
        <v>1.5944957409766512E-2</v>
      </c>
      <c r="H74" s="24">
        <f t="shared" si="8"/>
        <v>1.6936817568911633E-2</v>
      </c>
      <c r="I74" s="25">
        <f t="shared" si="9"/>
        <v>2466634.9929223228</v>
      </c>
    </row>
    <row r="75" spans="1:9" x14ac:dyDescent="0.45">
      <c r="A75" s="15" t="s">
        <v>171</v>
      </c>
      <c r="B75" s="61">
        <f>SUM(B73:B74)</f>
        <v>845338512.11892283</v>
      </c>
      <c r="C75" s="17" t="s">
        <v>11</v>
      </c>
      <c r="D75" s="17"/>
      <c r="E75" s="17"/>
      <c r="F75" s="41">
        <v>484</v>
      </c>
      <c r="G75" s="42">
        <f>[13]Tabelle1!$ED$3</f>
        <v>2.3997530486193522E-2</v>
      </c>
      <c r="H75" s="24">
        <f t="shared" si="8"/>
        <v>2.5490303015805089E-2</v>
      </c>
      <c r="I75" s="25">
        <f t="shared" si="9"/>
        <v>3712342.8379124142</v>
      </c>
    </row>
    <row r="76" spans="1:9" x14ac:dyDescent="0.45">
      <c r="A76" s="15"/>
      <c r="B76" s="17"/>
      <c r="C76" s="17"/>
      <c r="D76" s="17"/>
      <c r="E76" s="17"/>
      <c r="F76" s="41">
        <v>528</v>
      </c>
      <c r="G76" s="42">
        <f>[13]Tabelle1!$EO$3</f>
        <v>5.8453061010232038E-2</v>
      </c>
      <c r="H76" s="24">
        <f t="shared" si="8"/>
        <v>6.2089148640081485E-2</v>
      </c>
      <c r="I76" s="25">
        <f t="shared" si="9"/>
        <v>9042505.5411529709</v>
      </c>
    </row>
    <row r="77" spans="1:9" x14ac:dyDescent="0.45">
      <c r="A77" s="15"/>
      <c r="B77" s="17"/>
      <c r="C77" s="17"/>
      <c r="D77" s="17"/>
      <c r="E77" s="17"/>
      <c r="F77" s="41">
        <v>608</v>
      </c>
      <c r="G77" s="42">
        <f>[13]Tabelle1!$FM$3</f>
        <v>5.0673890150267999E-2</v>
      </c>
      <c r="H77" s="24">
        <f t="shared" si="8"/>
        <v>5.3826072464543823E-2</v>
      </c>
      <c r="I77" s="25">
        <f t="shared" si="9"/>
        <v>7839092.1631181212</v>
      </c>
    </row>
    <row r="78" spans="1:9" x14ac:dyDescent="0.45">
      <c r="A78" s="15"/>
      <c r="B78" s="17"/>
      <c r="C78" s="17"/>
      <c r="D78" s="17"/>
      <c r="E78" s="17"/>
      <c r="F78" s="41">
        <v>616</v>
      </c>
      <c r="G78" s="42">
        <f>[13]Tabelle1!$FO$3</f>
        <v>1.5217590158545295E-2</v>
      </c>
      <c r="H78" s="24">
        <f t="shared" si="8"/>
        <v>1.6164204251550952E-2</v>
      </c>
      <c r="I78" s="25">
        <f t="shared" si="9"/>
        <v>2354113.5563038071</v>
      </c>
    </row>
    <row r="79" spans="1:9" x14ac:dyDescent="0.45">
      <c r="A79" s="15"/>
      <c r="B79" s="17"/>
      <c r="C79" s="17"/>
      <c r="D79" s="17"/>
      <c r="E79" s="17"/>
      <c r="F79" s="41">
        <v>702</v>
      </c>
      <c r="G79" s="42">
        <f>[13]Tabelle1!$GL$3</f>
        <v>2.85814326253447E-2</v>
      </c>
      <c r="H79" s="24">
        <f t="shared" si="8"/>
        <v>3.0359347961450015E-2</v>
      </c>
      <c r="I79" s="25">
        <f t="shared" si="9"/>
        <v>4421458.1481631771</v>
      </c>
    </row>
    <row r="80" spans="1:9" x14ac:dyDescent="0.45">
      <c r="A80" s="15"/>
      <c r="B80" s="17"/>
      <c r="C80" s="17"/>
      <c r="D80" s="17"/>
      <c r="E80" s="17"/>
      <c r="F80" s="41">
        <v>764</v>
      </c>
      <c r="G80" s="42">
        <f>[13]Tabelle1!$HC$3</f>
        <v>0.28635238340414171</v>
      </c>
      <c r="H80" s="24">
        <f t="shared" si="8"/>
        <v>0.30416500674804914</v>
      </c>
      <c r="I80" s="25">
        <f t="shared" si="9"/>
        <v>44297817.238365918</v>
      </c>
    </row>
    <row r="81" spans="1:9" x14ac:dyDescent="0.45">
      <c r="A81" s="15"/>
      <c r="B81" s="17"/>
      <c r="C81" s="17"/>
      <c r="D81" s="17"/>
      <c r="E81" s="17"/>
      <c r="F81" s="41">
        <v>784</v>
      </c>
      <c r="G81" s="42">
        <f>[13]Tabelle1!$HH$3</f>
        <v>1.1476117493911017E-2</v>
      </c>
      <c r="H81" s="24">
        <f t="shared" si="8"/>
        <v>1.2189992321629694E-2</v>
      </c>
      <c r="I81" s="25">
        <f t="shared" si="9"/>
        <v>1775319.4483937768</v>
      </c>
    </row>
    <row r="82" spans="1:9" x14ac:dyDescent="0.45">
      <c r="A82" s="15"/>
      <c r="B82" s="17"/>
      <c r="C82" s="17"/>
      <c r="D82" s="17"/>
      <c r="E82" s="17"/>
      <c r="F82" s="41">
        <v>826</v>
      </c>
      <c r="G82" s="42">
        <f>[13]Tabelle1!$HR$3</f>
        <v>2.0436204552915956E-2</v>
      </c>
      <c r="H82" s="24">
        <f t="shared" si="8"/>
        <v>2.1707443890799788E-2</v>
      </c>
      <c r="I82" s="25">
        <f t="shared" si="9"/>
        <v>3161416.8653636528</v>
      </c>
    </row>
    <row r="83" spans="1:9" x14ac:dyDescent="0.45">
      <c r="A83" s="15"/>
      <c r="B83" s="17"/>
      <c r="C83" s="17"/>
      <c r="D83" s="17"/>
      <c r="E83" s="17"/>
      <c r="F83" s="41">
        <v>842</v>
      </c>
      <c r="G83" s="42">
        <f>[13]Tabelle1!$HT$3</f>
        <v>9.0022087691438171E-2</v>
      </c>
      <c r="H83" s="24">
        <f t="shared" si="8"/>
        <v>9.5621934710754447E-2</v>
      </c>
      <c r="I83" s="25">
        <f t="shared" si="9"/>
        <v>13926135.136592686</v>
      </c>
    </row>
    <row r="84" spans="1:9" x14ac:dyDescent="0.45">
      <c r="A84" s="51"/>
      <c r="B84" s="45"/>
      <c r="C84" s="45"/>
      <c r="D84" s="45"/>
      <c r="E84" s="45"/>
      <c r="F84" s="45" t="s">
        <v>86</v>
      </c>
      <c r="G84" s="56">
        <f>SUM(G68:G83)</f>
        <v>0.94143763105970213</v>
      </c>
      <c r="H84" s="45"/>
      <c r="I84" s="28"/>
    </row>
    <row r="86" spans="1:9" x14ac:dyDescent="0.45">
      <c r="A86" s="1" t="s">
        <v>172</v>
      </c>
    </row>
    <row r="87" spans="1:9" ht="32" x14ac:dyDescent="0.45">
      <c r="A87" s="14" t="s">
        <v>1</v>
      </c>
      <c r="B87" s="5" t="s">
        <v>2</v>
      </c>
      <c r="C87" s="5" t="s">
        <v>119</v>
      </c>
      <c r="D87" s="5" t="s">
        <v>4</v>
      </c>
      <c r="E87" s="5"/>
      <c r="F87" s="10" t="s">
        <v>85</v>
      </c>
      <c r="G87" s="10" t="s">
        <v>82</v>
      </c>
      <c r="H87" s="10" t="s">
        <v>83</v>
      </c>
      <c r="I87" s="11" t="s">
        <v>84</v>
      </c>
    </row>
    <row r="88" spans="1:9" x14ac:dyDescent="0.45">
      <c r="A88" s="15" t="s">
        <v>175</v>
      </c>
      <c r="B88" s="31">
        <f>'[9]Weight%'!$B$32</f>
        <v>2.6014324659872634E-3</v>
      </c>
      <c r="C88" s="17" t="s">
        <v>803</v>
      </c>
      <c r="D88" s="66" t="s">
        <v>191</v>
      </c>
      <c r="E88" s="17"/>
      <c r="F88" s="41">
        <v>156</v>
      </c>
      <c r="G88" s="42">
        <f>[14]Tabelle1!$AT$3</f>
        <v>0.80254494503747287</v>
      </c>
      <c r="H88" s="24">
        <f>G88/$G$93</f>
        <v>0.9117526629486189</v>
      </c>
      <c r="I88" s="25">
        <f>H88*$B$96</f>
        <v>1558776.0695769738</v>
      </c>
    </row>
    <row r="89" spans="1:9" x14ac:dyDescent="0.45">
      <c r="A89" s="15" t="s">
        <v>173</v>
      </c>
      <c r="B89" s="31">
        <f>'[9]Weight%'!$B$43</f>
        <v>7.3909830007390983E-4</v>
      </c>
      <c r="C89" s="17" t="s">
        <v>803</v>
      </c>
      <c r="D89" s="66"/>
      <c r="E89" s="17"/>
      <c r="F89" s="41">
        <v>392</v>
      </c>
      <c r="G89" s="42">
        <f>[14]Tabelle1!$DE$3</f>
        <v>1.1440935428595809E-2</v>
      </c>
      <c r="H89" s="24">
        <f>G89/$G$93</f>
        <v>1.2997780882114163E-2</v>
      </c>
      <c r="I89" s="25">
        <f>H89*$B$96</f>
        <v>22221.629417699238</v>
      </c>
    </row>
    <row r="90" spans="1:9" x14ac:dyDescent="0.45">
      <c r="A90" s="15" t="s">
        <v>174</v>
      </c>
      <c r="B90" s="31">
        <f>'[9]Weight%'!$B$49</f>
        <v>2.2740193291642978E-4</v>
      </c>
      <c r="C90" s="17" t="s">
        <v>803</v>
      </c>
      <c r="D90" s="66"/>
      <c r="E90" s="17"/>
      <c r="F90" s="41">
        <v>458</v>
      </c>
      <c r="G90" s="42">
        <f>[14]Tabelle1!$DX$3</f>
        <v>4.3544358015312964E-2</v>
      </c>
      <c r="H90" s="24">
        <f>G90/$G$93</f>
        <v>4.9469733280789477E-2</v>
      </c>
      <c r="I90" s="25">
        <f>H90*$B$96</f>
        <v>84575.828006982018</v>
      </c>
    </row>
    <row r="91" spans="1:9" x14ac:dyDescent="0.45">
      <c r="A91" s="15" t="s">
        <v>176</v>
      </c>
      <c r="B91" s="31">
        <f>'[9]Weight%'!$B$60</f>
        <v>9.6251022667115835E-5</v>
      </c>
      <c r="C91" s="17" t="s">
        <v>803</v>
      </c>
      <c r="D91" s="66"/>
      <c r="E91" s="17"/>
      <c r="F91" s="41">
        <v>484</v>
      </c>
      <c r="G91" s="42">
        <f>[14]Tabelle1!$ED$3</f>
        <v>1.2174065037173724E-2</v>
      </c>
      <c r="H91" s="24">
        <f>G91/$G$93</f>
        <v>1.383067239434739E-2</v>
      </c>
      <c r="I91" s="25">
        <f>H91*$B$96</f>
        <v>23645.580682754215</v>
      </c>
    </row>
    <row r="92" spans="1:9" x14ac:dyDescent="0.45">
      <c r="A92" s="15" t="s">
        <v>177</v>
      </c>
      <c r="B92" s="61">
        <f>B88*data_1tier!B11</f>
        <v>469428.48848740169</v>
      </c>
      <c r="C92" s="17" t="s">
        <v>11</v>
      </c>
      <c r="D92" s="17"/>
      <c r="E92" s="17"/>
      <c r="F92" s="41">
        <v>842</v>
      </c>
      <c r="G92" s="42">
        <f>[14]Tabelle1!$HT$3</f>
        <v>1.051790766976512E-2</v>
      </c>
      <c r="H92" s="24">
        <f>G92/$G$93</f>
        <v>1.1949150494129998E-2</v>
      </c>
      <c r="I92" s="25">
        <f>H92*$B$96</f>
        <v>20428.840626345798</v>
      </c>
    </row>
    <row r="93" spans="1:9" x14ac:dyDescent="0.45">
      <c r="A93" s="15" t="s">
        <v>178</v>
      </c>
      <c r="B93" s="61">
        <f>B89*data_1tier!B19</f>
        <v>346000</v>
      </c>
      <c r="C93" s="17" t="s">
        <v>11</v>
      </c>
      <c r="D93" s="17"/>
      <c r="E93" s="17"/>
      <c r="F93" s="17" t="s">
        <v>86</v>
      </c>
      <c r="G93" s="42">
        <f>SUM(G88:G92)</f>
        <v>0.88022221118832056</v>
      </c>
      <c r="H93" s="17"/>
      <c r="I93" s="21"/>
    </row>
    <row r="94" spans="1:9" x14ac:dyDescent="0.45">
      <c r="A94" s="15" t="s">
        <v>179</v>
      </c>
      <c r="B94" s="61">
        <f>B90*data_1tier!B32</f>
        <v>159500</v>
      </c>
      <c r="C94" s="17" t="s">
        <v>11</v>
      </c>
      <c r="D94" s="17"/>
      <c r="E94" s="17"/>
      <c r="F94" s="17"/>
      <c r="G94" s="17"/>
      <c r="H94" s="17"/>
      <c r="I94" s="21"/>
    </row>
    <row r="95" spans="1:9" x14ac:dyDescent="0.45">
      <c r="A95" s="15" t="s">
        <v>180</v>
      </c>
      <c r="B95" s="61">
        <f>B91*data_1tier!B53</f>
        <v>734719.45982335345</v>
      </c>
      <c r="C95" s="17" t="s">
        <v>11</v>
      </c>
      <c r="D95" s="17"/>
      <c r="E95" s="17"/>
      <c r="F95" s="17"/>
      <c r="G95" s="17"/>
      <c r="H95" s="17"/>
      <c r="I95" s="21"/>
    </row>
    <row r="96" spans="1:9" x14ac:dyDescent="0.45">
      <c r="A96" s="15" t="s">
        <v>185</v>
      </c>
      <c r="B96" s="61">
        <f>SUM(B92:B95)</f>
        <v>1709647.9483107552</v>
      </c>
      <c r="C96" s="17" t="s">
        <v>11</v>
      </c>
      <c r="D96" s="17"/>
      <c r="E96" s="17"/>
      <c r="F96" s="17"/>
      <c r="G96" s="17"/>
      <c r="H96" s="17"/>
      <c r="I96" s="21"/>
    </row>
    <row r="97" spans="1:9" x14ac:dyDescent="0.45">
      <c r="A97" s="15" t="s">
        <v>181</v>
      </c>
      <c r="B97" s="61">
        <f>B88*data_1tier!B13</f>
        <v>1173571.2212185042</v>
      </c>
      <c r="C97" s="17" t="s">
        <v>11</v>
      </c>
      <c r="D97" s="17"/>
      <c r="E97" s="17"/>
      <c r="F97" s="17"/>
      <c r="G97" s="17"/>
      <c r="H97" s="17"/>
      <c r="I97" s="21"/>
    </row>
    <row r="98" spans="1:9" x14ac:dyDescent="0.45">
      <c r="A98" s="15" t="s">
        <v>182</v>
      </c>
      <c r="B98" s="61">
        <f>B89*data_1tier!B21</f>
        <v>1306000</v>
      </c>
      <c r="C98" s="17" t="s">
        <v>11</v>
      </c>
      <c r="D98" s="17"/>
      <c r="E98" s="17"/>
      <c r="F98" s="17"/>
      <c r="G98" s="17"/>
      <c r="H98" s="17"/>
      <c r="I98" s="21"/>
    </row>
    <row r="99" spans="1:9" x14ac:dyDescent="0.45">
      <c r="A99" s="15" t="s">
        <v>183</v>
      </c>
      <c r="B99" s="61">
        <f>B90*data_1tier!B34</f>
        <v>1315875.0000000005</v>
      </c>
      <c r="C99" s="17" t="s">
        <v>11</v>
      </c>
      <c r="D99" s="17"/>
      <c r="E99" s="17"/>
      <c r="F99" s="17"/>
      <c r="G99" s="17"/>
      <c r="H99" s="17"/>
      <c r="I99" s="21"/>
    </row>
    <row r="100" spans="1:9" x14ac:dyDescent="0.45">
      <c r="A100" s="15" t="s">
        <v>184</v>
      </c>
      <c r="B100" s="61">
        <f>B91*data_1tier!B57</f>
        <v>3886865.1486986671</v>
      </c>
      <c r="C100" s="17" t="s">
        <v>11</v>
      </c>
      <c r="D100" s="17"/>
      <c r="E100" s="17"/>
      <c r="F100" s="17"/>
      <c r="G100" s="17"/>
      <c r="H100" s="17"/>
      <c r="I100" s="21"/>
    </row>
    <row r="101" spans="1:9" x14ac:dyDescent="0.45">
      <c r="A101" s="51" t="s">
        <v>186</v>
      </c>
      <c r="B101" s="74">
        <f>SUM(B97:B100)</f>
        <v>7682311.3699171711</v>
      </c>
      <c r="C101" s="45" t="s">
        <v>11</v>
      </c>
      <c r="D101" s="45"/>
      <c r="E101" s="45"/>
      <c r="F101" s="45"/>
      <c r="G101" s="45"/>
      <c r="H101" s="45"/>
      <c r="I101" s="28"/>
    </row>
    <row r="103" spans="1:9" x14ac:dyDescent="0.45">
      <c r="A103" s="1" t="s">
        <v>187</v>
      </c>
    </row>
    <row r="104" spans="1:9" ht="32" x14ac:dyDescent="0.45">
      <c r="A104" s="14" t="s">
        <v>1</v>
      </c>
      <c r="B104" s="5" t="s">
        <v>2</v>
      </c>
      <c r="C104" s="5" t="s">
        <v>119</v>
      </c>
      <c r="D104" s="5" t="s">
        <v>4</v>
      </c>
      <c r="E104" s="5"/>
      <c r="F104" s="10" t="s">
        <v>85</v>
      </c>
      <c r="G104" s="10" t="s">
        <v>82</v>
      </c>
      <c r="H104" s="10" t="s">
        <v>83</v>
      </c>
      <c r="I104" s="11" t="s">
        <v>84</v>
      </c>
    </row>
    <row r="105" spans="1:9" ht="32" x14ac:dyDescent="0.45">
      <c r="A105" s="15" t="s">
        <v>188</v>
      </c>
      <c r="B105" s="31">
        <f>'[9]Weight%'!$B$26+'[9]Weight%'!$B$30</f>
        <v>0.49819728333377267</v>
      </c>
      <c r="C105" s="17" t="s">
        <v>803</v>
      </c>
      <c r="D105" s="67" t="s">
        <v>191</v>
      </c>
      <c r="E105" s="17"/>
      <c r="F105" s="41">
        <v>156</v>
      </c>
      <c r="G105" s="42">
        <f>[15]Tabelle1!$AT$3</f>
        <v>0.62778637838138918</v>
      </c>
      <c r="H105" s="24">
        <f>G105/$G$115</f>
        <v>0.70748230221925479</v>
      </c>
      <c r="I105" s="25">
        <f>H105*$B$106</f>
        <v>63602446.567461617</v>
      </c>
    </row>
    <row r="106" spans="1:9" x14ac:dyDescent="0.45">
      <c r="A106" s="16" t="s">
        <v>189</v>
      </c>
      <c r="B106" s="23">
        <f>B105*data_1tier!B11</f>
        <v>89899699.777579278</v>
      </c>
      <c r="C106" s="17" t="s">
        <v>11</v>
      </c>
      <c r="D106" s="17"/>
      <c r="E106" s="17"/>
      <c r="F106" s="41">
        <v>203</v>
      </c>
      <c r="G106" s="42">
        <f>[15]Tabelle1!$BG$3</f>
        <v>1.8416907643421399E-2</v>
      </c>
      <c r="H106" s="24">
        <f t="shared" ref="H106:H114" si="10">G106/$G$115</f>
        <v>2.0754888395191448E-2</v>
      </c>
      <c r="I106" s="25">
        <f t="shared" ref="I106:I114" si="11">H106*$B$106</f>
        <v>1865858.2356448753</v>
      </c>
    </row>
    <row r="107" spans="1:9" x14ac:dyDescent="0.45">
      <c r="A107" s="16" t="s">
        <v>190</v>
      </c>
      <c r="B107" s="23">
        <f>B105*data_1tier!B13</f>
        <v>224749249.44394818</v>
      </c>
      <c r="C107" s="17" t="s">
        <v>11</v>
      </c>
      <c r="D107" s="17"/>
      <c r="E107" s="17"/>
      <c r="F107" s="41">
        <v>344</v>
      </c>
      <c r="G107" s="42">
        <f>[15]Tabelle1!$CT$3</f>
        <v>3.8190147865139933E-2</v>
      </c>
      <c r="H107" s="24">
        <f t="shared" si="10"/>
        <v>4.3038292425817214E-2</v>
      </c>
      <c r="I107" s="25">
        <f t="shared" si="11"/>
        <v>3869129.5680206316</v>
      </c>
    </row>
    <row r="108" spans="1:9" x14ac:dyDescent="0.45">
      <c r="A108" s="15"/>
      <c r="B108" s="17"/>
      <c r="C108" s="17"/>
      <c r="D108" s="17"/>
      <c r="E108" s="17"/>
      <c r="F108" s="41">
        <v>348</v>
      </c>
      <c r="G108" s="42">
        <f>[15]Tabelle1!$CU$3</f>
        <v>1.3389625663434426E-2</v>
      </c>
      <c r="H108" s="24">
        <f t="shared" si="10"/>
        <v>1.5089405435403807E-2</v>
      </c>
      <c r="I108" s="25">
        <f t="shared" si="11"/>
        <v>1356533.0184649751</v>
      </c>
    </row>
    <row r="109" spans="1:9" x14ac:dyDescent="0.45">
      <c r="A109" s="15"/>
      <c r="B109" s="17"/>
      <c r="C109" s="17"/>
      <c r="D109" s="17"/>
      <c r="E109" s="17"/>
      <c r="F109" s="41">
        <v>410</v>
      </c>
      <c r="G109" s="42">
        <f>[15]Tabelle1!$DJ$3</f>
        <v>3.7680687896034334E-2</v>
      </c>
      <c r="H109" s="24">
        <f t="shared" si="10"/>
        <v>4.2464157777084184E-2</v>
      </c>
      <c r="I109" s="25">
        <f t="shared" si="11"/>
        <v>3817515.0354676265</v>
      </c>
    </row>
    <row r="110" spans="1:9" x14ac:dyDescent="0.45">
      <c r="A110" s="15"/>
      <c r="B110" s="17"/>
      <c r="C110" s="17"/>
      <c r="D110" s="17"/>
      <c r="E110" s="17"/>
      <c r="F110" s="41">
        <v>528</v>
      </c>
      <c r="G110" s="42">
        <f>[15]Tabelle1!$EO$3</f>
        <v>2.2994354880895265E-2</v>
      </c>
      <c r="H110" s="24">
        <f t="shared" si="10"/>
        <v>2.5913431207485103E-2</v>
      </c>
      <c r="I110" s="25">
        <f t="shared" si="11"/>
        <v>2329609.6857598643</v>
      </c>
    </row>
    <row r="111" spans="1:9" x14ac:dyDescent="0.45">
      <c r="A111" s="15"/>
      <c r="B111" s="17"/>
      <c r="C111" s="17"/>
      <c r="D111" s="17"/>
      <c r="E111" s="17"/>
      <c r="F111" s="41">
        <v>642</v>
      </c>
      <c r="G111" s="42">
        <f>[15]Tabelle1!$FT$3</f>
        <v>1.1943056576205473E-2</v>
      </c>
      <c r="H111" s="24">
        <f t="shared" si="10"/>
        <v>1.3459197990013518E-2</v>
      </c>
      <c r="I111" s="25">
        <f t="shared" si="11"/>
        <v>1209977.8585492137</v>
      </c>
    </row>
    <row r="112" spans="1:9" x14ac:dyDescent="0.45">
      <c r="A112" s="15"/>
      <c r="B112" s="17"/>
      <c r="C112" s="17"/>
      <c r="D112" s="17"/>
      <c r="E112" s="17"/>
      <c r="F112" s="41">
        <v>704</v>
      </c>
      <c r="G112" s="42">
        <f>[15]Tabelle1!$GN$3</f>
        <v>8.8562138176737623E-2</v>
      </c>
      <c r="H112" s="24">
        <f t="shared" si="10"/>
        <v>9.9804881985944574E-2</v>
      </c>
      <c r="I112" s="25">
        <f t="shared" si="11"/>
        <v>8972428.9268731475</v>
      </c>
    </row>
    <row r="113" spans="1:9" x14ac:dyDescent="0.45">
      <c r="A113" s="15"/>
      <c r="B113" s="17"/>
      <c r="C113" s="17"/>
      <c r="D113" s="17"/>
      <c r="E113" s="17"/>
      <c r="F113" s="41">
        <v>784</v>
      </c>
      <c r="G113" s="42">
        <f>[15]Tabelle1!$HH$3</f>
        <v>1.6695205157667588E-2</v>
      </c>
      <c r="H113" s="24">
        <f t="shared" si="10"/>
        <v>1.8814620048658894E-2</v>
      </c>
      <c r="I113" s="25">
        <f t="shared" si="11"/>
        <v>1691428.6938036585</v>
      </c>
    </row>
    <row r="114" spans="1:9" x14ac:dyDescent="0.45">
      <c r="A114" s="15"/>
      <c r="B114" s="17"/>
      <c r="C114" s="17"/>
      <c r="D114" s="17"/>
      <c r="E114" s="17"/>
      <c r="F114" s="41">
        <v>842</v>
      </c>
      <c r="G114" s="42">
        <f>[15]Tabelle1!$HT$3</f>
        <v>1.1694264622821497E-2</v>
      </c>
      <c r="H114" s="24">
        <f t="shared" si="10"/>
        <v>1.317882251514651E-2</v>
      </c>
      <c r="I114" s="25">
        <f t="shared" si="11"/>
        <v>1184772.1875336736</v>
      </c>
    </row>
    <row r="115" spans="1:9" x14ac:dyDescent="0.45">
      <c r="A115" s="51"/>
      <c r="B115" s="45"/>
      <c r="C115" s="45"/>
      <c r="D115" s="45"/>
      <c r="E115" s="45"/>
      <c r="F115" s="45" t="s">
        <v>86</v>
      </c>
      <c r="G115" s="56">
        <f>SUM(G105:G114)</f>
        <v>0.88735276686374664</v>
      </c>
      <c r="H115" s="45"/>
      <c r="I115" s="28"/>
    </row>
    <row r="117" spans="1:9" x14ac:dyDescent="0.45">
      <c r="A117" s="1" t="s">
        <v>192</v>
      </c>
    </row>
    <row r="118" spans="1:9" ht="32" x14ac:dyDescent="0.45">
      <c r="A118" s="14" t="s">
        <v>1</v>
      </c>
      <c r="B118" s="5" t="s">
        <v>2</v>
      </c>
      <c r="C118" s="5" t="s">
        <v>119</v>
      </c>
      <c r="D118" s="5" t="s">
        <v>4</v>
      </c>
      <c r="E118" s="5"/>
      <c r="F118" s="10" t="s">
        <v>85</v>
      </c>
      <c r="G118" s="10" t="s">
        <v>82</v>
      </c>
      <c r="H118" s="10" t="s">
        <v>83</v>
      </c>
      <c r="I118" s="11" t="s">
        <v>84</v>
      </c>
    </row>
    <row r="119" spans="1:9" x14ac:dyDescent="0.45">
      <c r="A119" s="15" t="s">
        <v>193</v>
      </c>
      <c r="B119" s="75">
        <f>'[9]Weight%'!$B$39+'[9]Weight%'!$B$41</f>
        <v>0.35</v>
      </c>
      <c r="C119" s="17" t="s">
        <v>803</v>
      </c>
      <c r="D119" s="66" t="s">
        <v>191</v>
      </c>
      <c r="E119" s="17"/>
      <c r="F119" s="41">
        <v>156</v>
      </c>
      <c r="G119" s="42">
        <f>[16]Tabelle1!$AT$3</f>
        <v>0.65260623793824946</v>
      </c>
      <c r="H119" s="24">
        <f>G119/$G$131</f>
        <v>0.71521201124102407</v>
      </c>
      <c r="I119" s="25">
        <f>H119*$B$123</f>
        <v>424812570.11364156</v>
      </c>
    </row>
    <row r="120" spans="1:9" x14ac:dyDescent="0.45">
      <c r="A120" s="15" t="s">
        <v>194</v>
      </c>
      <c r="B120" s="75">
        <f>'[9]Weight%'!$B$47</f>
        <v>0.61322820849759097</v>
      </c>
      <c r="C120" s="17" t="s">
        <v>803</v>
      </c>
      <c r="D120" s="66"/>
      <c r="E120" s="17"/>
      <c r="F120" s="41">
        <v>276</v>
      </c>
      <c r="G120" s="42">
        <f>[16]Tabelle1!$CE$3</f>
        <v>2.9200080513324081E-2</v>
      </c>
      <c r="H120" s="24">
        <f t="shared" ref="H120:H130" si="12">G120/$G$131</f>
        <v>3.2001300475326518E-2</v>
      </c>
      <c r="I120" s="25">
        <f t="shared" ref="I120:I130" si="13">H120*$B$123</f>
        <v>19007727.063075062</v>
      </c>
    </row>
    <row r="121" spans="1:9" x14ac:dyDescent="0.45">
      <c r="A121" s="15" t="s">
        <v>195</v>
      </c>
      <c r="B121" s="17">
        <f>B119*data_1tier!B19</f>
        <v>163848300</v>
      </c>
      <c r="C121" s="17" t="s">
        <v>11</v>
      </c>
      <c r="D121" s="17"/>
      <c r="E121" s="17"/>
      <c r="F121" s="41">
        <v>344</v>
      </c>
      <c r="G121" s="42">
        <f>[16]Tabelle1!$CT$3</f>
        <v>2.3551587739168722E-2</v>
      </c>
      <c r="H121" s="24">
        <f t="shared" si="12"/>
        <v>2.5810936910541982E-2</v>
      </c>
      <c r="I121" s="25">
        <f t="shared" si="13"/>
        <v>15330853.332541825</v>
      </c>
    </row>
    <row r="122" spans="1:9" x14ac:dyDescent="0.45">
      <c r="A122" s="15" t="s">
        <v>196</v>
      </c>
      <c r="B122" s="17">
        <f>B120*data_1tier!B32</f>
        <v>430119031.9754709</v>
      </c>
      <c r="C122" s="17" t="s">
        <v>11</v>
      </c>
      <c r="D122" s="17"/>
      <c r="E122" s="17"/>
      <c r="F122" s="41">
        <v>392</v>
      </c>
      <c r="G122" s="42">
        <f>[16]Tabelle1!$DE$3</f>
        <v>1.514934216785052E-2</v>
      </c>
      <c r="H122" s="24">
        <f t="shared" si="12"/>
        <v>1.6602647739128798E-2</v>
      </c>
      <c r="I122" s="25">
        <f t="shared" si="13"/>
        <v>9861430.3813389167</v>
      </c>
    </row>
    <row r="123" spans="1:9" x14ac:dyDescent="0.45">
      <c r="A123" s="15" t="s">
        <v>197</v>
      </c>
      <c r="B123" s="17">
        <f>SUM(B121:B122)</f>
        <v>593967331.9754709</v>
      </c>
      <c r="C123" s="17" t="s">
        <v>11</v>
      </c>
      <c r="D123" s="17"/>
      <c r="E123" s="17"/>
      <c r="F123" s="41">
        <v>410</v>
      </c>
      <c r="G123" s="42">
        <f>[16]Tabelle1!$DJ$3</f>
        <v>3.1904416955962876E-2</v>
      </c>
      <c r="H123" s="24">
        <f t="shared" si="12"/>
        <v>3.4965069121367411E-2</v>
      </c>
      <c r="I123" s="25">
        <f t="shared" si="13"/>
        <v>20768108.818356525</v>
      </c>
    </row>
    <row r="124" spans="1:9" x14ac:dyDescent="0.45">
      <c r="A124" s="15" t="s">
        <v>198</v>
      </c>
      <c r="B124" s="17">
        <f>B119*data_1tier!B21</f>
        <v>618456300</v>
      </c>
      <c r="C124" s="17" t="s">
        <v>11</v>
      </c>
      <c r="D124" s="17"/>
      <c r="E124" s="17"/>
      <c r="F124" s="41">
        <v>458</v>
      </c>
      <c r="G124" s="42">
        <f>[16]Tabelle1!$DX$3</f>
        <v>4.1314120573854363E-2</v>
      </c>
      <c r="H124" s="24">
        <f t="shared" si="12"/>
        <v>4.5277463730091498E-2</v>
      </c>
      <c r="I124" s="25">
        <f t="shared" si="13"/>
        <v>26893334.330378599</v>
      </c>
    </row>
    <row r="125" spans="1:9" x14ac:dyDescent="0.45">
      <c r="A125" s="15" t="s">
        <v>199</v>
      </c>
      <c r="B125" s="17">
        <f>B120*data_1tier!B34</f>
        <v>3548482013.7976365</v>
      </c>
      <c r="C125" s="17" t="s">
        <v>11</v>
      </c>
      <c r="D125" s="17"/>
      <c r="E125" s="17"/>
      <c r="F125" s="41">
        <v>528</v>
      </c>
      <c r="G125" s="42">
        <f>[16]Tabelle1!$EO$3</f>
        <v>3.5738792241601272E-2</v>
      </c>
      <c r="H125" s="24">
        <f t="shared" si="12"/>
        <v>3.916728341303314E-2</v>
      </c>
      <c r="I125" s="25">
        <f t="shared" si="13"/>
        <v>23264086.829566408</v>
      </c>
    </row>
    <row r="126" spans="1:9" x14ac:dyDescent="0.45">
      <c r="A126" s="15" t="s">
        <v>200</v>
      </c>
      <c r="B126" s="17">
        <f>SUM(B124:B125)</f>
        <v>4166938313.7976365</v>
      </c>
      <c r="C126" s="17" t="s">
        <v>11</v>
      </c>
      <c r="D126" s="17"/>
      <c r="E126" s="17"/>
      <c r="F126" s="41">
        <v>608</v>
      </c>
      <c r="G126" s="42">
        <f>[16]Tabelle1!$FM$3</f>
        <v>1.6670165557340286E-2</v>
      </c>
      <c r="H126" s="24">
        <f t="shared" si="12"/>
        <v>1.8269366645426298E-2</v>
      </c>
      <c r="I126" s="25">
        <f t="shared" si="13"/>
        <v>10851406.963265518</v>
      </c>
    </row>
    <row r="127" spans="1:9" x14ac:dyDescent="0.45">
      <c r="A127" s="15"/>
      <c r="B127" s="17"/>
      <c r="C127" s="17"/>
      <c r="D127" s="17"/>
      <c r="E127" s="17"/>
      <c r="F127" s="41">
        <v>702</v>
      </c>
      <c r="G127" s="42">
        <f>[16]Tabelle1!$GL$3</f>
        <v>1.128873063956223E-2</v>
      </c>
      <c r="H127" s="24">
        <f t="shared" si="12"/>
        <v>1.2371680311525666E-2</v>
      </c>
      <c r="I127" s="25">
        <f t="shared" si="13"/>
        <v>7348373.9466903629</v>
      </c>
    </row>
    <row r="128" spans="1:9" x14ac:dyDescent="0.45">
      <c r="A128" s="15"/>
      <c r="B128" s="17"/>
      <c r="C128" s="17"/>
      <c r="D128" s="17"/>
      <c r="E128" s="17"/>
      <c r="F128" s="41">
        <v>704</v>
      </c>
      <c r="G128" s="42">
        <f>[16]Tabelle1!$GN$3</f>
        <v>1.6564389130258799E-2</v>
      </c>
      <c r="H128" s="24">
        <f t="shared" si="12"/>
        <v>1.8153442881973094E-2</v>
      </c>
      <c r="I128" s="25">
        <f t="shared" si="13"/>
        <v>10782552.034774661</v>
      </c>
    </row>
    <row r="129" spans="1:9" x14ac:dyDescent="0.45">
      <c r="A129" s="15"/>
      <c r="B129" s="17"/>
      <c r="C129" s="17"/>
      <c r="D129" s="17"/>
      <c r="E129" s="17"/>
      <c r="F129" s="41">
        <v>764</v>
      </c>
      <c r="G129" s="42">
        <f>[16]Tabelle1!$HC$3</f>
        <v>2.3622695289475273E-2</v>
      </c>
      <c r="H129" s="24">
        <f t="shared" si="12"/>
        <v>2.5888865945100158E-2</v>
      </c>
      <c r="I129" s="25">
        <f t="shared" si="13"/>
        <v>15377140.633281769</v>
      </c>
    </row>
    <row r="130" spans="1:9" x14ac:dyDescent="0.45">
      <c r="A130" s="15"/>
      <c r="B130" s="17"/>
      <c r="C130" s="17"/>
      <c r="D130" s="17"/>
      <c r="E130" s="17"/>
      <c r="F130" s="41">
        <v>842</v>
      </c>
      <c r="G130" s="42">
        <f>[16]Tabelle1!$HT$3</f>
        <v>1.4854874832771141E-2</v>
      </c>
      <c r="H130" s="24">
        <f t="shared" si="12"/>
        <v>1.6279931585461208E-2</v>
      </c>
      <c r="I130" s="25">
        <f t="shared" si="13"/>
        <v>9669747.5285595916</v>
      </c>
    </row>
    <row r="131" spans="1:9" x14ac:dyDescent="0.45">
      <c r="A131" s="51"/>
      <c r="B131" s="45"/>
      <c r="C131" s="45"/>
      <c r="D131" s="45"/>
      <c r="E131" s="45"/>
      <c r="F131" s="45" t="s">
        <v>86</v>
      </c>
      <c r="G131" s="56">
        <f>SUM(G119:G130)</f>
        <v>0.91246543357941912</v>
      </c>
      <c r="H131" s="45"/>
      <c r="I131" s="28"/>
    </row>
    <row r="133" spans="1:9" x14ac:dyDescent="0.45">
      <c r="A133" s="1" t="s">
        <v>201</v>
      </c>
    </row>
    <row r="134" spans="1:9" ht="32" x14ac:dyDescent="0.45">
      <c r="A134" s="14" t="s">
        <v>1</v>
      </c>
      <c r="B134" s="5" t="s">
        <v>2</v>
      </c>
      <c r="C134" s="5" t="s">
        <v>119</v>
      </c>
      <c r="D134" s="5" t="s">
        <v>4</v>
      </c>
      <c r="E134" s="5"/>
      <c r="F134" s="10" t="s">
        <v>85</v>
      </c>
      <c r="G134" s="10" t="s">
        <v>82</v>
      </c>
      <c r="H134" s="10" t="s">
        <v>83</v>
      </c>
      <c r="I134" s="11" t="s">
        <v>84</v>
      </c>
    </row>
    <row r="135" spans="1:9" x14ac:dyDescent="0.45">
      <c r="A135" s="15" t="s">
        <v>204</v>
      </c>
      <c r="B135" s="31">
        <f>'[9]Weight%'!$B$57</f>
        <v>0.83799999999999997</v>
      </c>
      <c r="C135" s="17" t="s">
        <v>803</v>
      </c>
      <c r="D135" s="66" t="s">
        <v>191</v>
      </c>
      <c r="E135" s="17"/>
      <c r="F135" s="41">
        <v>156</v>
      </c>
      <c r="G135" s="42">
        <f>[17]Tabelle1!$AT$3</f>
        <v>0.51001786047057363</v>
      </c>
      <c r="H135" s="24">
        <f>G135/$G$147</f>
        <v>0.5511377575793297</v>
      </c>
      <c r="I135" s="25">
        <f>H135*$B$141</f>
        <v>4819902533.9783516</v>
      </c>
    </row>
    <row r="136" spans="1:9" x14ac:dyDescent="0.45">
      <c r="A136" s="15" t="s">
        <v>205</v>
      </c>
      <c r="B136" s="31">
        <f>'[9]Weight%'!$B$56</f>
        <v>0.78742514970059885</v>
      </c>
      <c r="C136" s="17" t="s">
        <v>803</v>
      </c>
      <c r="D136" s="66"/>
      <c r="E136" s="17"/>
      <c r="F136" s="41">
        <v>276</v>
      </c>
      <c r="G136" s="42">
        <f>[17]Tabelle1!$CE$3</f>
        <v>2.6315769525592683E-2</v>
      </c>
      <c r="H136" s="24">
        <f t="shared" ref="H136:H146" si="14">G136/$G$147</f>
        <v>2.8437463331044313E-2</v>
      </c>
      <c r="I136" s="25">
        <f t="shared" ref="I136:I146" si="15">H136*$B$141</f>
        <v>248696083.11945125</v>
      </c>
    </row>
    <row r="137" spans="1:9" x14ac:dyDescent="0.45">
      <c r="A137" s="15" t="s">
        <v>206</v>
      </c>
      <c r="B137" s="76">
        <f>'[9]Weight%'!$B$19*'[9]Weight%'!$B$64+'[9]Weight%'!$B$20*'[9]Weight%'!$B$65</f>
        <v>0.90894568088793148</v>
      </c>
      <c r="C137" s="17" t="s">
        <v>803</v>
      </c>
      <c r="D137" s="66"/>
      <c r="E137" s="17"/>
      <c r="F137" s="41">
        <v>344</v>
      </c>
      <c r="G137" s="42">
        <f>[17]Tabelle1!$CT$3</f>
        <v>1.6680443709013219E-2</v>
      </c>
      <c r="H137" s="24">
        <f t="shared" si="14"/>
        <v>1.8025294903852102E-2</v>
      </c>
      <c r="I137" s="25">
        <f t="shared" si="15"/>
        <v>157637838.06860384</v>
      </c>
    </row>
    <row r="138" spans="1:9" x14ac:dyDescent="0.45">
      <c r="A138" s="15" t="s">
        <v>207</v>
      </c>
      <c r="B138" s="17">
        <f>B135*data_1tier!B52</f>
        <v>2729185321.3486385</v>
      </c>
      <c r="C138" s="17" t="s">
        <v>11</v>
      </c>
      <c r="D138" s="17"/>
      <c r="E138" s="17"/>
      <c r="F138" s="41">
        <v>348</v>
      </c>
      <c r="G138" s="42">
        <f>[17]Tabelle1!$CU$3</f>
        <v>1.8616068626066004E-2</v>
      </c>
      <c r="H138" s="24">
        <f t="shared" si="14"/>
        <v>2.0116978468256799E-2</v>
      </c>
      <c r="I138" s="25">
        <f t="shared" si="15"/>
        <v>175930380.67471251</v>
      </c>
    </row>
    <row r="139" spans="1:9" x14ac:dyDescent="0.45">
      <c r="A139" s="15" t="s">
        <v>208</v>
      </c>
      <c r="B139" s="17">
        <f>B136*data_1tier!B53</f>
        <v>6010705804.5524979</v>
      </c>
      <c r="C139" s="17" t="s">
        <v>11</v>
      </c>
      <c r="D139" s="17"/>
      <c r="E139" s="17"/>
      <c r="F139" s="41">
        <v>360</v>
      </c>
      <c r="G139" s="42">
        <f>[17]Tabelle1!$CW$3</f>
        <v>1.5240669209970716E-2</v>
      </c>
      <c r="H139" s="24">
        <f t="shared" si="14"/>
        <v>1.6469439412654118E-2</v>
      </c>
      <c r="I139" s="25">
        <f t="shared" si="15"/>
        <v>144031309.17196971</v>
      </c>
    </row>
    <row r="140" spans="1:9" x14ac:dyDescent="0.45">
      <c r="A140" s="15" t="s">
        <v>209</v>
      </c>
      <c r="B140" s="17">
        <f>B137*data_1tier!B86</f>
        <v>5476919.9173989203</v>
      </c>
      <c r="C140" s="17" t="s">
        <v>11</v>
      </c>
      <c r="D140" s="17"/>
      <c r="E140" s="17"/>
      <c r="F140" s="41">
        <v>392</v>
      </c>
      <c r="G140" s="42">
        <f>[17]Tabelle1!$DE$3</f>
        <v>1.5686184968251807E-2</v>
      </c>
      <c r="H140" s="24">
        <f t="shared" si="14"/>
        <v>1.6950874623097033E-2</v>
      </c>
      <c r="I140" s="25">
        <f t="shared" si="15"/>
        <v>148241637.27750909</v>
      </c>
    </row>
    <row r="141" spans="1:9" x14ac:dyDescent="0.45">
      <c r="A141" s="15" t="s">
        <v>202</v>
      </c>
      <c r="B141" s="17">
        <f>SUM(B138:B140)</f>
        <v>8745368045.8185349</v>
      </c>
      <c r="C141" s="17" t="s">
        <v>11</v>
      </c>
      <c r="D141" s="17"/>
      <c r="E141" s="17"/>
      <c r="F141" s="41">
        <v>410</v>
      </c>
      <c r="G141" s="42">
        <f>[17]Tabelle1!$DJ$3</f>
        <v>0.10620330431746254</v>
      </c>
      <c r="H141" s="24">
        <f t="shared" si="14"/>
        <v>0.11476588473791025</v>
      </c>
      <c r="I141" s="25">
        <f t="shared" si="15"/>
        <v>1003669901.1370133</v>
      </c>
    </row>
    <row r="142" spans="1:9" x14ac:dyDescent="0.45">
      <c r="A142" s="15" t="s">
        <v>210</v>
      </c>
      <c r="B142" s="17">
        <f>B135*data_1tier!B56</f>
        <v>12784078610.527834</v>
      </c>
      <c r="C142" s="17" t="s">
        <v>11</v>
      </c>
      <c r="D142" s="17"/>
      <c r="E142" s="17"/>
      <c r="F142" s="41">
        <v>458</v>
      </c>
      <c r="G142" s="42">
        <f>[17]Tabelle1!$DX$3</f>
        <v>3.590238419275793E-2</v>
      </c>
      <c r="H142" s="24">
        <f t="shared" si="14"/>
        <v>3.8796993300374491E-2</v>
      </c>
      <c r="I142" s="25">
        <f t="shared" si="15"/>
        <v>339293985.48293084</v>
      </c>
    </row>
    <row r="143" spans="1:9" x14ac:dyDescent="0.45">
      <c r="A143" s="15" t="s">
        <v>211</v>
      </c>
      <c r="B143" s="17">
        <f>B136*data_1tier!B57</f>
        <v>31798263403.031326</v>
      </c>
      <c r="C143" s="17" t="s">
        <v>11</v>
      </c>
      <c r="D143" s="17"/>
      <c r="E143" s="17"/>
      <c r="F143" s="41">
        <v>528</v>
      </c>
      <c r="G143" s="42">
        <f>[17]Tabelle1!$EO$3</f>
        <v>1.7177794998070074E-2</v>
      </c>
      <c r="H143" s="24">
        <f t="shared" si="14"/>
        <v>1.8562744854971603E-2</v>
      </c>
      <c r="I143" s="25">
        <f t="shared" si="15"/>
        <v>162338035.69735107</v>
      </c>
    </row>
    <row r="144" spans="1:9" x14ac:dyDescent="0.45">
      <c r="A144" s="15" t="s">
        <v>212</v>
      </c>
      <c r="B144" s="17">
        <f>B137*data_1tier!B87</f>
        <v>8626148869.9032955</v>
      </c>
      <c r="C144" s="17" t="s">
        <v>11</v>
      </c>
      <c r="D144" s="17"/>
      <c r="E144" s="17"/>
      <c r="F144" s="41">
        <v>703</v>
      </c>
      <c r="G144" s="42">
        <f>[17]Tabelle1!$GM$3</f>
        <v>1.0458759736394298E-2</v>
      </c>
      <c r="H144" s="24">
        <f t="shared" si="14"/>
        <v>1.1301991233912701E-2</v>
      </c>
      <c r="I144" s="25">
        <f t="shared" si="15"/>
        <v>98840072.991181329</v>
      </c>
    </row>
    <row r="145" spans="1:9" x14ac:dyDescent="0.45">
      <c r="A145" s="15" t="s">
        <v>203</v>
      </c>
      <c r="B145" s="17">
        <f>SUM(B142:B144)</f>
        <v>53208490883.462456</v>
      </c>
      <c r="C145" s="17" t="s">
        <v>11</v>
      </c>
      <c r="D145" s="17"/>
      <c r="E145" s="17"/>
      <c r="F145" s="41">
        <v>704</v>
      </c>
      <c r="G145" s="42">
        <f>[17]Tabelle1!$GN$3</f>
        <v>0.13211892293415067</v>
      </c>
      <c r="H145" s="24">
        <f t="shared" si="14"/>
        <v>0.14277093522281717</v>
      </c>
      <c r="I145" s="25">
        <f t="shared" si="15"/>
        <v>1248584374.7692533</v>
      </c>
    </row>
    <row r="146" spans="1:9" x14ac:dyDescent="0.45">
      <c r="A146" s="15"/>
      <c r="B146" s="17"/>
      <c r="C146" s="17"/>
      <c r="D146" s="17"/>
      <c r="E146" s="17"/>
      <c r="F146" s="41">
        <v>818</v>
      </c>
      <c r="G146" s="42">
        <f>[17]Tabelle1!$HQ$3</f>
        <v>2.0972728167441789E-2</v>
      </c>
      <c r="H146" s="24">
        <f t="shared" si="14"/>
        <v>2.266364233177991E-2</v>
      </c>
      <c r="I146" s="25">
        <f t="shared" si="15"/>
        <v>198201893.45020831</v>
      </c>
    </row>
    <row r="147" spans="1:9" x14ac:dyDescent="0.45">
      <c r="A147" s="51"/>
      <c r="B147" s="45"/>
      <c r="C147" s="45"/>
      <c r="D147" s="45"/>
      <c r="E147" s="45"/>
      <c r="F147" s="45" t="s">
        <v>86</v>
      </c>
      <c r="G147" s="56">
        <f>SUM(G135:G146)</f>
        <v>0.92539089085574522</v>
      </c>
      <c r="H147" s="45"/>
      <c r="I147" s="28"/>
    </row>
  </sheetData>
  <mergeCells count="7">
    <mergeCell ref="D119:D120"/>
    <mergeCell ref="D135:D137"/>
    <mergeCell ref="F4:I4"/>
    <mergeCell ref="D5:D6"/>
    <mergeCell ref="D49:D50"/>
    <mergeCell ref="D68:D69"/>
    <mergeCell ref="D88:D9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47" workbookViewId="0">
      <selection activeCell="C62" sqref="C62"/>
    </sheetView>
  </sheetViews>
  <sheetFormatPr baseColWidth="10" defaultRowHeight="16" x14ac:dyDescent="0.45"/>
  <cols>
    <col min="1" max="1" width="31.81640625" customWidth="1"/>
    <col min="2" max="2" width="16.54296875" customWidth="1"/>
    <col min="4" max="4" width="37.54296875" customWidth="1"/>
    <col min="6" max="6" width="17.7265625" customWidth="1"/>
    <col min="7" max="7" width="36.453125" customWidth="1"/>
    <col min="8" max="8" width="19" customWidth="1"/>
    <col min="9" max="9" width="19.81640625" customWidth="1"/>
    <col min="10" max="10" width="29.453125" customWidth="1"/>
    <col min="13" max="13" width="26.26953125" customWidth="1"/>
    <col min="18" max="18" width="19.81640625" customWidth="1"/>
  </cols>
  <sheetData>
    <row r="1" spans="1:18" ht="17.5" x14ac:dyDescent="0.45">
      <c r="A1" s="13" t="s">
        <v>295</v>
      </c>
    </row>
    <row r="3" spans="1:18" x14ac:dyDescent="0.45">
      <c r="A3" s="1" t="s">
        <v>215</v>
      </c>
    </row>
    <row r="4" spans="1:18" ht="31" customHeight="1" x14ac:dyDescent="0.45">
      <c r="A4" s="77" t="s">
        <v>1</v>
      </c>
      <c r="B4" s="68" t="s">
        <v>2</v>
      </c>
      <c r="C4" s="68" t="s">
        <v>119</v>
      </c>
      <c r="D4" s="68" t="s">
        <v>4</v>
      </c>
      <c r="E4" s="68"/>
      <c r="F4" s="78" t="s">
        <v>225</v>
      </c>
      <c r="G4" s="79"/>
      <c r="H4" s="79"/>
      <c r="I4" s="78" t="s">
        <v>226</v>
      </c>
      <c r="J4" s="79"/>
      <c r="K4" s="68"/>
      <c r="L4" s="80" t="s">
        <v>226</v>
      </c>
      <c r="M4" s="80"/>
      <c r="N4" s="80"/>
      <c r="O4" s="100" t="s">
        <v>220</v>
      </c>
      <c r="P4" s="100"/>
      <c r="Q4" s="100"/>
      <c r="R4" s="101"/>
    </row>
    <row r="5" spans="1:18" x14ac:dyDescent="0.45">
      <c r="A5" s="81" t="s">
        <v>235</v>
      </c>
      <c r="B5" s="98">
        <f>'[9]Weight%'!$B$71</f>
        <v>0.74</v>
      </c>
      <c r="C5" s="6" t="s">
        <v>803</v>
      </c>
      <c r="D5" s="82" t="s">
        <v>191</v>
      </c>
      <c r="E5" s="6"/>
      <c r="F5" s="83" t="s">
        <v>227</v>
      </c>
      <c r="G5" s="83"/>
      <c r="H5" s="83"/>
      <c r="I5" s="29" t="s">
        <v>228</v>
      </c>
      <c r="J5" s="83"/>
      <c r="K5" s="6"/>
      <c r="L5" s="84" t="s">
        <v>229</v>
      </c>
      <c r="M5" s="84"/>
      <c r="N5" s="84"/>
      <c r="O5" s="83"/>
      <c r="P5" s="6"/>
      <c r="Q5" s="6"/>
      <c r="R5" s="85"/>
    </row>
    <row r="6" spans="1:18" ht="48" x14ac:dyDescent="0.45">
      <c r="A6" s="81" t="s">
        <v>236</v>
      </c>
      <c r="B6" s="98">
        <f>+'[9]Weight%'!$B$72</f>
        <v>0.26</v>
      </c>
      <c r="C6" s="6" t="s">
        <v>803</v>
      </c>
      <c r="D6" s="82"/>
      <c r="E6" s="6"/>
      <c r="F6" s="86" t="s">
        <v>129</v>
      </c>
      <c r="G6" s="86" t="s">
        <v>230</v>
      </c>
      <c r="H6" s="86" t="s">
        <v>219</v>
      </c>
      <c r="I6" s="87" t="s">
        <v>129</v>
      </c>
      <c r="J6" s="86" t="s">
        <v>231</v>
      </c>
      <c r="K6" s="84" t="s">
        <v>219</v>
      </c>
      <c r="L6" s="87" t="s">
        <v>129</v>
      </c>
      <c r="M6" s="86" t="s">
        <v>231</v>
      </c>
      <c r="N6" s="88" t="s">
        <v>219</v>
      </c>
      <c r="O6" s="86" t="s">
        <v>129</v>
      </c>
      <c r="P6" s="86" t="s">
        <v>130</v>
      </c>
      <c r="Q6" s="86" t="s">
        <v>219</v>
      </c>
      <c r="R6" s="22" t="s">
        <v>84</v>
      </c>
    </row>
    <row r="7" spans="1:18" x14ac:dyDescent="0.45">
      <c r="A7" s="81" t="s">
        <v>216</v>
      </c>
      <c r="B7" s="92">
        <f>(B5+B6)*data_2tier!B9</f>
        <v>81953922.145137236</v>
      </c>
      <c r="C7" s="6" t="s">
        <v>11</v>
      </c>
      <c r="D7" s="6"/>
      <c r="E7" s="6"/>
      <c r="F7" s="83" t="s">
        <v>132</v>
      </c>
      <c r="G7" s="83">
        <f>16704+3576+18730+12847</f>
        <v>51857</v>
      </c>
      <c r="H7" s="89">
        <f t="shared" ref="H7:H17" si="0">G7/$G$18</f>
        <v>0.4159674650666581</v>
      </c>
      <c r="I7" s="29" t="s">
        <v>132</v>
      </c>
      <c r="J7" s="83">
        <f>30434+19246</f>
        <v>49680</v>
      </c>
      <c r="K7" s="90">
        <f t="shared" ref="K7:K13" si="1">J7/$J$14</f>
        <v>0.40174259895600301</v>
      </c>
      <c r="L7" s="90" t="s">
        <v>132</v>
      </c>
      <c r="M7" s="91">
        <v>50670</v>
      </c>
      <c r="N7" s="90">
        <f t="shared" ref="N7:N12" si="2">M7/$M$13</f>
        <v>0.44259459837182491</v>
      </c>
      <c r="O7" s="83" t="s">
        <v>132</v>
      </c>
      <c r="P7" s="92">
        <f>(G7+J7+M7)/3</f>
        <v>50735.666666666664</v>
      </c>
      <c r="Q7" s="89">
        <f>P7/$P$18</f>
        <v>0.40945782556419252</v>
      </c>
      <c r="R7" s="69">
        <f>$B$7*Q7</f>
        <v>33556674.758005016</v>
      </c>
    </row>
    <row r="8" spans="1:18" x14ac:dyDescent="0.45">
      <c r="A8" s="81" t="s">
        <v>217</v>
      </c>
      <c r="B8" s="92">
        <f>(B5+B6)*data_2tier!B12</f>
        <v>288419025.3628431</v>
      </c>
      <c r="C8" s="6" t="s">
        <v>11</v>
      </c>
      <c r="D8" s="6"/>
      <c r="E8" s="6"/>
      <c r="F8" s="83" t="s">
        <v>138</v>
      </c>
      <c r="G8" s="83">
        <f>10778+1200</f>
        <v>11978</v>
      </c>
      <c r="H8" s="89">
        <f t="shared" si="0"/>
        <v>9.608072770442623E-2</v>
      </c>
      <c r="I8" s="29" t="s">
        <v>138</v>
      </c>
      <c r="J8" s="83">
        <v>13623</v>
      </c>
      <c r="K8" s="90">
        <f t="shared" si="1"/>
        <v>0.11016383706879285</v>
      </c>
      <c r="L8" s="90" t="s">
        <v>138</v>
      </c>
      <c r="M8" s="91">
        <v>19414</v>
      </c>
      <c r="N8" s="90">
        <f t="shared" si="2"/>
        <v>0.16957828168128297</v>
      </c>
      <c r="O8" s="83" t="s">
        <v>138</v>
      </c>
      <c r="P8" s="6">
        <f>(G8+J8+M8)/3</f>
        <v>15005</v>
      </c>
      <c r="Q8" s="89">
        <f t="shared" ref="Q8:Q17" si="3">P8/$P$18</f>
        <v>0.12109655940772847</v>
      </c>
      <c r="R8" s="69">
        <f t="shared" ref="R8:R17" si="4">$B$7*Q8</f>
        <v>9924338.0017449651</v>
      </c>
    </row>
    <row r="9" spans="1:18" x14ac:dyDescent="0.45">
      <c r="A9" s="81"/>
      <c r="B9" s="6"/>
      <c r="C9" s="6"/>
      <c r="D9" s="6"/>
      <c r="E9" s="6"/>
      <c r="F9" s="83" t="s">
        <v>221</v>
      </c>
      <c r="G9" s="83">
        <v>16059</v>
      </c>
      <c r="H9" s="89">
        <f t="shared" si="0"/>
        <v>0.12881619687805818</v>
      </c>
      <c r="I9" s="29" t="s">
        <v>140</v>
      </c>
      <c r="J9" s="83">
        <v>6750</v>
      </c>
      <c r="K9" s="90">
        <f t="shared" si="1"/>
        <v>5.4584592249456929E-2</v>
      </c>
      <c r="L9" s="90" t="s">
        <v>221</v>
      </c>
      <c r="M9" s="91">
        <v>17874</v>
      </c>
      <c r="N9" s="90">
        <f t="shared" si="2"/>
        <v>0.15612662031375563</v>
      </c>
      <c r="O9" s="83" t="s">
        <v>221</v>
      </c>
      <c r="P9" s="6">
        <f>(G9+J9+M9)/3</f>
        <v>13561</v>
      </c>
      <c r="Q9" s="89">
        <f t="shared" si="3"/>
        <v>0.10944288184793108</v>
      </c>
      <c r="R9" s="69">
        <f t="shared" si="4"/>
        <v>8969273.4183047973</v>
      </c>
    </row>
    <row r="10" spans="1:18" x14ac:dyDescent="0.45">
      <c r="A10" s="81"/>
      <c r="B10" s="6"/>
      <c r="C10" s="6"/>
      <c r="D10" s="6"/>
      <c r="E10" s="6"/>
      <c r="F10" s="83" t="s">
        <v>143</v>
      </c>
      <c r="G10" s="83">
        <f>3770+1200+35000</f>
        <v>39970</v>
      </c>
      <c r="H10" s="89">
        <f t="shared" si="0"/>
        <v>0.32061668778977426</v>
      </c>
      <c r="I10" s="29" t="s">
        <v>143</v>
      </c>
      <c r="J10" s="83">
        <f>43925+0.15</f>
        <v>43925.15</v>
      </c>
      <c r="K10" s="90">
        <f t="shared" si="1"/>
        <v>0.35520539292536785</v>
      </c>
      <c r="L10" s="90" t="s">
        <v>232</v>
      </c>
      <c r="M10" s="91">
        <v>22016</v>
      </c>
      <c r="N10" s="90">
        <f t="shared" si="2"/>
        <v>0.19230634848537786</v>
      </c>
      <c r="O10" s="83" t="s">
        <v>143</v>
      </c>
      <c r="P10" s="92">
        <f>(G10+J10+M10)/3</f>
        <v>35303.716666666667</v>
      </c>
      <c r="Q10" s="89">
        <f t="shared" si="3"/>
        <v>0.28491560297491597</v>
      </c>
      <c r="R10" s="69">
        <f t="shared" si="4"/>
        <v>23349951.144141093</v>
      </c>
    </row>
    <row r="11" spans="1:18" x14ac:dyDescent="0.45">
      <c r="A11" s="81"/>
      <c r="B11" s="6"/>
      <c r="C11" s="6"/>
      <c r="D11" s="6"/>
      <c r="E11" s="6"/>
      <c r="F11" s="83" t="s">
        <v>136</v>
      </c>
      <c r="G11" s="83">
        <v>498</v>
      </c>
      <c r="H11" s="89">
        <f t="shared" si="0"/>
        <v>3.9946737683089215E-3</v>
      </c>
      <c r="I11" s="29" t="s">
        <v>136</v>
      </c>
      <c r="J11" s="83">
        <v>5000</v>
      </c>
      <c r="K11" s="90">
        <f t="shared" si="1"/>
        <v>4.0433031295894019E-2</v>
      </c>
      <c r="L11" s="90" t="s">
        <v>233</v>
      </c>
      <c r="M11" s="91">
        <v>2400</v>
      </c>
      <c r="N11" s="90">
        <f t="shared" si="2"/>
        <v>2.0963628105237414E-2</v>
      </c>
      <c r="O11" s="83" t="s">
        <v>136</v>
      </c>
      <c r="P11" s="6">
        <v>5000</v>
      </c>
      <c r="Q11" s="89">
        <f t="shared" si="3"/>
        <v>4.0352069112871869E-2</v>
      </c>
      <c r="R11" s="69">
        <f t="shared" si="4"/>
        <v>3307010.330471498</v>
      </c>
    </row>
    <row r="12" spans="1:18" x14ac:dyDescent="0.45">
      <c r="A12" s="81"/>
      <c r="B12" s="6"/>
      <c r="C12" s="6"/>
      <c r="D12" s="6"/>
      <c r="E12" s="6"/>
      <c r="F12" s="83" t="s">
        <v>135</v>
      </c>
      <c r="G12" s="83">
        <v>200</v>
      </c>
      <c r="H12" s="89">
        <f t="shared" si="0"/>
        <v>1.6042866539393258E-3</v>
      </c>
      <c r="I12" s="29" t="s">
        <v>233</v>
      </c>
      <c r="J12" s="83">
        <v>1293</v>
      </c>
      <c r="K12" s="90">
        <f t="shared" si="1"/>
        <v>1.0455981893118194E-2</v>
      </c>
      <c r="L12" s="90" t="s">
        <v>234</v>
      </c>
      <c r="M12" s="91">
        <v>2110</v>
      </c>
      <c r="N12" s="90">
        <f t="shared" si="2"/>
        <v>1.8430523042521227E-2</v>
      </c>
      <c r="O12" s="83" t="s">
        <v>135</v>
      </c>
      <c r="P12" s="6">
        <v>200</v>
      </c>
      <c r="Q12" s="89">
        <f t="shared" si="3"/>
        <v>1.6140827645148748E-3</v>
      </c>
      <c r="R12" s="69">
        <f t="shared" si="4"/>
        <v>132280.41321885993</v>
      </c>
    </row>
    <row r="13" spans="1:18" x14ac:dyDescent="0.45">
      <c r="A13" s="81"/>
      <c r="B13" s="6"/>
      <c r="C13" s="6"/>
      <c r="D13" s="6"/>
      <c r="E13" s="6"/>
      <c r="F13" s="83" t="s">
        <v>142</v>
      </c>
      <c r="G13" s="83">
        <v>1000</v>
      </c>
      <c r="H13" s="89">
        <f t="shared" si="0"/>
        <v>8.0214332696966293E-3</v>
      </c>
      <c r="I13" s="29" t="s">
        <v>234</v>
      </c>
      <c r="J13" s="83">
        <f>3390+0.12</f>
        <v>3390.12</v>
      </c>
      <c r="K13" s="90">
        <f t="shared" si="1"/>
        <v>2.7414565611367247E-2</v>
      </c>
      <c r="L13" s="90" t="s">
        <v>86</v>
      </c>
      <c r="M13" s="91">
        <f>SUM(M7:M12)</f>
        <v>114484</v>
      </c>
      <c r="N13" s="90"/>
      <c r="O13" s="83" t="s">
        <v>142</v>
      </c>
      <c r="P13" s="6">
        <v>1000</v>
      </c>
      <c r="Q13" s="89">
        <f t="shared" si="3"/>
        <v>8.0704138225743734E-3</v>
      </c>
      <c r="R13" s="69">
        <f t="shared" si="4"/>
        <v>661402.06609429955</v>
      </c>
    </row>
    <row r="14" spans="1:18" x14ac:dyDescent="0.45">
      <c r="A14" s="81"/>
      <c r="B14" s="6"/>
      <c r="C14" s="6"/>
      <c r="D14" s="6"/>
      <c r="E14" s="6"/>
      <c r="F14" s="83" t="s">
        <v>222</v>
      </c>
      <c r="G14" s="83">
        <v>100</v>
      </c>
      <c r="H14" s="89">
        <f t="shared" si="0"/>
        <v>8.0214332696966289E-4</v>
      </c>
      <c r="I14" s="29" t="s">
        <v>86</v>
      </c>
      <c r="J14" s="83">
        <f>SUM(J7:J13)</f>
        <v>123661.26999999999</v>
      </c>
      <c r="K14" s="6"/>
      <c r="L14" s="6"/>
      <c r="M14" s="91"/>
      <c r="N14" s="84"/>
      <c r="O14" s="83" t="s">
        <v>222</v>
      </c>
      <c r="P14" s="6">
        <v>100</v>
      </c>
      <c r="Q14" s="89">
        <f t="shared" si="3"/>
        <v>8.0704138225743739E-4</v>
      </c>
      <c r="R14" s="69">
        <f t="shared" si="4"/>
        <v>66140.206609429966</v>
      </c>
    </row>
    <row r="15" spans="1:18" x14ac:dyDescent="0.45">
      <c r="A15" s="81"/>
      <c r="B15" s="6"/>
      <c r="C15" s="6"/>
      <c r="D15" s="6"/>
      <c r="E15" s="6"/>
      <c r="F15" s="83" t="s">
        <v>141</v>
      </c>
      <c r="G15" s="83">
        <v>2440</v>
      </c>
      <c r="H15" s="89">
        <f t="shared" si="0"/>
        <v>1.9572297178059774E-2</v>
      </c>
      <c r="I15" s="29"/>
      <c r="J15" s="83"/>
      <c r="K15" s="6"/>
      <c r="L15" s="6"/>
      <c r="M15" s="90"/>
      <c r="N15" s="90"/>
      <c r="O15" s="83" t="s">
        <v>141</v>
      </c>
      <c r="P15" s="6">
        <v>2440</v>
      </c>
      <c r="Q15" s="89">
        <f t="shared" si="3"/>
        <v>1.9691809727081473E-2</v>
      </c>
      <c r="R15" s="69">
        <f t="shared" si="4"/>
        <v>1613821.0412700912</v>
      </c>
    </row>
    <row r="16" spans="1:18" x14ac:dyDescent="0.45">
      <c r="A16" s="81"/>
      <c r="B16" s="6"/>
      <c r="C16" s="6"/>
      <c r="D16" s="6"/>
      <c r="E16" s="6"/>
      <c r="F16" s="83" t="s">
        <v>223</v>
      </c>
      <c r="G16" s="83">
        <v>164</v>
      </c>
      <c r="H16" s="89">
        <f t="shared" si="0"/>
        <v>1.3155150562302472E-3</v>
      </c>
      <c r="I16" s="29"/>
      <c r="J16" s="83"/>
      <c r="K16" s="84"/>
      <c r="L16" s="84"/>
      <c r="M16" s="90"/>
      <c r="N16" s="90"/>
      <c r="O16" s="83" t="s">
        <v>223</v>
      </c>
      <c r="P16" s="6">
        <v>164</v>
      </c>
      <c r="Q16" s="89">
        <f t="shared" si="3"/>
        <v>1.3235478669021972E-3</v>
      </c>
      <c r="R16" s="69">
        <f t="shared" si="4"/>
        <v>108469.93883946513</v>
      </c>
    </row>
    <row r="17" spans="1:18" x14ac:dyDescent="0.45">
      <c r="A17" s="81"/>
      <c r="B17" s="6"/>
      <c r="C17" s="6"/>
      <c r="D17" s="6"/>
      <c r="E17" s="6"/>
      <c r="F17" s="83" t="s">
        <v>224</v>
      </c>
      <c r="G17" s="83">
        <v>400</v>
      </c>
      <c r="H17" s="89">
        <f t="shared" si="0"/>
        <v>3.2085733078786515E-3</v>
      </c>
      <c r="I17" s="29"/>
      <c r="J17" s="83"/>
      <c r="K17" s="90"/>
      <c r="L17" s="90"/>
      <c r="M17" s="90"/>
      <c r="N17" s="90"/>
      <c r="O17" s="83" t="s">
        <v>224</v>
      </c>
      <c r="P17" s="6">
        <v>400</v>
      </c>
      <c r="Q17" s="89">
        <f t="shared" si="3"/>
        <v>3.2281655290297495E-3</v>
      </c>
      <c r="R17" s="69">
        <f t="shared" si="4"/>
        <v>264560.82643771986</v>
      </c>
    </row>
    <row r="18" spans="1:18" x14ac:dyDescent="0.45">
      <c r="A18" s="99"/>
      <c r="B18" s="72"/>
      <c r="C18" s="72"/>
      <c r="D18" s="72"/>
      <c r="E18" s="72"/>
      <c r="F18" s="93" t="s">
        <v>86</v>
      </c>
      <c r="G18" s="93">
        <f>SUM(G7:G17)</f>
        <v>124666</v>
      </c>
      <c r="H18" s="93"/>
      <c r="I18" s="93"/>
      <c r="J18" s="93"/>
      <c r="K18" s="94"/>
      <c r="L18" s="94"/>
      <c r="M18" s="95"/>
      <c r="N18" s="95"/>
      <c r="O18" s="93" t="s">
        <v>86</v>
      </c>
      <c r="P18" s="96">
        <f>SUM(P7:P17)</f>
        <v>123909.38333333333</v>
      </c>
      <c r="Q18" s="97">
        <f>P18/$P$18</f>
        <v>1</v>
      </c>
      <c r="R18" s="73"/>
    </row>
    <row r="20" spans="1:18" x14ac:dyDescent="0.45">
      <c r="A20" s="1" t="s">
        <v>241</v>
      </c>
    </row>
    <row r="21" spans="1:18" ht="32" x14ac:dyDescent="0.45">
      <c r="A21" s="14" t="s">
        <v>1</v>
      </c>
      <c r="B21" s="5" t="s">
        <v>2</v>
      </c>
      <c r="C21" s="5" t="s">
        <v>119</v>
      </c>
      <c r="D21" s="5" t="s">
        <v>4</v>
      </c>
      <c r="E21" s="5"/>
      <c r="F21" s="10" t="s">
        <v>268</v>
      </c>
      <c r="G21" s="10" t="s">
        <v>82</v>
      </c>
      <c r="H21" s="10" t="s">
        <v>83</v>
      </c>
      <c r="I21" s="11" t="s">
        <v>269</v>
      </c>
    </row>
    <row r="22" spans="1:18" ht="32" customHeight="1" x14ac:dyDescent="0.45">
      <c r="A22" s="15" t="s">
        <v>237</v>
      </c>
      <c r="B22" s="42">
        <f>'[9]Weight%'!$B$75</f>
        <v>0.66999999999999993</v>
      </c>
      <c r="C22" s="17" t="s">
        <v>803</v>
      </c>
      <c r="D22" s="66" t="s">
        <v>191</v>
      </c>
      <c r="E22" s="17"/>
      <c r="F22" s="34">
        <v>40</v>
      </c>
      <c r="G22" s="33">
        <f>[18]Tabelle1!$M$3</f>
        <v>1.4065728603484649E-2</v>
      </c>
      <c r="H22" s="24">
        <f>G22/$G$34</f>
        <v>1.5263224830260505E-2</v>
      </c>
      <c r="I22" s="25">
        <f t="shared" ref="I22:I33" si="5">H22*$B$24</f>
        <v>181425.34565002154</v>
      </c>
    </row>
    <row r="23" spans="1:18" ht="32" customHeight="1" x14ac:dyDescent="0.45">
      <c r="A23" s="15" t="s">
        <v>238</v>
      </c>
      <c r="B23" s="42">
        <f>'[9]Weight%'!$B$76</f>
        <v>0.33</v>
      </c>
      <c r="C23" s="17" t="s">
        <v>803</v>
      </c>
      <c r="D23" s="66"/>
      <c r="E23" s="17"/>
      <c r="F23" s="41">
        <v>156</v>
      </c>
      <c r="G23" s="42">
        <f>[18]Tabelle1!$AT$3</f>
        <v>0.23705243843191795</v>
      </c>
      <c r="H23" s="24">
        <f t="shared" ref="H23:H33" si="6">G23/$G$34</f>
        <v>0.25723407342378829</v>
      </c>
      <c r="I23" s="25">
        <f t="shared" si="5"/>
        <v>3057596.3600660199</v>
      </c>
    </row>
    <row r="24" spans="1:18" x14ac:dyDescent="0.45">
      <c r="A24" s="15" t="s">
        <v>239</v>
      </c>
      <c r="B24" s="23">
        <f>(B22+B23)*data_2tier!B23</f>
        <v>11886436.036133857</v>
      </c>
      <c r="C24" s="17" t="s">
        <v>11</v>
      </c>
      <c r="D24" s="17"/>
      <c r="E24" s="17"/>
      <c r="F24" s="41">
        <v>251</v>
      </c>
      <c r="G24" s="42">
        <f>[18]Tabelle1!$BW$3</f>
        <v>1.3160921809837694E-2</v>
      </c>
      <c r="H24" s="24">
        <f t="shared" si="6"/>
        <v>1.4281386639812323E-2</v>
      </c>
      <c r="I24" s="25">
        <f t="shared" si="5"/>
        <v>169754.78880142581</v>
      </c>
    </row>
    <row r="25" spans="1:18" x14ac:dyDescent="0.45">
      <c r="A25" s="15" t="s">
        <v>240</v>
      </c>
      <c r="B25" s="23">
        <f>(B22+B23)*data_2tier!B24</f>
        <v>29716090.090334643</v>
      </c>
      <c r="C25" s="17" t="s">
        <v>11</v>
      </c>
      <c r="D25" s="17"/>
      <c r="E25" s="17"/>
      <c r="F25" s="41">
        <v>276</v>
      </c>
      <c r="G25" s="42">
        <f>[18]Tabelle1!$CE$3</f>
        <v>5.0458036543974592E-2</v>
      </c>
      <c r="H25" s="24">
        <f t="shared" si="6"/>
        <v>5.4753818872446257E-2</v>
      </c>
      <c r="I25" s="25">
        <f t="shared" si="5"/>
        <v>650827.76576139126</v>
      </c>
    </row>
    <row r="26" spans="1:18" x14ac:dyDescent="0.45">
      <c r="A26" s="15"/>
      <c r="B26" s="17"/>
      <c r="C26" s="17"/>
      <c r="D26" s="17"/>
      <c r="E26" s="17"/>
      <c r="F26" s="41">
        <v>348</v>
      </c>
      <c r="G26" s="42">
        <f>[18]Tabelle1!$CU$3</f>
        <v>1.6472038518637377E-2</v>
      </c>
      <c r="H26" s="24">
        <f t="shared" si="6"/>
        <v>1.7874397723015037E-2</v>
      </c>
      <c r="I26" s="25">
        <f t="shared" si="5"/>
        <v>212462.88521903491</v>
      </c>
    </row>
    <row r="27" spans="1:18" x14ac:dyDescent="0.45">
      <c r="A27" s="15"/>
      <c r="B27" s="23"/>
      <c r="C27" s="17"/>
      <c r="D27" s="17"/>
      <c r="E27" s="17"/>
      <c r="F27" s="41">
        <v>392</v>
      </c>
      <c r="G27" s="42">
        <f>[18]Tabelle1!$DE$3</f>
        <v>0.3161244901732097</v>
      </c>
      <c r="H27" s="24">
        <f t="shared" si="6"/>
        <v>0.34303798287916704</v>
      </c>
      <c r="I27" s="25">
        <f t="shared" si="5"/>
        <v>4077499.0414576004</v>
      </c>
    </row>
    <row r="28" spans="1:18" x14ac:dyDescent="0.45">
      <c r="A28" s="15"/>
      <c r="B28" s="23"/>
      <c r="C28" s="17"/>
      <c r="D28" s="17"/>
      <c r="E28" s="17"/>
      <c r="F28" s="41">
        <v>410</v>
      </c>
      <c r="G28" s="42">
        <f>[18]Tabelle1!$DJ$3</f>
        <v>0.15858906166184422</v>
      </c>
      <c r="H28" s="24">
        <f t="shared" si="6"/>
        <v>0.172090658934305</v>
      </c>
      <c r="I28" s="25">
        <f t="shared" si="5"/>
        <v>2045544.6098387439</v>
      </c>
    </row>
    <row r="29" spans="1:18" x14ac:dyDescent="0.45">
      <c r="A29" s="15"/>
      <c r="B29" s="23"/>
      <c r="C29" s="17"/>
      <c r="D29" s="17"/>
      <c r="E29" s="17"/>
      <c r="F29" s="41">
        <v>442</v>
      </c>
      <c r="G29" s="42">
        <f>[18]Tabelle1!$DT$3</f>
        <v>1.9230025283971851E-2</v>
      </c>
      <c r="H29" s="24">
        <f t="shared" si="6"/>
        <v>2.0867187735169414E-2</v>
      </c>
      <c r="I29" s="25">
        <f t="shared" si="5"/>
        <v>248036.49226808819</v>
      </c>
    </row>
    <row r="30" spans="1:18" x14ac:dyDescent="0.45">
      <c r="A30" s="15"/>
      <c r="B30" s="23"/>
      <c r="C30" s="17"/>
      <c r="D30" s="17"/>
      <c r="E30" s="17"/>
      <c r="F30" s="41">
        <v>458</v>
      </c>
      <c r="G30" s="42">
        <f>[18]Tabelle1!$DX$3</f>
        <v>1.8362948292115835E-2</v>
      </c>
      <c r="H30" s="24">
        <f t="shared" si="6"/>
        <v>1.9926291501143851E-2</v>
      </c>
      <c r="I30" s="25">
        <f t="shared" si="5"/>
        <v>236852.58936570407</v>
      </c>
    </row>
    <row r="31" spans="1:18" x14ac:dyDescent="0.45">
      <c r="A31" s="15"/>
      <c r="B31" s="23"/>
      <c r="C31" s="17"/>
      <c r="D31" s="17"/>
      <c r="E31" s="17"/>
      <c r="F31" s="41">
        <v>704</v>
      </c>
      <c r="G31" s="42">
        <f>[18]Tabelle1!$GN$3</f>
        <v>1.9262158985962275E-2</v>
      </c>
      <c r="H31" s="24">
        <f t="shared" si="6"/>
        <v>2.0902057163688526E-2</v>
      </c>
      <c r="I31" s="25">
        <f t="shared" si="5"/>
        <v>248450.96549979714</v>
      </c>
    </row>
    <row r="32" spans="1:18" x14ac:dyDescent="0.45">
      <c r="A32" s="15"/>
      <c r="B32" s="23"/>
      <c r="C32" s="17"/>
      <c r="D32" s="17"/>
      <c r="E32" s="17"/>
      <c r="F32" s="41">
        <v>826</v>
      </c>
      <c r="G32" s="42">
        <f>[18]Tabelle1!$HR$3</f>
        <v>1.3941074018032676E-2</v>
      </c>
      <c r="H32" s="24">
        <f t="shared" si="6"/>
        <v>1.5127957684312229E-2</v>
      </c>
      <c r="I32" s="25">
        <f t="shared" si="5"/>
        <v>179817.50137191699</v>
      </c>
    </row>
    <row r="33" spans="1:9" x14ac:dyDescent="0.45">
      <c r="A33" s="15"/>
      <c r="B33" s="23"/>
      <c r="C33" s="17"/>
      <c r="D33" s="17"/>
      <c r="E33" s="17"/>
      <c r="F33" s="41">
        <v>842</v>
      </c>
      <c r="G33" s="42">
        <f>[18]Tabelle1!$HT$3</f>
        <v>4.4824772401226488E-2</v>
      </c>
      <c r="H33" s="24">
        <f t="shared" si="6"/>
        <v>4.8640962612891539E-2</v>
      </c>
      <c r="I33" s="25">
        <f t="shared" si="5"/>
        <v>578167.69083411363</v>
      </c>
    </row>
    <row r="34" spans="1:9" x14ac:dyDescent="0.45">
      <c r="A34" s="51"/>
      <c r="B34" s="26"/>
      <c r="C34" s="45"/>
      <c r="D34" s="45"/>
      <c r="E34" s="45"/>
      <c r="F34" s="102" t="s">
        <v>86</v>
      </c>
      <c r="G34" s="56">
        <f>SUM(G22:G33)</f>
        <v>0.92154369472421527</v>
      </c>
      <c r="H34" s="27"/>
      <c r="I34" s="103"/>
    </row>
    <row r="35" spans="1:9" x14ac:dyDescent="0.45">
      <c r="A35" s="17"/>
      <c r="B35" s="4"/>
    </row>
    <row r="36" spans="1:9" x14ac:dyDescent="0.45">
      <c r="A36" s="1" t="s">
        <v>242</v>
      </c>
    </row>
    <row r="37" spans="1:9" ht="32" x14ac:dyDescent="0.45">
      <c r="A37" s="14" t="s">
        <v>1</v>
      </c>
      <c r="B37" s="5" t="s">
        <v>2</v>
      </c>
      <c r="C37" s="5" t="s">
        <v>119</v>
      </c>
      <c r="D37" s="5" t="s">
        <v>4</v>
      </c>
      <c r="E37" s="5"/>
      <c r="F37" s="10" t="s">
        <v>268</v>
      </c>
      <c r="G37" s="10" t="s">
        <v>82</v>
      </c>
      <c r="H37" s="10" t="s">
        <v>83</v>
      </c>
      <c r="I37" s="11" t="s">
        <v>269</v>
      </c>
    </row>
    <row r="38" spans="1:9" x14ac:dyDescent="0.45">
      <c r="A38" s="15" t="s">
        <v>243</v>
      </c>
      <c r="B38" s="104">
        <f>'[9]Weight%'!$B$73</f>
        <v>0.73</v>
      </c>
      <c r="C38" s="17" t="s">
        <v>803</v>
      </c>
      <c r="D38" s="66" t="s">
        <v>191</v>
      </c>
      <c r="E38" s="17"/>
      <c r="F38" s="41">
        <v>40</v>
      </c>
      <c r="G38" s="42">
        <f>[19]Tabelle1!$M$3</f>
        <v>1.450734573187982E-2</v>
      </c>
      <c r="H38" s="24">
        <f>G38/$G$58</f>
        <v>1.5813691273448161E-2</v>
      </c>
      <c r="I38" s="25">
        <f>H38*$B$40</f>
        <v>179017.55220667596</v>
      </c>
    </row>
    <row r="39" spans="1:9" x14ac:dyDescent="0.45">
      <c r="A39" s="15" t="s">
        <v>244</v>
      </c>
      <c r="B39" s="42">
        <f>'[9]Weight%'!$B$74</f>
        <v>0.27</v>
      </c>
      <c r="C39" s="17" t="s">
        <v>803</v>
      </c>
      <c r="D39" s="66"/>
      <c r="E39" s="17"/>
      <c r="F39" s="41">
        <v>76</v>
      </c>
      <c r="G39" s="105">
        <f>[19]Tabelle1!$Z$3</f>
        <v>1.0429505388678543E-2</v>
      </c>
      <c r="H39" s="24">
        <f t="shared" ref="H39:H57" si="7">G39/$G$58</f>
        <v>1.1368652915529258E-2</v>
      </c>
      <c r="I39" s="25">
        <f t="shared" ref="I39:I57" si="8">H39*$B$40</f>
        <v>128697.87209280499</v>
      </c>
    </row>
    <row r="40" spans="1:9" x14ac:dyDescent="0.45">
      <c r="A40" s="15" t="s">
        <v>245</v>
      </c>
      <c r="B40" s="23">
        <f>(B38+B39)*data_2tier!B35</f>
        <v>11320415.272508437</v>
      </c>
      <c r="C40" s="17" t="s">
        <v>11</v>
      </c>
      <c r="D40" s="17"/>
      <c r="E40" s="17"/>
      <c r="F40" s="41">
        <v>100</v>
      </c>
      <c r="G40" s="42">
        <f>[19]Tabelle1!$AG$3</f>
        <v>1.6463329236028151E-2</v>
      </c>
      <c r="H40" s="24">
        <f t="shared" si="7"/>
        <v>1.7945805572109123E-2</v>
      </c>
      <c r="I40" s="25">
        <f t="shared" si="8"/>
        <v>203153.97147597111</v>
      </c>
    </row>
    <row r="41" spans="1:9" x14ac:dyDescent="0.45">
      <c r="A41" s="15" t="s">
        <v>246</v>
      </c>
      <c r="B41" s="23">
        <f>(B38+B39)*data_2tier!B36</f>
        <v>28301038.181271091</v>
      </c>
      <c r="C41" s="17" t="s">
        <v>11</v>
      </c>
      <c r="D41" s="17"/>
      <c r="E41" s="17"/>
      <c r="F41" s="41">
        <v>156</v>
      </c>
      <c r="G41" s="42">
        <f>[19]Tabelle1!$AT$3</f>
        <v>0.1670625116774373</v>
      </c>
      <c r="H41" s="24">
        <f t="shared" si="7"/>
        <v>0.1821060193821889</v>
      </c>
      <c r="I41" s="25">
        <f t="shared" si="8"/>
        <v>2061515.7630298487</v>
      </c>
    </row>
    <row r="42" spans="1:9" x14ac:dyDescent="0.45">
      <c r="A42" s="15"/>
      <c r="B42" s="17"/>
      <c r="C42" s="17"/>
      <c r="D42" s="17"/>
      <c r="E42" s="17"/>
      <c r="F42" s="41">
        <v>203</v>
      </c>
      <c r="G42" s="42">
        <f>[19]Tabelle1!$BG$3</f>
        <v>0.11465231329810993</v>
      </c>
      <c r="H42" s="24">
        <f t="shared" si="7"/>
        <v>0.12497643054709447</v>
      </c>
      <c r="I42" s="25">
        <f t="shared" si="8"/>
        <v>1414785.0930689182</v>
      </c>
    </row>
    <row r="43" spans="1:9" x14ac:dyDescent="0.45">
      <c r="A43" s="15"/>
      <c r="B43" s="17"/>
      <c r="C43" s="17"/>
      <c r="D43" s="17"/>
      <c r="E43" s="17"/>
      <c r="F43" s="41">
        <v>251</v>
      </c>
      <c r="G43" s="42">
        <f>[19]Tabelle1!$BW$3</f>
        <v>1.8732670272154302E-2</v>
      </c>
      <c r="H43" s="24">
        <f t="shared" si="7"/>
        <v>2.0419494364167422E-2</v>
      </c>
      <c r="I43" s="25">
        <f t="shared" si="8"/>
        <v>231157.15585702084</v>
      </c>
    </row>
    <row r="44" spans="1:9" x14ac:dyDescent="0.45">
      <c r="A44" s="15"/>
      <c r="B44" s="17"/>
      <c r="C44" s="17"/>
      <c r="D44" s="17"/>
      <c r="E44" s="17"/>
      <c r="F44" s="41">
        <v>276</v>
      </c>
      <c r="G44" s="42">
        <f>[19]Tabelle1!$CE$3</f>
        <v>5.5298268903238655E-2</v>
      </c>
      <c r="H44" s="24">
        <f t="shared" si="7"/>
        <v>6.0277721959179069E-2</v>
      </c>
      <c r="I44" s="25">
        <f t="shared" si="8"/>
        <v>682368.84425870795</v>
      </c>
    </row>
    <row r="45" spans="1:9" x14ac:dyDescent="0.45">
      <c r="A45" s="15"/>
      <c r="B45" s="17"/>
      <c r="C45" s="17"/>
      <c r="D45" s="17"/>
      <c r="E45" s="17"/>
      <c r="F45" s="41">
        <v>360</v>
      </c>
      <c r="G45" s="42">
        <f>[19]Tabelle1!$CW$3</f>
        <v>1.0583046880146956E-2</v>
      </c>
      <c r="H45" s="24">
        <f t="shared" si="7"/>
        <v>1.153602038499065E-2</v>
      </c>
      <c r="I45" s="25">
        <f t="shared" si="8"/>
        <v>130592.54135021681</v>
      </c>
    </row>
    <row r="46" spans="1:9" x14ac:dyDescent="0.45">
      <c r="A46" s="15"/>
      <c r="B46" s="17"/>
      <c r="C46" s="17"/>
      <c r="D46" s="17"/>
      <c r="E46" s="17"/>
      <c r="F46" s="41">
        <v>381</v>
      </c>
      <c r="G46" s="42">
        <f>[19]Tabelle1!$DB$3</f>
        <v>7.6341760582327015E-2</v>
      </c>
      <c r="H46" s="24">
        <f t="shared" si="7"/>
        <v>8.3216120676541036E-2</v>
      </c>
      <c r="I46" s="25">
        <f t="shared" si="8"/>
        <v>942041.0434256203</v>
      </c>
    </row>
    <row r="47" spans="1:9" x14ac:dyDescent="0.45">
      <c r="A47" s="15"/>
      <c r="B47" s="17"/>
      <c r="C47" s="17"/>
      <c r="D47" s="17"/>
      <c r="E47" s="17"/>
      <c r="F47" s="41">
        <v>392</v>
      </c>
      <c r="G47" s="42">
        <f>[19]Tabelle1!$DE$3</f>
        <v>7.2891076858469656E-2</v>
      </c>
      <c r="H47" s="24">
        <f t="shared" si="7"/>
        <v>7.9454712621621668E-2</v>
      </c>
      <c r="I47" s="25">
        <f t="shared" si="8"/>
        <v>899460.34223457484</v>
      </c>
    </row>
    <row r="48" spans="1:9" x14ac:dyDescent="0.45">
      <c r="A48" s="15"/>
      <c r="B48" s="17"/>
      <c r="C48" s="17"/>
      <c r="D48" s="17"/>
      <c r="E48" s="17"/>
      <c r="F48" s="41">
        <v>410</v>
      </c>
      <c r="G48" s="42">
        <f>[19]Tabelle1!$DJ$3</f>
        <v>8.413164786004762E-2</v>
      </c>
      <c r="H48" s="24">
        <f t="shared" si="7"/>
        <v>9.1707465319560921E-2</v>
      </c>
      <c r="I48" s="25">
        <f t="shared" si="8"/>
        <v>1038166.5910065953</v>
      </c>
    </row>
    <row r="49" spans="1:9" x14ac:dyDescent="0.45">
      <c r="A49" s="15"/>
      <c r="B49" s="17"/>
      <c r="C49" s="17"/>
      <c r="D49" s="17"/>
      <c r="E49" s="17"/>
      <c r="F49" s="41">
        <v>442</v>
      </c>
      <c r="G49" s="42">
        <f>[19]Tabelle1!$DT$3</f>
        <v>1.5904199156511777E-2</v>
      </c>
      <c r="H49" s="24">
        <f t="shared" si="7"/>
        <v>1.7336327406868985E-2</v>
      </c>
      <c r="I49" s="25">
        <f t="shared" si="8"/>
        <v>196254.42554592623</v>
      </c>
    </row>
    <row r="50" spans="1:9" x14ac:dyDescent="0.45">
      <c r="A50" s="15"/>
      <c r="B50" s="17"/>
      <c r="C50" s="17"/>
      <c r="D50" s="17"/>
      <c r="E50" s="17"/>
      <c r="F50" s="41">
        <v>484</v>
      </c>
      <c r="G50" s="42">
        <f>[19]Tabelle1!$ED$3</f>
        <v>5.475493734669603E-2</v>
      </c>
      <c r="H50" s="24">
        <f t="shared" si="7"/>
        <v>5.968546492932101E-2</v>
      </c>
      <c r="I50" s="25">
        <f t="shared" si="8"/>
        <v>675664.24873265228</v>
      </c>
    </row>
    <row r="51" spans="1:9" x14ac:dyDescent="0.45">
      <c r="A51" s="15"/>
      <c r="B51" s="17"/>
      <c r="C51" s="17"/>
      <c r="D51" s="17"/>
      <c r="E51" s="17"/>
      <c r="F51" s="41">
        <v>616</v>
      </c>
      <c r="G51" s="42">
        <f>[19]Tabelle1!$FO$3</f>
        <v>2.315502716094095E-2</v>
      </c>
      <c r="H51" s="24">
        <f t="shared" si="7"/>
        <v>2.5240072010331849E-2</v>
      </c>
      <c r="I51" s="25">
        <f t="shared" si="8"/>
        <v>285728.09666497336</v>
      </c>
    </row>
    <row r="52" spans="1:9" x14ac:dyDescent="0.45">
      <c r="A52" s="15"/>
      <c r="B52" s="17"/>
      <c r="C52" s="17"/>
      <c r="D52" s="17"/>
      <c r="E52" s="17"/>
      <c r="F52" s="41">
        <v>699</v>
      </c>
      <c r="G52" s="42">
        <f>[19]Tabelle1!$GK$3</f>
        <v>1.0575697801371239E-2</v>
      </c>
      <c r="H52" s="24">
        <f t="shared" si="7"/>
        <v>1.1528009542411221E-2</v>
      </c>
      <c r="I52" s="25">
        <f t="shared" si="8"/>
        <v>130501.85528553498</v>
      </c>
    </row>
    <row r="53" spans="1:9" x14ac:dyDescent="0.45">
      <c r="A53" s="15"/>
      <c r="B53" s="17"/>
      <c r="C53" s="17"/>
      <c r="D53" s="17"/>
      <c r="E53" s="17"/>
      <c r="F53" s="41">
        <v>764</v>
      </c>
      <c r="G53" s="42">
        <f>[19]Tabelle1!$HC$3</f>
        <v>1.9012690372319268E-2</v>
      </c>
      <c r="H53" s="24">
        <f t="shared" si="7"/>
        <v>2.072472948409966E-2</v>
      </c>
      <c r="I53" s="25">
        <f t="shared" si="8"/>
        <v>234612.54417040769</v>
      </c>
    </row>
    <row r="54" spans="1:9" x14ac:dyDescent="0.45">
      <c r="A54" s="15"/>
      <c r="B54" s="17"/>
      <c r="C54" s="17"/>
      <c r="D54" s="17"/>
      <c r="E54" s="17"/>
      <c r="F54" s="41">
        <v>784</v>
      </c>
      <c r="G54" s="42">
        <f>[19]Tabelle1!$HH$3</f>
        <v>1.1207103216977619E-2</v>
      </c>
      <c r="H54" s="24">
        <f t="shared" si="7"/>
        <v>1.2216271233786017E-2</v>
      </c>
      <c r="I54" s="25">
        <f t="shared" si="8"/>
        <v>138293.26344805671</v>
      </c>
    </row>
    <row r="55" spans="1:9" x14ac:dyDescent="0.45">
      <c r="A55" s="15"/>
      <c r="B55" s="17"/>
      <c r="C55" s="17"/>
      <c r="D55" s="17"/>
      <c r="E55" s="17"/>
      <c r="F55" s="41">
        <v>792</v>
      </c>
      <c r="G55" s="42">
        <f>[19]Tabelle1!$HJ$3</f>
        <v>2.2809014494173066E-2</v>
      </c>
      <c r="H55" s="24">
        <f t="shared" si="7"/>
        <v>2.4862901879413573E-2</v>
      </c>
      <c r="I55" s="25">
        <f t="shared" si="8"/>
        <v>281458.37415459211</v>
      </c>
    </row>
    <row r="56" spans="1:9" x14ac:dyDescent="0.45">
      <c r="A56" s="15"/>
      <c r="B56" s="17"/>
      <c r="C56" s="17"/>
      <c r="D56" s="17"/>
      <c r="E56" s="17"/>
      <c r="F56" s="41">
        <v>826</v>
      </c>
      <c r="G56" s="42">
        <f>[19]Tabelle1!$HR$3</f>
        <v>5.0367701726516806E-2</v>
      </c>
      <c r="H56" s="24">
        <f t="shared" si="7"/>
        <v>5.490317112288539E-2</v>
      </c>
      <c r="I56" s="25">
        <f t="shared" si="8"/>
        <v>621526.69688865601</v>
      </c>
    </row>
    <row r="57" spans="1:9" x14ac:dyDescent="0.45">
      <c r="A57" s="15"/>
      <c r="B57" s="17"/>
      <c r="C57" s="17"/>
      <c r="D57" s="17"/>
      <c r="E57" s="17"/>
      <c r="F57" s="41">
        <v>842</v>
      </c>
      <c r="G57" s="42">
        <f>[19]Tabelle1!$HT$3</f>
        <v>6.8511637744201589E-2</v>
      </c>
      <c r="H57" s="24">
        <f t="shared" si="7"/>
        <v>7.4680917374451775E-2</v>
      </c>
      <c r="I57" s="25">
        <f t="shared" si="8"/>
        <v>845418.99761068448</v>
      </c>
    </row>
    <row r="58" spans="1:9" x14ac:dyDescent="0.45">
      <c r="A58" s="51"/>
      <c r="B58" s="45"/>
      <c r="C58" s="45"/>
      <c r="D58" s="45"/>
      <c r="E58" s="45"/>
      <c r="F58" s="45" t="s">
        <v>86</v>
      </c>
      <c r="G58" s="56">
        <f>SUM(G38:G57)</f>
        <v>0.91739148570822615</v>
      </c>
      <c r="H58" s="45"/>
      <c r="I58" s="28"/>
    </row>
    <row r="60" spans="1:9" x14ac:dyDescent="0.45">
      <c r="A60" s="1" t="s">
        <v>247</v>
      </c>
    </row>
    <row r="61" spans="1:9" ht="32" x14ac:dyDescent="0.45">
      <c r="A61" s="14" t="s">
        <v>1</v>
      </c>
      <c r="B61" s="5" t="s">
        <v>2</v>
      </c>
      <c r="C61" s="5" t="s">
        <v>119</v>
      </c>
      <c r="D61" s="5" t="s">
        <v>4</v>
      </c>
      <c r="E61" s="5"/>
      <c r="F61" s="10" t="s">
        <v>268</v>
      </c>
      <c r="G61" s="10" t="s">
        <v>82</v>
      </c>
      <c r="H61" s="10" t="s">
        <v>83</v>
      </c>
      <c r="I61" s="11" t="s">
        <v>269</v>
      </c>
    </row>
    <row r="62" spans="1:9" x14ac:dyDescent="0.45">
      <c r="A62" s="15" t="s">
        <v>248</v>
      </c>
      <c r="B62" s="31">
        <f>'[9]Weight%'!$B$28</f>
        <v>0.16986560628629513</v>
      </c>
      <c r="C62" s="17" t="s">
        <v>803</v>
      </c>
      <c r="D62" s="66" t="s">
        <v>191</v>
      </c>
      <c r="E62" s="17"/>
      <c r="F62" s="17">
        <v>156</v>
      </c>
      <c r="G62" s="104">
        <f>[20]Production!$AT$3</f>
        <v>0.54325231707251098</v>
      </c>
      <c r="H62" s="24">
        <f>G62/$G$70</f>
        <v>0.55222819427916847</v>
      </c>
      <c r="I62" s="25">
        <f>H62*$B$74</f>
        <v>536004264.85803372</v>
      </c>
    </row>
    <row r="63" spans="1:9" x14ac:dyDescent="0.45">
      <c r="A63" s="15" t="s">
        <v>249</v>
      </c>
      <c r="B63" s="31">
        <f>'[9]Weight%'!$B$58</f>
        <v>7.6846307385229545E-2</v>
      </c>
      <c r="C63" s="17" t="s">
        <v>803</v>
      </c>
      <c r="D63" s="66"/>
      <c r="E63" s="17"/>
      <c r="F63" s="17">
        <v>376</v>
      </c>
      <c r="G63" s="104">
        <f>[20]Production!$DA$3</f>
        <v>1.5603216054019939E-2</v>
      </c>
      <c r="H63" s="24">
        <f t="shared" ref="H63:H69" si="9">G63/$G$70</f>
        <v>1.5861019926968974E-2</v>
      </c>
      <c r="I63" s="25">
        <f t="shared" ref="I63:I69" si="10">H63*$B$74</f>
        <v>15395038.525605991</v>
      </c>
    </row>
    <row r="64" spans="1:9" x14ac:dyDescent="0.45">
      <c r="A64" s="15" t="s">
        <v>250</v>
      </c>
      <c r="B64" s="31">
        <f>'[9]Weight%'!$B$59</f>
        <v>6.5000000000000002E-2</v>
      </c>
      <c r="C64" s="17" t="s">
        <v>803</v>
      </c>
      <c r="D64" s="66"/>
      <c r="E64" s="17"/>
      <c r="F64" s="17">
        <v>392</v>
      </c>
      <c r="G64" s="104">
        <f>[20]Production!$DE$3</f>
        <v>0.11690506518541134</v>
      </c>
      <c r="H64" s="24">
        <f t="shared" si="9"/>
        <v>0.11883662714467765</v>
      </c>
      <c r="I64" s="25">
        <f t="shared" si="10"/>
        <v>115345322.1526216</v>
      </c>
    </row>
    <row r="65" spans="1:9" x14ac:dyDescent="0.45">
      <c r="A65" s="15" t="s">
        <v>252</v>
      </c>
      <c r="B65" s="31">
        <f>'[9]Weight%'!$B$69</f>
        <v>7.2999999999999995E-2</v>
      </c>
      <c r="C65" s="17" t="s">
        <v>803</v>
      </c>
      <c r="D65" s="66"/>
      <c r="E65" s="17"/>
      <c r="F65" s="17">
        <v>458</v>
      </c>
      <c r="G65" s="104">
        <f>[20]Production!$DX$3</f>
        <v>6.1287379431743207E-2</v>
      </c>
      <c r="H65" s="24">
        <f t="shared" si="9"/>
        <v>6.2299999120254773E-2</v>
      </c>
      <c r="I65" s="25">
        <f t="shared" si="10"/>
        <v>60469685.494230814</v>
      </c>
    </row>
    <row r="66" spans="1:9" x14ac:dyDescent="0.45">
      <c r="A66" s="15" t="s">
        <v>251</v>
      </c>
      <c r="B66" s="31">
        <v>1</v>
      </c>
      <c r="C66" s="17" t="s">
        <v>803</v>
      </c>
      <c r="D66" s="66"/>
      <c r="E66" s="17"/>
      <c r="F66" s="17">
        <v>484</v>
      </c>
      <c r="G66" s="104">
        <f>[20]Production!$ED$3</f>
        <v>3.268862261507792E-2</v>
      </c>
      <c r="H66" s="24">
        <f t="shared" si="9"/>
        <v>3.3228719828521637E-2</v>
      </c>
      <c r="I66" s="25">
        <f t="shared" si="10"/>
        <v>32252492.227617826</v>
      </c>
    </row>
    <row r="67" spans="1:9" x14ac:dyDescent="0.45">
      <c r="A67" s="15" t="s">
        <v>253</v>
      </c>
      <c r="B67" s="76">
        <f>('[9]Weight%'!$B$77/data_2tier!B119)*('[9]Flow amounts'!$B$6/('[9]Flow amounts'!$B$6+'[9]Flow amounts'!$B$7))</f>
        <v>8.3162791880051018E-2</v>
      </c>
      <c r="C67" s="17" t="s">
        <v>803</v>
      </c>
      <c r="D67" s="66"/>
      <c r="E67" s="17"/>
      <c r="F67" s="17">
        <v>608</v>
      </c>
      <c r="G67" s="104">
        <f>[20]Production!$FM$3</f>
        <v>5.4348200562302662E-2</v>
      </c>
      <c r="H67" s="24">
        <f t="shared" si="9"/>
        <v>5.5246167785486931E-2</v>
      </c>
      <c r="I67" s="25">
        <f t="shared" si="10"/>
        <v>53623088.891244896</v>
      </c>
    </row>
    <row r="68" spans="1:9" x14ac:dyDescent="0.45">
      <c r="A68" s="15" t="s">
        <v>254</v>
      </c>
      <c r="B68" s="23">
        <f>B62*data_1tier!B11</f>
        <v>30652248.654361956</v>
      </c>
      <c r="C68" s="17" t="s">
        <v>11</v>
      </c>
      <c r="D68" s="17"/>
      <c r="E68" s="17"/>
      <c r="F68" s="17">
        <v>702</v>
      </c>
      <c r="G68" s="104">
        <f>[20]Production!$GL$3</f>
        <v>9.294150623456654E-2</v>
      </c>
      <c r="H68" s="24">
        <f t="shared" si="9"/>
        <v>9.447713069698721E-2</v>
      </c>
      <c r="I68" s="25">
        <f t="shared" si="10"/>
        <v>91701484.114255205</v>
      </c>
    </row>
    <row r="69" spans="1:9" x14ac:dyDescent="0.45">
      <c r="A69" s="15" t="s">
        <v>255</v>
      </c>
      <c r="B69" s="23">
        <f>B63*data_1tier!B53</f>
        <v>586596130.4823097</v>
      </c>
      <c r="C69" s="17" t="s">
        <v>11</v>
      </c>
      <c r="D69" s="17"/>
      <c r="E69" s="17"/>
      <c r="F69" s="17">
        <v>842</v>
      </c>
      <c r="G69" s="104">
        <f>[20]Production!$HT$3</f>
        <v>6.6719765030388664E-2</v>
      </c>
      <c r="H69" s="24">
        <f t="shared" si="9"/>
        <v>6.7822141217934451E-2</v>
      </c>
      <c r="I69" s="25">
        <f t="shared" si="10"/>
        <v>65829592.406213067</v>
      </c>
    </row>
    <row r="70" spans="1:9" x14ac:dyDescent="0.45">
      <c r="A70" s="15" t="s">
        <v>256</v>
      </c>
      <c r="B70" s="23">
        <f>B64*data_1tier!B52</f>
        <v>211690985.54613546</v>
      </c>
      <c r="C70" s="17" t="s">
        <v>11</v>
      </c>
      <c r="D70" s="17"/>
      <c r="E70" s="17"/>
      <c r="F70" s="17"/>
      <c r="G70" s="104">
        <f>SUM(G62:G69)</f>
        <v>0.98374607218602117</v>
      </c>
      <c r="H70" s="17"/>
      <c r="I70" s="21"/>
    </row>
    <row r="71" spans="1:9" x14ac:dyDescent="0.45">
      <c r="A71" s="15" t="s">
        <v>257</v>
      </c>
      <c r="B71" s="23">
        <f>B65*data_1tier!B86</f>
        <v>439866.93856067333</v>
      </c>
      <c r="C71" s="17" t="s">
        <v>11</v>
      </c>
      <c r="D71" s="17"/>
      <c r="E71" s="17"/>
      <c r="F71" s="17"/>
      <c r="G71" s="17"/>
      <c r="H71" s="17"/>
      <c r="I71" s="21"/>
    </row>
    <row r="72" spans="1:9" x14ac:dyDescent="0.45">
      <c r="A72" s="15" t="s">
        <v>258</v>
      </c>
      <c r="B72" s="23">
        <f>data_2tier!B53</f>
        <v>91845755.435830057</v>
      </c>
      <c r="C72" s="17" t="s">
        <v>11</v>
      </c>
      <c r="D72" s="17"/>
      <c r="E72" s="17"/>
      <c r="F72" s="17"/>
      <c r="G72" s="17"/>
      <c r="H72" s="17"/>
      <c r="I72" s="21"/>
    </row>
    <row r="73" spans="1:9" x14ac:dyDescent="0.45">
      <c r="A73" s="15" t="s">
        <v>259</v>
      </c>
      <c r="B73" s="23">
        <f>B67*data_2tier!B123</f>
        <v>49395981.612625256</v>
      </c>
      <c r="C73" s="17" t="s">
        <v>11</v>
      </c>
      <c r="D73" s="17"/>
      <c r="E73" s="17"/>
      <c r="F73" s="17"/>
      <c r="G73" s="17"/>
      <c r="H73" s="17"/>
      <c r="I73" s="21"/>
    </row>
    <row r="74" spans="1:9" x14ac:dyDescent="0.45">
      <c r="A74" s="15" t="s">
        <v>266</v>
      </c>
      <c r="B74" s="23">
        <f>SUM(B68:B73)</f>
        <v>970620968.66982305</v>
      </c>
      <c r="C74" s="17" t="s">
        <v>11</v>
      </c>
      <c r="D74" s="17"/>
      <c r="E74" s="17"/>
      <c r="F74" s="17"/>
      <c r="G74" s="17"/>
      <c r="H74" s="17"/>
      <c r="I74" s="21"/>
    </row>
    <row r="75" spans="1:9" x14ac:dyDescent="0.45">
      <c r="A75" s="15" t="s">
        <v>260</v>
      </c>
      <c r="B75" s="23">
        <f>B62*data_1tier!B13</f>
        <v>76630621.635904893</v>
      </c>
      <c r="C75" s="17" t="s">
        <v>11</v>
      </c>
      <c r="D75" s="17"/>
      <c r="E75" s="17"/>
      <c r="F75" s="17"/>
      <c r="G75" s="17"/>
      <c r="H75" s="17"/>
      <c r="I75" s="21"/>
    </row>
    <row r="76" spans="1:9" x14ac:dyDescent="0.45">
      <c r="A76" s="15" t="s">
        <v>261</v>
      </c>
      <c r="B76" s="23">
        <f>B63*data_1tier!B57</f>
        <v>3103252575.4542613</v>
      </c>
      <c r="C76" s="17" t="s">
        <v>11</v>
      </c>
      <c r="D76" s="17"/>
      <c r="E76" s="17"/>
      <c r="F76" s="17"/>
      <c r="G76" s="17"/>
      <c r="H76" s="17"/>
      <c r="I76" s="21"/>
    </row>
    <row r="77" spans="1:9" x14ac:dyDescent="0.45">
      <c r="A77" s="15" t="s">
        <v>262</v>
      </c>
      <c r="B77" s="23">
        <f>B64*data_1tier!B56</f>
        <v>991605142.82137144</v>
      </c>
      <c r="C77" s="17" t="s">
        <v>11</v>
      </c>
      <c r="D77" s="17"/>
      <c r="E77" s="17"/>
      <c r="F77" s="17"/>
      <c r="G77" s="17"/>
      <c r="H77" s="17"/>
      <c r="I77" s="21"/>
    </row>
    <row r="78" spans="1:9" x14ac:dyDescent="0.45">
      <c r="A78" s="15" t="s">
        <v>263</v>
      </c>
      <c r="B78" s="23">
        <f>B65*data_1tier!B87</f>
        <v>692790428.23306012</v>
      </c>
      <c r="C78" s="17" t="s">
        <v>11</v>
      </c>
      <c r="D78" s="17"/>
      <c r="E78" s="17"/>
      <c r="F78" s="17"/>
      <c r="G78" s="17"/>
      <c r="H78" s="17"/>
      <c r="I78" s="21"/>
    </row>
    <row r="79" spans="1:9" x14ac:dyDescent="0.45">
      <c r="A79" s="15" t="s">
        <v>264</v>
      </c>
      <c r="B79" s="23">
        <f>B66*data_2tier!B56</f>
        <v>143800955.43583006</v>
      </c>
      <c r="C79" s="17" t="s">
        <v>11</v>
      </c>
      <c r="D79" s="17"/>
      <c r="E79" s="17"/>
      <c r="F79" s="17"/>
      <c r="G79" s="17"/>
      <c r="H79" s="17"/>
      <c r="I79" s="21"/>
    </row>
    <row r="80" spans="1:9" x14ac:dyDescent="0.45">
      <c r="A80" s="15" t="s">
        <v>265</v>
      </c>
      <c r="B80" s="23">
        <f>B67*data_2tier!B126</f>
        <v>346534223.76736355</v>
      </c>
      <c r="C80" s="17" t="s">
        <v>11</v>
      </c>
      <c r="D80" s="17"/>
      <c r="E80" s="17"/>
      <c r="F80" s="17"/>
      <c r="G80" s="17"/>
      <c r="H80" s="17"/>
      <c r="I80" s="21"/>
    </row>
    <row r="81" spans="1:10" x14ac:dyDescent="0.45">
      <c r="A81" s="51" t="s">
        <v>267</v>
      </c>
      <c r="B81" s="26">
        <f>SUM(B75:B80)</f>
        <v>5354613947.3477917</v>
      </c>
      <c r="C81" s="45" t="s">
        <v>11</v>
      </c>
      <c r="D81" s="45"/>
      <c r="E81" s="45"/>
      <c r="F81" s="45"/>
      <c r="G81" s="45"/>
      <c r="H81" s="45"/>
      <c r="I81" s="28"/>
    </row>
    <row r="83" spans="1:10" x14ac:dyDescent="0.45">
      <c r="A83" s="30" t="s">
        <v>270</v>
      </c>
    </row>
    <row r="84" spans="1:10" x14ac:dyDescent="0.45">
      <c r="A84" s="14" t="s">
        <v>1</v>
      </c>
      <c r="B84" s="5" t="s">
        <v>2</v>
      </c>
      <c r="C84" s="5" t="s">
        <v>119</v>
      </c>
      <c r="D84" s="5" t="s">
        <v>4</v>
      </c>
      <c r="E84" s="5"/>
      <c r="F84" s="5"/>
      <c r="G84" s="5"/>
      <c r="H84" s="5"/>
      <c r="I84" s="5"/>
      <c r="J84" s="20"/>
    </row>
    <row r="85" spans="1:10" x14ac:dyDescent="0.45">
      <c r="A85" s="15" t="s">
        <v>271</v>
      </c>
      <c r="B85" s="31">
        <f>'[9]Weight%'!$B$29</f>
        <v>1.5157624159765274E-2</v>
      </c>
      <c r="C85" s="17" t="s">
        <v>803</v>
      </c>
      <c r="D85" s="66" t="s">
        <v>191</v>
      </c>
      <c r="E85" s="17"/>
      <c r="F85" s="17"/>
      <c r="G85" s="17" t="s">
        <v>793</v>
      </c>
      <c r="H85" s="17"/>
      <c r="I85" s="17"/>
      <c r="J85" s="21"/>
    </row>
    <row r="86" spans="1:10" ht="32" x14ac:dyDescent="0.45">
      <c r="A86" s="15" t="s">
        <v>272</v>
      </c>
      <c r="B86" s="76">
        <f>'[9]Weight%'!$B$80*('[9]Weight%'!$B$26/('[9]Weight%'!$B$26+'[9]Weight%'!$B$30))</f>
        <v>3.1294945939150114E-3</v>
      </c>
      <c r="C86" s="17" t="s">
        <v>803</v>
      </c>
      <c r="D86" s="66"/>
      <c r="E86" s="17"/>
      <c r="F86" s="17"/>
      <c r="G86" s="17" t="s">
        <v>129</v>
      </c>
      <c r="H86" s="8" t="s">
        <v>288</v>
      </c>
      <c r="I86" s="8" t="s">
        <v>83</v>
      </c>
      <c r="J86" s="58" t="s">
        <v>84</v>
      </c>
    </row>
    <row r="87" spans="1:10" x14ac:dyDescent="0.45">
      <c r="A87" s="15" t="s">
        <v>273</v>
      </c>
      <c r="B87" s="76">
        <f>('[9]Weight%'!$B$81/'[9]Weight%'!$B$37)*('[9]Flow amounts'!$B$6/('[9]Flow amounts'!$B$6+'[9]Flow amounts'!$B$7))+('[9]Weight%'!$B$82/'[9]Weight%'!$B$45)*('[9]Flow amounts'!$B$7/('[9]Flow amounts'!$B$6+'[9]Flow amounts'!$B$7))</f>
        <v>0.18364146118138902</v>
      </c>
      <c r="C87" s="17" t="s">
        <v>803</v>
      </c>
      <c r="D87" s="66"/>
      <c r="E87" s="17"/>
      <c r="F87" s="17"/>
      <c r="G87" s="17" t="s">
        <v>132</v>
      </c>
      <c r="H87" s="106">
        <v>0.92</v>
      </c>
      <c r="I87" s="89">
        <f>H87/$H$94</f>
        <v>0.91089108910891115</v>
      </c>
      <c r="J87" s="25">
        <f>I87*$B$95</f>
        <v>34425404.704854578</v>
      </c>
    </row>
    <row r="88" spans="1:10" x14ac:dyDescent="0.45">
      <c r="A88" s="15" t="s">
        <v>274</v>
      </c>
      <c r="B88" s="31">
        <f>'[9]Weight%'!$B$83</f>
        <v>9.6000000000000002E-4</v>
      </c>
      <c r="C88" s="17" t="s">
        <v>803</v>
      </c>
      <c r="D88" s="66"/>
      <c r="E88" s="17"/>
      <c r="F88" s="17"/>
      <c r="G88" s="17" t="s">
        <v>138</v>
      </c>
      <c r="H88" s="98">
        <v>7.0000000000000007E-2</v>
      </c>
      <c r="I88" s="89">
        <f t="shared" ref="I88:I93" si="11">H88/$H$94</f>
        <v>6.9306930693069327E-2</v>
      </c>
      <c r="J88" s="25">
        <f t="shared" ref="J88:J93" si="12">I88*$B$95</f>
        <v>2619324.271021544</v>
      </c>
    </row>
    <row r="89" spans="1:10" x14ac:dyDescent="0.45">
      <c r="A89" s="15" t="s">
        <v>275</v>
      </c>
      <c r="B89" s="31">
        <f>'[9]Weight%'!$B$84</f>
        <v>2.1600000000000002E-4</v>
      </c>
      <c r="C89" s="17" t="s">
        <v>803</v>
      </c>
      <c r="D89" s="66"/>
      <c r="E89" s="17"/>
      <c r="F89" s="17"/>
      <c r="G89" s="17" t="s">
        <v>289</v>
      </c>
      <c r="H89" s="106">
        <v>0.01</v>
      </c>
      <c r="I89" s="89">
        <f t="shared" si="11"/>
        <v>9.9009900990099028E-3</v>
      </c>
      <c r="J89" s="25">
        <f t="shared" si="12"/>
        <v>374189.18157450628</v>
      </c>
    </row>
    <row r="90" spans="1:10" x14ac:dyDescent="0.45">
      <c r="A90" s="15" t="s">
        <v>281</v>
      </c>
      <c r="B90" s="23">
        <f>B85*data_1tier!B11</f>
        <v>2735193.2796296435</v>
      </c>
      <c r="C90" s="17" t="s">
        <v>11</v>
      </c>
      <c r="D90" s="17"/>
      <c r="E90" s="17"/>
      <c r="F90" s="17"/>
      <c r="G90" s="17" t="s">
        <v>136</v>
      </c>
      <c r="H90" s="98">
        <v>2.5000000000000001E-3</v>
      </c>
      <c r="I90" s="89">
        <f t="shared" si="11"/>
        <v>2.4752475247524757E-3</v>
      </c>
      <c r="J90" s="25">
        <f t="shared" si="12"/>
        <v>93547.295393626569</v>
      </c>
    </row>
    <row r="91" spans="1:10" x14ac:dyDescent="0.45">
      <c r="A91" s="15" t="s">
        <v>282</v>
      </c>
      <c r="B91" s="23">
        <f>B86*data_2tier!B106</f>
        <v>281340.62444851687</v>
      </c>
      <c r="C91" s="17" t="s">
        <v>11</v>
      </c>
      <c r="D91" s="17"/>
      <c r="E91" s="17"/>
      <c r="F91" s="17"/>
      <c r="G91" s="17" t="s">
        <v>134</v>
      </c>
      <c r="H91" s="104">
        <v>2.5000000000000001E-3</v>
      </c>
      <c r="I91" s="24">
        <f t="shared" si="11"/>
        <v>2.4752475247524757E-3</v>
      </c>
      <c r="J91" s="25">
        <f t="shared" si="12"/>
        <v>93547.295393626569</v>
      </c>
    </row>
    <row r="92" spans="1:10" x14ac:dyDescent="0.45">
      <c r="A92" s="15" t="s">
        <v>283</v>
      </c>
      <c r="B92" s="23">
        <f>B87*data_2tier!B72</f>
        <v>26745074.891333852</v>
      </c>
      <c r="C92" s="17" t="s">
        <v>11</v>
      </c>
      <c r="D92" s="17"/>
      <c r="E92" s="17"/>
      <c r="F92" s="17"/>
      <c r="G92" s="17" t="s">
        <v>290</v>
      </c>
      <c r="H92" s="104">
        <v>2.5000000000000001E-3</v>
      </c>
      <c r="I92" s="24">
        <f t="shared" si="11"/>
        <v>2.4752475247524757E-3</v>
      </c>
      <c r="J92" s="25">
        <f t="shared" si="12"/>
        <v>93547.295393626569</v>
      </c>
    </row>
    <row r="93" spans="1:10" x14ac:dyDescent="0.45">
      <c r="A93" s="15" t="s">
        <v>284</v>
      </c>
      <c r="B93" s="23">
        <f>B88*data_1tier!B53</f>
        <v>7328033.114721342</v>
      </c>
      <c r="C93" s="17" t="s">
        <v>11</v>
      </c>
      <c r="D93" s="17"/>
      <c r="E93" s="17"/>
      <c r="F93" s="17"/>
      <c r="G93" s="17" t="s">
        <v>143</v>
      </c>
      <c r="H93" s="104">
        <v>2.5000000000000001E-3</v>
      </c>
      <c r="I93" s="24">
        <f t="shared" si="11"/>
        <v>2.4752475247524757E-3</v>
      </c>
      <c r="J93" s="25">
        <f t="shared" si="12"/>
        <v>93547.295393626569</v>
      </c>
    </row>
    <row r="94" spans="1:10" x14ac:dyDescent="0.45">
      <c r="A94" s="15" t="s">
        <v>285</v>
      </c>
      <c r="B94" s="23">
        <f>B89*data_1tier!B52</f>
        <v>703465.42889177322</v>
      </c>
      <c r="C94" s="17" t="s">
        <v>11</v>
      </c>
      <c r="D94" s="17"/>
      <c r="E94" s="17"/>
      <c r="F94" s="17"/>
      <c r="G94" s="17" t="s">
        <v>86</v>
      </c>
      <c r="H94" s="42">
        <f>SUM(H87:H93)</f>
        <v>1.0099999999999998</v>
      </c>
      <c r="I94" s="17"/>
      <c r="J94" s="21"/>
    </row>
    <row r="95" spans="1:10" ht="32" x14ac:dyDescent="0.45">
      <c r="A95" s="16" t="s">
        <v>286</v>
      </c>
      <c r="B95" s="23">
        <f>SUM(B90:B94)</f>
        <v>37793107.339025125</v>
      </c>
      <c r="C95" s="17" t="s">
        <v>11</v>
      </c>
      <c r="D95" s="17"/>
      <c r="E95" s="17"/>
      <c r="F95" s="17"/>
      <c r="G95" s="17"/>
      <c r="H95" s="17"/>
      <c r="I95" s="17"/>
      <c r="J95" s="21"/>
    </row>
    <row r="96" spans="1:10" x14ac:dyDescent="0.45">
      <c r="A96" s="15" t="s">
        <v>276</v>
      </c>
      <c r="B96" s="23">
        <f>B85*data_1tier!B13</f>
        <v>6837983.1990741091</v>
      </c>
      <c r="C96" s="17" t="s">
        <v>11</v>
      </c>
      <c r="D96" s="17"/>
      <c r="E96" s="17"/>
      <c r="F96" s="17"/>
      <c r="G96" s="17"/>
      <c r="H96" s="17"/>
      <c r="I96" s="17"/>
      <c r="J96" s="21"/>
    </row>
    <row r="97" spans="1:10" x14ac:dyDescent="0.45">
      <c r="A97" s="15" t="s">
        <v>277</v>
      </c>
      <c r="B97" s="23">
        <f>B86*data_2tier!B107</f>
        <v>703351.56112129218</v>
      </c>
      <c r="C97" s="17" t="s">
        <v>11</v>
      </c>
      <c r="D97" s="17"/>
      <c r="E97" s="17"/>
      <c r="F97" s="17"/>
      <c r="G97" s="17"/>
      <c r="H97" s="17"/>
      <c r="I97" s="17"/>
      <c r="J97" s="21"/>
    </row>
    <row r="98" spans="1:10" x14ac:dyDescent="0.45">
      <c r="A98" s="15" t="s">
        <v>278</v>
      </c>
      <c r="B98" s="23">
        <f>B87*data_2tier!B75</f>
        <v>155239199.55842033</v>
      </c>
      <c r="C98" s="17" t="s">
        <v>11</v>
      </c>
      <c r="D98" s="17"/>
      <c r="E98" s="17"/>
      <c r="F98" s="17"/>
      <c r="G98" s="17"/>
      <c r="H98" s="17"/>
      <c r="I98" s="17"/>
      <c r="J98" s="21"/>
    </row>
    <row r="99" spans="1:10" x14ac:dyDescent="0.45">
      <c r="A99" s="15" t="s">
        <v>279</v>
      </c>
      <c r="B99" s="23">
        <f>B88*data_1tier!B57</f>
        <v>38767282.043908611</v>
      </c>
      <c r="C99" s="17" t="s">
        <v>11</v>
      </c>
      <c r="D99" s="17"/>
      <c r="E99" s="17"/>
      <c r="F99" s="17"/>
      <c r="G99" s="17"/>
      <c r="H99" s="17"/>
      <c r="I99" s="17"/>
      <c r="J99" s="21"/>
    </row>
    <row r="100" spans="1:10" x14ac:dyDescent="0.45">
      <c r="A100" s="15" t="s">
        <v>280</v>
      </c>
      <c r="B100" s="23">
        <f>B89*data_1tier!B56</f>
        <v>3295180.1669140961</v>
      </c>
      <c r="C100" s="17" t="s">
        <v>11</v>
      </c>
      <c r="D100" s="17"/>
      <c r="E100" s="17"/>
      <c r="F100" s="17"/>
      <c r="G100" s="17"/>
      <c r="H100" s="17"/>
      <c r="I100" s="17"/>
      <c r="J100" s="21"/>
    </row>
    <row r="101" spans="1:10" x14ac:dyDescent="0.45">
      <c r="A101" s="51" t="s">
        <v>287</v>
      </c>
      <c r="B101" s="26">
        <f>SUM(B96:B100)</f>
        <v>204842996.52943844</v>
      </c>
      <c r="C101" s="45" t="s">
        <v>11</v>
      </c>
      <c r="D101" s="45"/>
      <c r="E101" s="45"/>
      <c r="F101" s="45"/>
      <c r="G101" s="45"/>
      <c r="H101" s="45"/>
      <c r="I101" s="45"/>
      <c r="J101" s="28"/>
    </row>
    <row r="104" spans="1:10" x14ac:dyDescent="0.45">
      <c r="A104" s="1" t="s">
        <v>792</v>
      </c>
    </row>
    <row r="105" spans="1:10" x14ac:dyDescent="0.45">
      <c r="A105" t="s">
        <v>794</v>
      </c>
    </row>
    <row r="106" spans="1:10" x14ac:dyDescent="0.45">
      <c r="A106" t="s">
        <v>795</v>
      </c>
    </row>
    <row r="107" spans="1:10" x14ac:dyDescent="0.45">
      <c r="A107" t="s">
        <v>796</v>
      </c>
    </row>
    <row r="108" spans="1:10" x14ac:dyDescent="0.45">
      <c r="A108" t="s">
        <v>797</v>
      </c>
    </row>
  </sheetData>
  <mergeCells count="6">
    <mergeCell ref="D5:D6"/>
    <mergeCell ref="D22:D23"/>
    <mergeCell ref="D38:D39"/>
    <mergeCell ref="D62:D67"/>
    <mergeCell ref="D85:D89"/>
    <mergeCell ref="O4:R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C5" sqref="C5"/>
    </sheetView>
  </sheetViews>
  <sheetFormatPr baseColWidth="10" defaultRowHeight="16" x14ac:dyDescent="0.45"/>
  <cols>
    <col min="1" max="1" width="40" customWidth="1"/>
    <col min="2" max="2" width="17.7265625" customWidth="1"/>
    <col min="4" max="4" width="29.90625" customWidth="1"/>
    <col min="6" max="6" width="21.54296875" customWidth="1"/>
    <col min="7" max="7" width="23.7265625" customWidth="1"/>
    <col min="8" max="8" width="22.453125" customWidth="1"/>
    <col min="9" max="9" width="19.453125" customWidth="1"/>
  </cols>
  <sheetData>
    <row r="1" spans="1:9" ht="17.5" x14ac:dyDescent="0.45">
      <c r="A1" s="13" t="s">
        <v>296</v>
      </c>
    </row>
    <row r="3" spans="1:9" x14ac:dyDescent="0.45">
      <c r="A3" s="30" t="s">
        <v>291</v>
      </c>
    </row>
    <row r="4" spans="1:9" ht="32" x14ac:dyDescent="0.45">
      <c r="A4" s="14" t="s">
        <v>1</v>
      </c>
      <c r="B4" s="5" t="s">
        <v>2</v>
      </c>
      <c r="C4" s="5" t="s">
        <v>119</v>
      </c>
      <c r="D4" s="5" t="s">
        <v>4</v>
      </c>
      <c r="E4" s="5"/>
      <c r="F4" s="10" t="s">
        <v>297</v>
      </c>
      <c r="G4" s="10" t="s">
        <v>82</v>
      </c>
      <c r="H4" s="10" t="s">
        <v>83</v>
      </c>
      <c r="I4" s="11" t="s">
        <v>84</v>
      </c>
    </row>
    <row r="5" spans="1:9" ht="32" x14ac:dyDescent="0.45">
      <c r="A5" s="15" t="s">
        <v>292</v>
      </c>
      <c r="B5" s="76">
        <f>'[9]Weight%'!$B$90*'[9]Weight%'!$B$71</f>
        <v>0.10412341515591779</v>
      </c>
      <c r="C5" s="17" t="s">
        <v>803</v>
      </c>
      <c r="D5" s="48" t="s">
        <v>191</v>
      </c>
      <c r="E5" s="17"/>
      <c r="F5" s="17" t="s">
        <v>298</v>
      </c>
      <c r="G5" s="104">
        <f>[21]Production!$M$3</f>
        <v>7.2739286267501271E-2</v>
      </c>
      <c r="H5" s="24">
        <f>G5/$G$23</f>
        <v>7.9972618022800965E-2</v>
      </c>
      <c r="I5" s="25">
        <f>H5*$B$6</f>
        <v>682432.12149837834</v>
      </c>
    </row>
    <row r="6" spans="1:9" x14ac:dyDescent="0.45">
      <c r="A6" s="15" t="s">
        <v>293</v>
      </c>
      <c r="B6" s="23">
        <f>B5*data_3tier!B7</f>
        <v>8533322.2591738887</v>
      </c>
      <c r="C6" s="17" t="s">
        <v>11</v>
      </c>
      <c r="D6" s="17"/>
      <c r="E6" s="17"/>
      <c r="F6" s="17" t="s">
        <v>132</v>
      </c>
      <c r="G6" s="104">
        <f>[21]Production!$AT$3</f>
        <v>0.37620659031306231</v>
      </c>
      <c r="H6" s="24">
        <f t="shared" ref="H6:H22" si="0">G6/$G$23</f>
        <v>0.41361728288237198</v>
      </c>
      <c r="I6" s="25">
        <f t="shared" ref="I6:I22" si="1">H6*$B$6</f>
        <v>3529529.566799168</v>
      </c>
    </row>
    <row r="7" spans="1:9" x14ac:dyDescent="0.45">
      <c r="A7" s="15" t="s">
        <v>294</v>
      </c>
      <c r="B7" s="23">
        <f>B5*data_3tier!B8</f>
        <v>30031173.916720495</v>
      </c>
      <c r="C7" s="17" t="s">
        <v>11</v>
      </c>
      <c r="D7" s="17"/>
      <c r="E7" s="17"/>
      <c r="F7" s="17" t="s">
        <v>299</v>
      </c>
      <c r="G7" s="104">
        <f>[21]Production!$BD$3</f>
        <v>2.0069112270487431E-2</v>
      </c>
      <c r="H7" s="24">
        <f t="shared" si="0"/>
        <v>2.2064822629163986E-2</v>
      </c>
      <c r="I7" s="25">
        <f t="shared" si="1"/>
        <v>188286.24208616876</v>
      </c>
    </row>
    <row r="8" spans="1:9" x14ac:dyDescent="0.45">
      <c r="A8" s="15"/>
      <c r="B8" s="17"/>
      <c r="C8" s="17"/>
      <c r="D8" s="17"/>
      <c r="E8" s="17"/>
      <c r="F8" s="17" t="s">
        <v>135</v>
      </c>
      <c r="G8" s="104">
        <f>[21]Production!$BW$3</f>
        <v>1.4204944723089708E-2</v>
      </c>
      <c r="H8" s="24">
        <f t="shared" si="0"/>
        <v>1.5617511205663353E-2</v>
      </c>
      <c r="I8" s="25">
        <f t="shared" si="1"/>
        <v>133269.25600418472</v>
      </c>
    </row>
    <row r="9" spans="1:9" x14ac:dyDescent="0.45">
      <c r="A9" s="15"/>
      <c r="B9" s="17"/>
      <c r="C9" s="17"/>
      <c r="D9" s="17"/>
      <c r="E9" s="17"/>
      <c r="F9" s="17" t="s">
        <v>136</v>
      </c>
      <c r="G9" s="104">
        <f>[21]Production!$CE$3</f>
        <v>7.9042630863031399E-2</v>
      </c>
      <c r="H9" s="24">
        <f t="shared" si="0"/>
        <v>8.6902779088041435E-2</v>
      </c>
      <c r="I9" s="25">
        <f t="shared" si="1"/>
        <v>741569.41917605512</v>
      </c>
    </row>
    <row r="10" spans="1:9" x14ac:dyDescent="0.45">
      <c r="A10" s="15"/>
      <c r="B10" s="17"/>
      <c r="C10" s="17"/>
      <c r="D10" s="17"/>
      <c r="E10" s="17"/>
      <c r="F10" s="17" t="s">
        <v>300</v>
      </c>
      <c r="G10" s="104">
        <f>[21]Production!$CI$3</f>
        <v>1.4980800371942098E-2</v>
      </c>
      <c r="H10" s="24">
        <f t="shared" si="0"/>
        <v>1.6470519402888767E-2</v>
      </c>
      <c r="I10" s="25">
        <f t="shared" si="1"/>
        <v>140548.24984082615</v>
      </c>
    </row>
    <row r="11" spans="1:9" x14ac:dyDescent="0.45">
      <c r="A11" s="15"/>
      <c r="B11" s="17"/>
      <c r="C11" s="17"/>
      <c r="D11" s="17"/>
      <c r="E11" s="17"/>
      <c r="F11" s="17" t="s">
        <v>301</v>
      </c>
      <c r="G11" s="104">
        <f>[21]Production!$DB$3</f>
        <v>6.6399709991414133E-2</v>
      </c>
      <c r="H11" s="24">
        <f t="shared" si="0"/>
        <v>7.300262233038457E-2</v>
      </c>
      <c r="I11" s="25">
        <f t="shared" si="1"/>
        <v>622954.90210993541</v>
      </c>
    </row>
    <row r="12" spans="1:9" x14ac:dyDescent="0.45">
      <c r="A12" s="15"/>
      <c r="B12" s="17"/>
      <c r="C12" s="17"/>
      <c r="D12" s="17"/>
      <c r="E12" s="17"/>
      <c r="F12" s="17" t="s">
        <v>138</v>
      </c>
      <c r="G12" s="104">
        <f>[21]Production!$DE$3</f>
        <v>2.6264588278567612E-2</v>
      </c>
      <c r="H12" s="24">
        <f t="shared" si="0"/>
        <v>2.8876388451263498E-2</v>
      </c>
      <c r="I12" s="25">
        <f t="shared" si="1"/>
        <v>246411.52833571861</v>
      </c>
    </row>
    <row r="13" spans="1:9" x14ac:dyDescent="0.45">
      <c r="A13" s="15"/>
      <c r="B13" s="17"/>
      <c r="C13" s="17"/>
      <c r="D13" s="17"/>
      <c r="E13" s="17"/>
      <c r="F13" s="17" t="s">
        <v>140</v>
      </c>
      <c r="G13" s="104">
        <f>[21]Production!$DJ$3</f>
        <v>2.3806932725370409E-2</v>
      </c>
      <c r="H13" s="24">
        <f t="shared" si="0"/>
        <v>2.6174338996658542E-2</v>
      </c>
      <c r="I13" s="25">
        <f t="shared" si="1"/>
        <v>223354.06957934948</v>
      </c>
    </row>
    <row r="14" spans="1:9" x14ac:dyDescent="0.45">
      <c r="A14" s="15"/>
      <c r="B14" s="17"/>
      <c r="C14" s="17"/>
      <c r="D14" s="17"/>
      <c r="E14" s="17"/>
      <c r="F14" s="17" t="s">
        <v>302</v>
      </c>
      <c r="G14" s="104">
        <f>[21]Production!$DX$3</f>
        <v>2.269182486835513E-2</v>
      </c>
      <c r="H14" s="24">
        <f t="shared" si="0"/>
        <v>2.4948342712128729E-2</v>
      </c>
      <c r="I14" s="25">
        <f t="shared" si="1"/>
        <v>212892.24819490674</v>
      </c>
    </row>
    <row r="15" spans="1:9" x14ac:dyDescent="0.45">
      <c r="A15" s="15"/>
      <c r="B15" s="17"/>
      <c r="C15" s="17"/>
      <c r="D15" s="17"/>
      <c r="E15" s="17"/>
      <c r="F15" s="17" t="s">
        <v>303</v>
      </c>
      <c r="G15" s="104">
        <f>[21]Production!$FM$3</f>
        <v>2.9637175776911689E-2</v>
      </c>
      <c r="H15" s="24">
        <f t="shared" si="0"/>
        <v>3.2584352408479955E-2</v>
      </c>
      <c r="I15" s="25">
        <f t="shared" si="1"/>
        <v>278052.77970804833</v>
      </c>
    </row>
    <row r="16" spans="1:9" x14ac:dyDescent="0.45">
      <c r="A16" s="15"/>
      <c r="B16" s="17"/>
      <c r="C16" s="17"/>
      <c r="D16" s="17"/>
      <c r="E16" s="17"/>
      <c r="F16" s="17" t="s">
        <v>139</v>
      </c>
      <c r="G16" s="104">
        <f>[21]Production!$FO$3</f>
        <v>2.0950290085340988E-2</v>
      </c>
      <c r="H16" s="24">
        <f t="shared" si="0"/>
        <v>2.3033626427132168E-2</v>
      </c>
      <c r="I16" s="25">
        <f t="shared" si="1"/>
        <v>196553.35710014286</v>
      </c>
    </row>
    <row r="17" spans="1:9" x14ac:dyDescent="0.45">
      <c r="A17" s="15"/>
      <c r="B17" s="17"/>
      <c r="C17" s="17"/>
      <c r="D17" s="17"/>
      <c r="E17" s="17"/>
      <c r="F17" s="17" t="s">
        <v>223</v>
      </c>
      <c r="G17" s="104">
        <f>[21]Production!$GK$3</f>
        <v>1.8024109297164317E-2</v>
      </c>
      <c r="H17" s="24">
        <f t="shared" si="0"/>
        <v>1.9816460704912737E-2</v>
      </c>
      <c r="I17" s="25">
        <f t="shared" si="1"/>
        <v>169100.24523127655</v>
      </c>
    </row>
    <row r="18" spans="1:9" x14ac:dyDescent="0.45">
      <c r="A18" s="15"/>
      <c r="B18" s="17"/>
      <c r="C18" s="17"/>
      <c r="D18" s="17"/>
      <c r="E18" s="17"/>
      <c r="F18" s="17" t="s">
        <v>304</v>
      </c>
      <c r="G18" s="104">
        <f>[21]Production!$GZ$3</f>
        <v>1.8242806120623543E-2</v>
      </c>
      <c r="H18" s="24">
        <f t="shared" si="0"/>
        <v>2.0056905152786277E-2</v>
      </c>
      <c r="I18" s="25">
        <f t="shared" si="1"/>
        <v>171152.03519041059</v>
      </c>
    </row>
    <row r="19" spans="1:9" x14ac:dyDescent="0.45">
      <c r="A19" s="15"/>
      <c r="B19" s="17"/>
      <c r="C19" s="17"/>
      <c r="D19" s="17"/>
      <c r="E19" s="17"/>
      <c r="F19" s="17" t="s">
        <v>305</v>
      </c>
      <c r="G19" s="104">
        <f>[21]Production!$HC$3</f>
        <v>5.1621354655649251E-2</v>
      </c>
      <c r="H19" s="24">
        <f t="shared" si="0"/>
        <v>5.6754679479721966E-2</v>
      </c>
      <c r="I19" s="25">
        <f t="shared" si="1"/>
        <v>484305.969716591</v>
      </c>
    </row>
    <row r="20" spans="1:9" x14ac:dyDescent="0.45">
      <c r="A20" s="15"/>
      <c r="B20" s="17"/>
      <c r="C20" s="17"/>
      <c r="D20" s="17"/>
      <c r="E20" s="17"/>
      <c r="F20" s="17" t="s">
        <v>306</v>
      </c>
      <c r="G20" s="104">
        <f>[21]Production!$HH$3</f>
        <v>1.0972916063919194E-2</v>
      </c>
      <c r="H20" s="24">
        <f t="shared" si="0"/>
        <v>1.2064083523570863E-2</v>
      </c>
      <c r="I20" s="25">
        <f t="shared" si="1"/>
        <v>102946.71246822021</v>
      </c>
    </row>
    <row r="21" spans="1:9" x14ac:dyDescent="0.45">
      <c r="A21" s="15"/>
      <c r="B21" s="17"/>
      <c r="C21" s="17"/>
      <c r="D21" s="17"/>
      <c r="E21" s="17"/>
      <c r="F21" s="17" t="s">
        <v>307</v>
      </c>
      <c r="G21" s="104">
        <f>[21]Production!$HJ$3</f>
        <v>1.8475556290640672E-2</v>
      </c>
      <c r="H21" s="24">
        <f t="shared" si="0"/>
        <v>2.0312800438492949E-2</v>
      </c>
      <c r="I21" s="25">
        <f t="shared" si="1"/>
        <v>173335.67212794902</v>
      </c>
    </row>
    <row r="22" spans="1:9" x14ac:dyDescent="0.45">
      <c r="A22" s="15"/>
      <c r="B22" s="17"/>
      <c r="C22" s="17"/>
      <c r="D22" s="17"/>
      <c r="E22" s="17"/>
      <c r="F22" s="17" t="s">
        <v>143</v>
      </c>
      <c r="G22" s="104">
        <f>[21]Production!$HT$3</f>
        <v>2.5221766167504808E-2</v>
      </c>
      <c r="H22" s="24">
        <f t="shared" si="0"/>
        <v>2.7729866143537514E-2</v>
      </c>
      <c r="I22" s="25">
        <f t="shared" si="1"/>
        <v>236627.88400656107</v>
      </c>
    </row>
    <row r="23" spans="1:9" x14ac:dyDescent="0.45">
      <c r="A23" s="51"/>
      <c r="B23" s="45"/>
      <c r="C23" s="45"/>
      <c r="D23" s="45"/>
      <c r="E23" s="45"/>
      <c r="F23" s="45" t="s">
        <v>86</v>
      </c>
      <c r="G23" s="107">
        <f>SUM(G5:G22)</f>
        <v>0.90955239513057573</v>
      </c>
      <c r="H23" s="45"/>
      <c r="I23" s="28"/>
    </row>
    <row r="25" spans="1:9" x14ac:dyDescent="0.45">
      <c r="A25" s="30" t="s">
        <v>308</v>
      </c>
    </row>
    <row r="26" spans="1:9" ht="32" x14ac:dyDescent="0.45">
      <c r="A26" s="14" t="s">
        <v>1</v>
      </c>
      <c r="B26" s="5" t="s">
        <v>2</v>
      </c>
      <c r="C26" s="5" t="s">
        <v>119</v>
      </c>
      <c r="D26" s="5" t="s">
        <v>4</v>
      </c>
      <c r="E26" s="5"/>
      <c r="F26" s="10" t="s">
        <v>297</v>
      </c>
      <c r="G26" s="10" t="s">
        <v>82</v>
      </c>
      <c r="H26" s="10" t="s">
        <v>83</v>
      </c>
      <c r="I26" s="11" t="s">
        <v>84</v>
      </c>
    </row>
    <row r="27" spans="1:9" x14ac:dyDescent="0.45">
      <c r="A27" s="15" t="s">
        <v>309</v>
      </c>
      <c r="B27" s="76">
        <f>'[9]Weight%'!$B$86*('[9]Weight%'!$B$26/('[9]Weight%'!$B$26+'[9]Weight%'!$B$30))+'[9]Weight%'!$B$87*('[9]Weight%'!$B$30/('[9]Weight%'!$B$26+'[9]Weight%'!$B$30))</f>
        <v>8.7629511826516834E-2</v>
      </c>
      <c r="C27" s="17" t="s">
        <v>803</v>
      </c>
      <c r="D27" s="66" t="s">
        <v>191</v>
      </c>
      <c r="E27" s="17"/>
      <c r="F27" s="17" t="s">
        <v>298</v>
      </c>
      <c r="G27" s="42">
        <f>[22]Production!$M$5</f>
        <v>1.81061602906341E-2</v>
      </c>
      <c r="H27" s="24">
        <f>G27/$G$46</f>
        <v>2.0699919082261414E-2</v>
      </c>
      <c r="I27" s="25">
        <f>H27*$B$37</f>
        <v>26631572.423374951</v>
      </c>
    </row>
    <row r="28" spans="1:9" x14ac:dyDescent="0.45">
      <c r="A28" s="15" t="s">
        <v>310</v>
      </c>
      <c r="B28" s="76">
        <f>'[9]Weight%'!$B$88*'[9]Weight%'!$B$71+'[9]Weight%'!$B$89*'[9]Weight%'!$B$72</f>
        <v>0.26099236853983232</v>
      </c>
      <c r="C28" s="17" t="s">
        <v>803</v>
      </c>
      <c r="D28" s="66"/>
      <c r="E28" s="17"/>
      <c r="F28" s="17" t="s">
        <v>326</v>
      </c>
      <c r="G28" s="42">
        <f>[22]Production!$S$5</f>
        <v>2.2485881528850178E-2</v>
      </c>
      <c r="H28" s="24">
        <f t="shared" ref="H28:H45" si="2">G28/$G$46</f>
        <v>2.5707047804126915E-2</v>
      </c>
      <c r="I28" s="25">
        <f t="shared" ref="I28:I45" si="3">H28*$B$37</f>
        <v>33073516.020332918</v>
      </c>
    </row>
    <row r="29" spans="1:9" x14ac:dyDescent="0.45">
      <c r="A29" s="15" t="s">
        <v>311</v>
      </c>
      <c r="B29" s="76">
        <f>'[9]Weight%'!$B$91*'[9]Weight%'!$B$27</f>
        <v>9.0045369556539471E-3</v>
      </c>
      <c r="C29" s="17" t="s">
        <v>803</v>
      </c>
      <c r="D29" s="66"/>
      <c r="E29" s="17"/>
      <c r="F29" s="17" t="s">
        <v>327</v>
      </c>
      <c r="G29" s="42">
        <f>[22]Production!$AM$5</f>
        <v>1.7041045343013792E-2</v>
      </c>
      <c r="H29" s="24">
        <f t="shared" si="2"/>
        <v>1.9482223398850709E-2</v>
      </c>
      <c r="I29" s="25">
        <f t="shared" si="3"/>
        <v>25064940.657641478</v>
      </c>
    </row>
    <row r="30" spans="1:9" x14ac:dyDescent="0.45">
      <c r="A30" s="15" t="s">
        <v>312</v>
      </c>
      <c r="B30" s="76">
        <f>('[9]Weight%'!$B$92/('[9]Weight%'!$B$41+'[9]Weight%'!$B$39)+'[9]Weight%'!$B$93/('[9]Weight%'!$B$41+'[9]Weight%'!$B$39))*('[9]Flow amounts'!$B$6/('[9]Flow amounts'!$B$6+'[9]Flow amounts'!$B$7))+('[9]Weight%'!$B$94/'[9]Weight%'!$B$47)*('[9]Flow amounts'!$B$7/('[9]Flow amounts'!$B$6+'[9]Flow amounts'!$B$7))</f>
        <v>0.35881216105779168</v>
      </c>
      <c r="C30" s="17" t="s">
        <v>803</v>
      </c>
      <c r="D30" s="66"/>
      <c r="E30" s="17"/>
      <c r="F30" s="17" t="s">
        <v>132</v>
      </c>
      <c r="G30" s="42">
        <f>[22]Production!$AT$5</f>
        <v>0.23716088773089769</v>
      </c>
      <c r="H30" s="24">
        <f t="shared" si="2"/>
        <v>0.27113485723675429</v>
      </c>
      <c r="I30" s="25">
        <f t="shared" si="3"/>
        <v>348829749.44524282</v>
      </c>
    </row>
    <row r="31" spans="1:9" x14ac:dyDescent="0.45">
      <c r="A31" s="15" t="s">
        <v>313</v>
      </c>
      <c r="B31" s="76">
        <f>'[9]Weight%'!$B$95*'[9]Weight%'!$B$13/'[9]Weight%'!$B$57*('[9]Flow amounts'!$B$8/('[9]Flow amounts'!$B$8+'[9]Flow amounts'!$B$9+'[9]Flow amounts'!$B$10))+'[9]Weight%'!$B$96*'[9]Weight%'!$B$16/'[9]Weight%'!$B$56*('[9]Flow amounts'!$B$9/('[9]Flow amounts'!$B$8+'[9]Flow amounts'!$B$9+'[9]Flow amounts'!$B$10))+'[9]Weight%'!$B$97*'[9]Weight%'!$B$14/'[9]Weight%'!$B$57*('[9]Flow amounts'!$B$8/('[9]Flow amounts'!$B$8+'[9]Flow amounts'!$B$9+'[9]Flow amounts'!$B$10))+'[9]Weight%'!$B$97*'[9]Weight%'!$B$17/'[9]Weight%'!$B$56*('[9]Flow amounts'!$B$9/('[9]Flow amounts'!$B$8+'[9]Flow amounts'!$B$9+'[9]Flow amounts'!$B$10))+'[9]Weight%'!$B$98/('[9]Weight%'!$B$64*'[9]Weight%'!$B$19+'[9]Weight%'!$B$65*'[9]Weight%'!$B$20)*('[9]Flow amounts'!$B$10/('[9]Flow amounts'!$B$8+'[9]Flow amounts'!$B$9+'[9]Flow amounts'!$B$10))</f>
        <v>0.1192104929681659</v>
      </c>
      <c r="C31" s="17" t="s">
        <v>803</v>
      </c>
      <c r="D31" s="66"/>
      <c r="E31" s="17"/>
      <c r="F31" s="17" t="s">
        <v>135</v>
      </c>
      <c r="G31" s="42">
        <f>[22]Production!$BW$5</f>
        <v>5.2215940784860276E-2</v>
      </c>
      <c r="H31" s="24">
        <f t="shared" si="2"/>
        <v>5.9696022331684993E-2</v>
      </c>
      <c r="I31" s="25">
        <f t="shared" si="3"/>
        <v>76802181.486595258</v>
      </c>
    </row>
    <row r="32" spans="1:9" x14ac:dyDescent="0.45">
      <c r="A32" s="15" t="s">
        <v>314</v>
      </c>
      <c r="B32" s="23">
        <f>B27*data_2tier!B106</f>
        <v>7877866.804859696</v>
      </c>
      <c r="C32" s="17" t="s">
        <v>11</v>
      </c>
      <c r="D32" s="17"/>
      <c r="E32" s="17"/>
      <c r="F32" s="17" t="s">
        <v>136</v>
      </c>
      <c r="G32" s="42">
        <f>[22]Production!$CE$5</f>
        <v>0.16243924331100859</v>
      </c>
      <c r="H32" s="24">
        <f t="shared" si="2"/>
        <v>0.18570912542185902</v>
      </c>
      <c r="I32" s="25">
        <f t="shared" si="3"/>
        <v>238924896.45488763</v>
      </c>
    </row>
    <row r="33" spans="1:9" x14ac:dyDescent="0.45">
      <c r="A33" s="15" t="s">
        <v>315</v>
      </c>
      <c r="B33" s="23">
        <f>B28*data_3tier!B7</f>
        <v>21389348.251788381</v>
      </c>
      <c r="C33" s="17" t="s">
        <v>11</v>
      </c>
      <c r="D33" s="17"/>
      <c r="E33" s="17"/>
      <c r="F33" s="17" t="s">
        <v>300</v>
      </c>
      <c r="G33" s="42">
        <f>[22]Production!$CI$5</f>
        <v>1.939286845114346E-2</v>
      </c>
      <c r="H33" s="24">
        <f t="shared" si="2"/>
        <v>2.2170951834512412E-2</v>
      </c>
      <c r="I33" s="25">
        <f t="shared" si="3"/>
        <v>28524136.115196358</v>
      </c>
    </row>
    <row r="34" spans="1:9" x14ac:dyDescent="0.45">
      <c r="A34" s="15" t="s">
        <v>316</v>
      </c>
      <c r="B34" s="23">
        <f>B29*data_1tier!B11</f>
        <v>1624868.6936477548</v>
      </c>
      <c r="C34" s="17" t="s">
        <v>11</v>
      </c>
      <c r="D34" s="17"/>
      <c r="E34" s="17"/>
      <c r="F34" s="17" t="s">
        <v>301</v>
      </c>
      <c r="G34" s="42">
        <f>[22]Production!$DB$5</f>
        <v>3.0903721484363714E-2</v>
      </c>
      <c r="H34" s="24">
        <f t="shared" si="2"/>
        <v>3.5330767197392865E-2</v>
      </c>
      <c r="I34" s="25">
        <f t="shared" si="3"/>
        <v>45454954.758594915</v>
      </c>
    </row>
    <row r="35" spans="1:9" x14ac:dyDescent="0.45">
      <c r="A35" s="15" t="s">
        <v>317</v>
      </c>
      <c r="B35" s="23">
        <f>B30*data_2tier!B123</f>
        <v>213122701.9838495</v>
      </c>
      <c r="C35" s="17" t="s">
        <v>11</v>
      </c>
      <c r="D35" s="17"/>
      <c r="E35" s="17"/>
      <c r="F35" s="17" t="s">
        <v>138</v>
      </c>
      <c r="G35" s="42">
        <f>[22]Production!$DE$5</f>
        <v>1.8045801135606145E-2</v>
      </c>
      <c r="H35" s="24">
        <f t="shared" si="2"/>
        <v>2.0630913307160735E-2</v>
      </c>
      <c r="I35" s="25">
        <f t="shared" si="3"/>
        <v>26542792.738298807</v>
      </c>
    </row>
    <row r="36" spans="1:9" x14ac:dyDescent="0.45">
      <c r="A36" s="15" t="s">
        <v>318</v>
      </c>
      <c r="B36" s="23">
        <f>B31*data_2tier!B141</f>
        <v>1042539635.9300731</v>
      </c>
      <c r="C36" s="17" t="s">
        <v>11</v>
      </c>
      <c r="D36" s="17"/>
      <c r="E36" s="17"/>
      <c r="F36" s="17" t="s">
        <v>140</v>
      </c>
      <c r="G36" s="42">
        <f>[22]Production!$DJ$5</f>
        <v>7.5279604873439238E-2</v>
      </c>
      <c r="H36" s="24">
        <f t="shared" si="2"/>
        <v>8.6063621685204428E-2</v>
      </c>
      <c r="I36" s="25">
        <f t="shared" si="3"/>
        <v>110725533.02353626</v>
      </c>
    </row>
    <row r="37" spans="1:9" x14ac:dyDescent="0.45">
      <c r="A37" s="15" t="s">
        <v>324</v>
      </c>
      <c r="B37" s="23">
        <f>SUM(B32:B36)</f>
        <v>1286554421.6642184</v>
      </c>
      <c r="C37" s="17" t="s">
        <v>11</v>
      </c>
      <c r="D37" s="17"/>
      <c r="E37" s="17"/>
      <c r="F37" s="17" t="s">
        <v>222</v>
      </c>
      <c r="G37" s="42">
        <f>[22]Production!$FB$5</f>
        <v>1.3364958655314316E-2</v>
      </c>
      <c r="H37" s="24">
        <f t="shared" si="2"/>
        <v>1.5279526871629551E-2</v>
      </c>
      <c r="I37" s="25">
        <f t="shared" si="3"/>
        <v>19657942.857632242</v>
      </c>
    </row>
    <row r="38" spans="1:9" x14ac:dyDescent="0.45">
      <c r="A38" s="15" t="s">
        <v>319</v>
      </c>
      <c r="B38" s="23">
        <f>B27*data_2tier!B107</f>
        <v>19694667.012149241</v>
      </c>
      <c r="C38" s="17" t="s">
        <v>11</v>
      </c>
      <c r="D38" s="17"/>
      <c r="E38" s="17"/>
      <c r="F38" s="17" t="s">
        <v>141</v>
      </c>
      <c r="G38" s="42">
        <f>[22]Production!$FU$5</f>
        <v>1.5875993900377076E-2</v>
      </c>
      <c r="H38" s="24">
        <f t="shared" si="2"/>
        <v>1.8150275034197888E-2</v>
      </c>
      <c r="I38" s="25">
        <f t="shared" si="3"/>
        <v>23351316.599668965</v>
      </c>
    </row>
    <row r="39" spans="1:9" x14ac:dyDescent="0.45">
      <c r="A39" s="15" t="s">
        <v>320</v>
      </c>
      <c r="B39" s="23">
        <f>B28*data_3tier!B8</f>
        <v>75275164.561398387</v>
      </c>
      <c r="C39" s="17" t="s">
        <v>11</v>
      </c>
      <c r="D39" s="17"/>
      <c r="E39" s="17"/>
      <c r="F39" s="17" t="s">
        <v>328</v>
      </c>
      <c r="G39" s="42">
        <f>[22]Production!$GF$5</f>
        <v>2.3342881144235557E-2</v>
      </c>
      <c r="H39" s="24">
        <f t="shared" si="2"/>
        <v>2.6686815043964224E-2</v>
      </c>
      <c r="I39" s="25">
        <f t="shared" si="3"/>
        <v>34334039.894947357</v>
      </c>
    </row>
    <row r="40" spans="1:9" x14ac:dyDescent="0.45">
      <c r="A40" s="15" t="s">
        <v>321</v>
      </c>
      <c r="B40" s="23">
        <f>B29*data_1tier!B13</f>
        <v>4062171.7341193869</v>
      </c>
      <c r="C40" s="17" t="s">
        <v>11</v>
      </c>
      <c r="D40" s="17"/>
      <c r="E40" s="17"/>
      <c r="F40" s="17" t="s">
        <v>224</v>
      </c>
      <c r="G40" s="42">
        <f>[22]Production!$GQ$5</f>
        <v>1.2248134325748566E-2</v>
      </c>
      <c r="H40" s="24">
        <f t="shared" si="2"/>
        <v>1.4002714290716393E-2</v>
      </c>
      <c r="I40" s="25">
        <f t="shared" si="3"/>
        <v>18015253.986021917</v>
      </c>
    </row>
    <row r="41" spans="1:9" x14ac:dyDescent="0.45">
      <c r="A41" s="15" t="s">
        <v>322</v>
      </c>
      <c r="B41" s="23">
        <f>B30*data_2tier!B126</f>
        <v>1495148141.3682404</v>
      </c>
      <c r="C41" s="17" t="s">
        <v>11</v>
      </c>
      <c r="D41" s="17"/>
      <c r="E41" s="17"/>
      <c r="F41" s="17" t="s">
        <v>329</v>
      </c>
      <c r="G41" s="42">
        <f>[22]Production!$GS$5</f>
        <v>2.5357592249743106E-2</v>
      </c>
      <c r="H41" s="24">
        <f t="shared" si="2"/>
        <v>2.899013922693373E-2</v>
      </c>
      <c r="I41" s="25">
        <f t="shared" si="3"/>
        <v>37297391.8070729</v>
      </c>
    </row>
    <row r="42" spans="1:9" x14ac:dyDescent="0.45">
      <c r="A42" s="15" t="s">
        <v>323</v>
      </c>
      <c r="B42" s="23">
        <f>B31*data_2tier!B145</f>
        <v>6343010428.30972</v>
      </c>
      <c r="C42" s="17" t="s">
        <v>11</v>
      </c>
      <c r="D42" s="17"/>
      <c r="E42" s="17"/>
      <c r="F42" s="17" t="s">
        <v>304</v>
      </c>
      <c r="G42" s="42">
        <f>[22]Production!$GZ$5</f>
        <v>3.0628576930149778E-2</v>
      </c>
      <c r="H42" s="24">
        <f t="shared" si="2"/>
        <v>3.5016207405767719E-2</v>
      </c>
      <c r="I42" s="25">
        <f t="shared" si="3"/>
        <v>45050256.467801809</v>
      </c>
    </row>
    <row r="43" spans="1:9" x14ac:dyDescent="0.45">
      <c r="A43" s="15" t="s">
        <v>325</v>
      </c>
      <c r="B43" s="23">
        <f>SUM(B38:B42)</f>
        <v>7937190572.9856272</v>
      </c>
      <c r="C43" s="17" t="s">
        <v>11</v>
      </c>
      <c r="D43" s="17"/>
      <c r="E43" s="17"/>
      <c r="F43" s="17" t="s">
        <v>305</v>
      </c>
      <c r="G43" s="42">
        <f>[22]Production!$HC$5</f>
        <v>1.8975942856246104E-2</v>
      </c>
      <c r="H43" s="24">
        <f t="shared" si="2"/>
        <v>2.1694300466184292E-2</v>
      </c>
      <c r="I43" s="25">
        <f t="shared" si="3"/>
        <v>27910898.189681515</v>
      </c>
    </row>
    <row r="44" spans="1:9" x14ac:dyDescent="0.45">
      <c r="A44" s="15"/>
      <c r="B44" s="17"/>
      <c r="C44" s="17"/>
      <c r="D44" s="17"/>
      <c r="E44" s="17"/>
      <c r="F44" s="17" t="s">
        <v>307</v>
      </c>
      <c r="G44" s="42">
        <f>[22]Production!$HJ$5</f>
        <v>1.5229202154343348E-2</v>
      </c>
      <c r="H44" s="24">
        <f t="shared" si="2"/>
        <v>1.7410828536924893E-2</v>
      </c>
      <c r="I44" s="25">
        <f t="shared" si="3"/>
        <v>22399978.439018276</v>
      </c>
    </row>
    <row r="45" spans="1:9" x14ac:dyDescent="0.45">
      <c r="A45" s="15"/>
      <c r="B45" s="17"/>
      <c r="C45" s="17"/>
      <c r="D45" s="17"/>
      <c r="E45" s="17"/>
      <c r="F45" s="17" t="s">
        <v>143</v>
      </c>
      <c r="G45" s="42">
        <f>[22]Production!$HT$5</f>
        <v>6.6602715949043281E-2</v>
      </c>
      <c r="H45" s="24">
        <f t="shared" si="2"/>
        <v>7.6143743823873705E-2</v>
      </c>
      <c r="I45" s="25">
        <f t="shared" si="3"/>
        <v>97963070.298672244</v>
      </c>
    </row>
    <row r="46" spans="1:9" x14ac:dyDescent="0.45">
      <c r="A46" s="51"/>
      <c r="B46" s="45"/>
      <c r="C46" s="45"/>
      <c r="D46" s="45"/>
      <c r="E46" s="45"/>
      <c r="F46" s="45" t="s">
        <v>86</v>
      </c>
      <c r="G46" s="56">
        <f>SUM(G27:G45)</f>
        <v>0.87469715309901819</v>
      </c>
      <c r="H46" s="45"/>
      <c r="I46" s="28"/>
    </row>
  </sheetData>
  <mergeCells count="1">
    <mergeCell ref="D27:D3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opLeftCell="A366" zoomScaleNormal="100" workbookViewId="0">
      <selection activeCell="C381" sqref="C381"/>
    </sheetView>
  </sheetViews>
  <sheetFormatPr baseColWidth="10" defaultRowHeight="16" x14ac:dyDescent="0.45"/>
  <cols>
    <col min="1" max="1" width="39.81640625" customWidth="1"/>
    <col min="2" max="2" width="16.54296875" customWidth="1"/>
    <col min="3" max="3" width="13.81640625" customWidth="1"/>
    <col min="4" max="4" width="30.08984375" customWidth="1"/>
    <col min="6" max="6" width="22" customWidth="1"/>
    <col min="7" max="7" width="45.1796875" customWidth="1"/>
    <col min="8" max="8" width="23.453125" customWidth="1"/>
    <col min="9" max="9" width="24" customWidth="1"/>
  </cols>
  <sheetData>
    <row r="1" spans="1:9" x14ac:dyDescent="0.45">
      <c r="A1" s="1" t="s">
        <v>330</v>
      </c>
    </row>
    <row r="3" spans="1:9" x14ac:dyDescent="0.45">
      <c r="A3" s="30" t="s">
        <v>331</v>
      </c>
    </row>
    <row r="4" spans="1:9" ht="32" x14ac:dyDescent="0.45">
      <c r="A4" s="14" t="s">
        <v>1</v>
      </c>
      <c r="B4" s="5" t="s">
        <v>2</v>
      </c>
      <c r="C4" s="5" t="s">
        <v>119</v>
      </c>
      <c r="D4" s="5" t="s">
        <v>4</v>
      </c>
      <c r="E4" s="5"/>
      <c r="F4" s="10" t="s">
        <v>268</v>
      </c>
      <c r="G4" s="10" t="s">
        <v>82</v>
      </c>
      <c r="H4" s="10" t="s">
        <v>83</v>
      </c>
      <c r="I4" s="11" t="s">
        <v>84</v>
      </c>
    </row>
    <row r="5" spans="1:9" x14ac:dyDescent="0.45">
      <c r="A5" s="15" t="s">
        <v>332</v>
      </c>
      <c r="B5" s="108">
        <f>'[9]Weight%'!$B$100*'[9]Weight%'!$B$27</f>
        <v>1.0669526807831468E-3</v>
      </c>
      <c r="C5" s="17" t="s">
        <v>803</v>
      </c>
      <c r="D5" s="66" t="s">
        <v>191</v>
      </c>
      <c r="E5" s="17"/>
      <c r="F5" s="41">
        <v>104</v>
      </c>
      <c r="G5" s="104">
        <f>[23]Production!$AH$3</f>
        <v>7.7886727849415333E-2</v>
      </c>
      <c r="H5" s="75">
        <f>G5/$G$17</f>
        <v>8.3663729851356075E-2</v>
      </c>
      <c r="I5" s="25">
        <f>H5*$B$17</f>
        <v>370726.02534708939</v>
      </c>
    </row>
    <row r="6" spans="1:9" x14ac:dyDescent="0.45">
      <c r="A6" s="15" t="s">
        <v>333</v>
      </c>
      <c r="B6" s="108">
        <f>'[9]Weight%'!$B$101*'[9]Weight%'!$B$35</f>
        <v>2.9999999999999997E-5</v>
      </c>
      <c r="C6" s="17" t="s">
        <v>803</v>
      </c>
      <c r="D6" s="66"/>
      <c r="E6" s="17"/>
      <c r="F6" s="41">
        <v>156</v>
      </c>
      <c r="G6" s="104">
        <f>[23]Production!$AT$3</f>
        <v>0.31289045106443986</v>
      </c>
      <c r="H6" s="75">
        <f t="shared" ref="H6:H16" si="0">G6/$G$17</f>
        <v>0.3360981118828803</v>
      </c>
      <c r="I6" s="25">
        <f t="shared" ref="I6:I16" si="1">H6*$B$17</f>
        <v>1489299.0949169591</v>
      </c>
    </row>
    <row r="7" spans="1:9" x14ac:dyDescent="0.45">
      <c r="A7" s="15" t="s">
        <v>334</v>
      </c>
      <c r="B7" s="108">
        <f>'[9]Weight%'!$B$101*'[9]Weight%'!$B$52</f>
        <v>2.4299999999999998E-5</v>
      </c>
      <c r="C7" s="17" t="s">
        <v>803</v>
      </c>
      <c r="D7" s="66"/>
      <c r="E7" s="17"/>
      <c r="F7" s="41">
        <v>251</v>
      </c>
      <c r="G7" s="104">
        <f>[23]Production!$BW$3</f>
        <v>1.1584544008819461E-2</v>
      </c>
      <c r="H7" s="75">
        <f t="shared" si="0"/>
        <v>1.2443790966271701E-2</v>
      </c>
      <c r="I7" s="25">
        <f t="shared" si="1"/>
        <v>55140.228308876314</v>
      </c>
    </row>
    <row r="8" spans="1:9" x14ac:dyDescent="0.45">
      <c r="A8" s="15" t="s">
        <v>335</v>
      </c>
      <c r="B8" s="108">
        <f>'[9]Weight%'!$B$101*'[9]Weight%'!$B$51</f>
        <v>3.4431137724550896E-5</v>
      </c>
      <c r="C8" s="17" t="s">
        <v>803</v>
      </c>
      <c r="D8" s="66"/>
      <c r="E8" s="17"/>
      <c r="F8" s="41">
        <v>410</v>
      </c>
      <c r="G8" s="104">
        <f>[23]Production!$DJ$3</f>
        <v>4.1921909157624976E-2</v>
      </c>
      <c r="H8" s="75">
        <f t="shared" si="0"/>
        <v>4.5031334342324085E-2</v>
      </c>
      <c r="I8" s="25">
        <f t="shared" si="1"/>
        <v>199540.3220304205</v>
      </c>
    </row>
    <row r="9" spans="1:9" x14ac:dyDescent="0.45">
      <c r="A9" s="15" t="s">
        <v>336</v>
      </c>
      <c r="B9" s="108">
        <f>'[9]Weight%'!$B$102</f>
        <v>4.0000000000000001E-3</v>
      </c>
      <c r="C9" s="17" t="s">
        <v>803</v>
      </c>
      <c r="D9" s="66"/>
      <c r="E9" s="17"/>
      <c r="F9" s="41">
        <v>512</v>
      </c>
      <c r="G9" s="104">
        <f>[23]Production!$EK$3</f>
        <v>1.3246014817910958E-2</v>
      </c>
      <c r="H9" s="75">
        <f t="shared" si="0"/>
        <v>1.4228496124209447E-2</v>
      </c>
      <c r="I9" s="25">
        <f t="shared" si="1"/>
        <v>63048.513664958678</v>
      </c>
    </row>
    <row r="10" spans="1:9" x14ac:dyDescent="0.45">
      <c r="A10" s="15" t="s">
        <v>351</v>
      </c>
      <c r="B10" s="108">
        <f>'[9]Weight%'!$B$103</f>
        <v>1.0000000000000001E-5</v>
      </c>
      <c r="C10" s="17" t="s">
        <v>803</v>
      </c>
      <c r="D10" s="66"/>
      <c r="E10" s="17"/>
      <c r="F10" s="41">
        <v>604</v>
      </c>
      <c r="G10" s="104">
        <f>[23]Production!$FL$3</f>
        <v>1.1541685315778698E-2</v>
      </c>
      <c r="H10" s="75">
        <f t="shared" si="0"/>
        <v>1.2397753365060911E-2</v>
      </c>
      <c r="I10" s="25">
        <f t="shared" si="1"/>
        <v>54936.229073559967</v>
      </c>
    </row>
    <row r="11" spans="1:9" x14ac:dyDescent="0.45">
      <c r="A11" s="15" t="s">
        <v>337</v>
      </c>
      <c r="B11" s="23">
        <f>B5*data_1tier!B11</f>
        <v>192531.61124731883</v>
      </c>
      <c r="C11" s="17" t="s">
        <v>11</v>
      </c>
      <c r="D11" s="17"/>
      <c r="E11" s="17"/>
      <c r="F11" s="41">
        <v>699</v>
      </c>
      <c r="G11" s="104">
        <f>[23]Production!$GK$3</f>
        <v>5.2379751699769071E-2</v>
      </c>
      <c r="H11" s="75">
        <f t="shared" si="0"/>
        <v>5.6264854319765668E-2</v>
      </c>
      <c r="I11" s="25">
        <f t="shared" si="1"/>
        <v>249317.66544187424</v>
      </c>
    </row>
    <row r="12" spans="1:9" x14ac:dyDescent="0.45">
      <c r="A12" s="15" t="s">
        <v>338</v>
      </c>
      <c r="B12" s="23">
        <f>B6*data_1tier!B19</f>
        <v>14044.14</v>
      </c>
      <c r="C12" s="17" t="s">
        <v>11</v>
      </c>
      <c r="D12" s="17"/>
      <c r="E12" s="17"/>
      <c r="F12" s="41">
        <v>702</v>
      </c>
      <c r="G12" s="104">
        <f>[23]Production!$GL$3</f>
        <v>1.1607125182715314E-2</v>
      </c>
      <c r="H12" s="75">
        <f t="shared" si="0"/>
        <v>1.2468047027409637E-2</v>
      </c>
      <c r="I12" s="25">
        <f t="shared" si="1"/>
        <v>55247.71040598362</v>
      </c>
    </row>
    <row r="13" spans="1:9" x14ac:dyDescent="0.45">
      <c r="A13" s="15" t="s">
        <v>339</v>
      </c>
      <c r="B13" s="23">
        <f>B7*data_1tier!B52</f>
        <v>79139.860750324471</v>
      </c>
      <c r="C13" s="17" t="s">
        <v>11</v>
      </c>
      <c r="D13" s="17"/>
      <c r="E13" s="17"/>
      <c r="F13" s="41">
        <v>704</v>
      </c>
      <c r="G13" s="104">
        <f>[23]Production!$GN$3</f>
        <v>0.16748470071895188</v>
      </c>
      <c r="H13" s="75">
        <f t="shared" si="0"/>
        <v>0.17990734932756325</v>
      </c>
      <c r="I13" s="25">
        <f t="shared" si="1"/>
        <v>797195.35174245911</v>
      </c>
    </row>
    <row r="14" spans="1:9" x14ac:dyDescent="0.45">
      <c r="A14" s="15" t="s">
        <v>340</v>
      </c>
      <c r="B14" s="23">
        <f>B8*data_1tier!B53</f>
        <v>262825.53898233356</v>
      </c>
      <c r="C14" s="17" t="s">
        <v>11</v>
      </c>
      <c r="D14" s="17"/>
      <c r="E14" s="17"/>
      <c r="F14" s="41">
        <v>762</v>
      </c>
      <c r="G14" s="104">
        <f>[23]Production!$HB$3</f>
        <v>0.18781215024125561</v>
      </c>
      <c r="H14" s="75">
        <f t="shared" si="0"/>
        <v>0.20174252320582836</v>
      </c>
      <c r="I14" s="25">
        <f t="shared" si="1"/>
        <v>893950.1490606498</v>
      </c>
    </row>
    <row r="15" spans="1:9" x14ac:dyDescent="0.45">
      <c r="A15" s="15" t="s">
        <v>341</v>
      </c>
      <c r="B15" s="23">
        <f>B9*data_3tier!B74</f>
        <v>3882483.8746792921</v>
      </c>
      <c r="C15" s="17" t="s">
        <v>11</v>
      </c>
      <c r="D15" s="17"/>
      <c r="E15" s="17"/>
      <c r="F15" s="41">
        <v>764</v>
      </c>
      <c r="G15" s="104">
        <f>[23]Production!$HC$3</f>
        <v>3.0186395402569427E-2</v>
      </c>
      <c r="H15" s="75">
        <f t="shared" si="0"/>
        <v>3.2425375925787384E-2</v>
      </c>
      <c r="I15" s="25">
        <f t="shared" si="1"/>
        <v>143681.50641514236</v>
      </c>
    </row>
    <row r="16" spans="1:9" x14ac:dyDescent="0.45">
      <c r="A16" s="15" t="s">
        <v>349</v>
      </c>
      <c r="B16" s="23">
        <f>B10*data_3tier!B24</f>
        <v>118.86436036133858</v>
      </c>
      <c r="C16" s="17" t="s">
        <v>11</v>
      </c>
      <c r="D16" s="17"/>
      <c r="E16" s="17"/>
      <c r="F16" s="41">
        <v>842</v>
      </c>
      <c r="G16" s="104">
        <f>[23]Production!$HT$3</f>
        <v>1.2408288089062936E-2</v>
      </c>
      <c r="H16" s="75">
        <f t="shared" si="0"/>
        <v>1.3328633661543065E-2</v>
      </c>
      <c r="I16" s="25">
        <f t="shared" si="1"/>
        <v>59061.093611656521</v>
      </c>
    </row>
    <row r="17" spans="1:9" x14ac:dyDescent="0.45">
      <c r="A17" s="15" t="s">
        <v>347</v>
      </c>
      <c r="B17" s="23">
        <f>SUM(B11:B16)</f>
        <v>4431143.8900196301</v>
      </c>
      <c r="C17" s="17" t="s">
        <v>11</v>
      </c>
      <c r="D17" s="17"/>
      <c r="E17" s="17"/>
      <c r="F17" s="17" t="s">
        <v>86</v>
      </c>
      <c r="G17" s="104">
        <f>SUM(G5:G16)</f>
        <v>0.93094974354831361</v>
      </c>
      <c r="H17" s="17"/>
      <c r="I17" s="21"/>
    </row>
    <row r="18" spans="1:9" x14ac:dyDescent="0.45">
      <c r="A18" s="15" t="s">
        <v>342</v>
      </c>
      <c r="B18" s="23">
        <f>B5*data_1tier!B13</f>
        <v>481329.02811829711</v>
      </c>
      <c r="C18" s="17" t="s">
        <v>11</v>
      </c>
      <c r="D18" s="17"/>
      <c r="E18" s="17"/>
      <c r="F18" s="17"/>
      <c r="G18" s="17"/>
      <c r="H18" s="17"/>
      <c r="I18" s="21"/>
    </row>
    <row r="19" spans="1:9" x14ac:dyDescent="0.45">
      <c r="A19" s="15" t="s">
        <v>343</v>
      </c>
      <c r="B19" s="23">
        <f>B6*data_1tier!B21</f>
        <v>53010.539999999994</v>
      </c>
      <c r="C19" s="17" t="s">
        <v>11</v>
      </c>
      <c r="D19" s="17"/>
      <c r="E19" s="17"/>
      <c r="F19" s="17"/>
      <c r="G19" s="17"/>
      <c r="H19" s="17"/>
      <c r="I19" s="21"/>
    </row>
    <row r="20" spans="1:9" x14ac:dyDescent="0.45">
      <c r="A20" s="15" t="s">
        <v>344</v>
      </c>
      <c r="B20" s="23">
        <f>B7*data_1tier!B56</f>
        <v>370707.76877783571</v>
      </c>
      <c r="C20" s="17" t="s">
        <v>11</v>
      </c>
      <c r="D20" s="17"/>
      <c r="E20" s="17"/>
      <c r="F20" s="17"/>
      <c r="G20" s="17"/>
      <c r="H20" s="17"/>
      <c r="I20" s="21"/>
    </row>
    <row r="21" spans="1:9" x14ac:dyDescent="0.45">
      <c r="A21" s="15" t="s">
        <v>345</v>
      </c>
      <c r="B21" s="23">
        <f>B8*data_1tier!B57</f>
        <v>1390418.3617295066</v>
      </c>
      <c r="C21" s="17" t="s">
        <v>11</v>
      </c>
      <c r="D21" s="17"/>
      <c r="E21" s="17"/>
      <c r="F21" s="17"/>
      <c r="G21" s="17"/>
      <c r="H21" s="17"/>
      <c r="I21" s="21"/>
    </row>
    <row r="22" spans="1:9" x14ac:dyDescent="0.45">
      <c r="A22" s="15" t="s">
        <v>346</v>
      </c>
      <c r="B22" s="23">
        <f>B9*data_3tier!B81</f>
        <v>21418455.789391167</v>
      </c>
      <c r="C22" s="17" t="s">
        <v>11</v>
      </c>
      <c r="D22" s="17"/>
      <c r="E22" s="17"/>
      <c r="F22" s="17"/>
      <c r="G22" s="17"/>
      <c r="H22" s="17"/>
      <c r="I22" s="21"/>
    </row>
    <row r="23" spans="1:9" x14ac:dyDescent="0.45">
      <c r="A23" s="15" t="s">
        <v>350</v>
      </c>
      <c r="B23" s="23">
        <f>B10*data_3tier!B25</f>
        <v>297.16090090334643</v>
      </c>
      <c r="C23" s="17" t="s">
        <v>11</v>
      </c>
      <c r="D23" s="17"/>
      <c r="E23" s="17"/>
      <c r="F23" s="17"/>
      <c r="G23" s="17"/>
      <c r="H23" s="17"/>
      <c r="I23" s="21"/>
    </row>
    <row r="24" spans="1:9" x14ac:dyDescent="0.45">
      <c r="A24" s="51" t="s">
        <v>348</v>
      </c>
      <c r="B24" s="26">
        <f>SUM(B18:B23)</f>
        <v>23714218.648917709</v>
      </c>
      <c r="C24" s="45" t="s">
        <v>11</v>
      </c>
      <c r="D24" s="45"/>
      <c r="E24" s="45"/>
      <c r="F24" s="45"/>
      <c r="G24" s="45"/>
      <c r="H24" s="45"/>
      <c r="I24" s="28"/>
    </row>
    <row r="26" spans="1:9" x14ac:dyDescent="0.45">
      <c r="A26" s="30" t="s">
        <v>352</v>
      </c>
    </row>
    <row r="27" spans="1:9" ht="32" x14ac:dyDescent="0.45">
      <c r="A27" s="14" t="s">
        <v>1</v>
      </c>
      <c r="B27" s="5" t="s">
        <v>2</v>
      </c>
      <c r="C27" s="5" t="s">
        <v>119</v>
      </c>
      <c r="D27" s="5" t="s">
        <v>4</v>
      </c>
      <c r="E27" s="5"/>
      <c r="F27" s="10" t="s">
        <v>268</v>
      </c>
      <c r="G27" s="10" t="s">
        <v>82</v>
      </c>
      <c r="H27" s="10" t="s">
        <v>83</v>
      </c>
      <c r="I27" s="11" t="s">
        <v>84</v>
      </c>
    </row>
    <row r="28" spans="1:9" x14ac:dyDescent="0.45">
      <c r="A28" s="15" t="s">
        <v>353</v>
      </c>
      <c r="B28" s="108">
        <f>'[9]Weight%'!$B$104*'[9]Weight%'!$B$27</f>
        <v>2.5688414862167484E-3</v>
      </c>
      <c r="C28" s="17" t="s">
        <v>803</v>
      </c>
      <c r="D28" s="66" t="s">
        <v>191</v>
      </c>
      <c r="E28" s="17"/>
      <c r="F28" s="41">
        <v>100</v>
      </c>
      <c r="G28" s="104">
        <f>[24]Production!$AG$3</f>
        <v>1.1081928596651709E-2</v>
      </c>
      <c r="H28" s="24">
        <f>G28/$G$43</f>
        <v>1.1351587206093236E-2</v>
      </c>
      <c r="I28" s="25">
        <f>H28*$B$40</f>
        <v>36701.24345561723</v>
      </c>
    </row>
    <row r="29" spans="1:9" x14ac:dyDescent="0.45">
      <c r="A29" s="15" t="s">
        <v>354</v>
      </c>
      <c r="B29" s="109">
        <f>'[9]Weight%'!$B$105*'[9]Weight%'!$B$35</f>
        <v>2.1000000000000001E-4</v>
      </c>
      <c r="C29" s="17" t="s">
        <v>803</v>
      </c>
      <c r="D29" s="66"/>
      <c r="E29" s="17"/>
      <c r="F29" s="41">
        <v>156</v>
      </c>
      <c r="G29" s="104">
        <f>[24]Production!$AT$3</f>
        <v>0.10786103988161409</v>
      </c>
      <c r="H29" s="24">
        <f t="shared" ref="H29:H42" si="2">G29/$G$43</f>
        <v>0.11048564242924115</v>
      </c>
      <c r="I29" s="25">
        <f t="shared" ref="I29:I42" si="3">H29*$B$40</f>
        <v>357215.28518666135</v>
      </c>
    </row>
    <row r="30" spans="1:9" x14ac:dyDescent="0.45">
      <c r="A30" s="15" t="s">
        <v>355</v>
      </c>
      <c r="B30" s="109">
        <f>'[9]Weight%'!$B$105*'[9]Weight%'!$B$52</f>
        <v>1.7009999999999999E-4</v>
      </c>
      <c r="C30" s="17" t="s">
        <v>803</v>
      </c>
      <c r="D30" s="66"/>
      <c r="E30" s="17"/>
      <c r="F30" s="41">
        <v>276</v>
      </c>
      <c r="G30" s="104">
        <f>[24]Production!$CE$3</f>
        <v>1.4953332406916575E-2</v>
      </c>
      <c r="H30" s="24">
        <f t="shared" si="2"/>
        <v>1.5317194598248901E-2</v>
      </c>
      <c r="I30" s="25">
        <f t="shared" si="3"/>
        <v>49522.597835978842</v>
      </c>
    </row>
    <row r="31" spans="1:9" x14ac:dyDescent="0.45">
      <c r="A31" s="15" t="s">
        <v>356</v>
      </c>
      <c r="B31" s="108">
        <f>'[9]Weight%'!$B$105*'[9]Weight%'!$B$51</f>
        <v>2.4101796407185625E-4</v>
      </c>
      <c r="C31" s="17" t="s">
        <v>803</v>
      </c>
      <c r="D31" s="66"/>
      <c r="E31" s="17"/>
      <c r="F31" s="41">
        <v>398</v>
      </c>
      <c r="G31" s="104">
        <f>[24]Production!$DF$3</f>
        <v>2.7904297859888884E-2</v>
      </c>
      <c r="H31" s="24">
        <f t="shared" si="2"/>
        <v>2.8583298278698054E-2</v>
      </c>
      <c r="I31" s="25">
        <f t="shared" si="3"/>
        <v>92413.73649738809</v>
      </c>
    </row>
    <row r="32" spans="1:9" x14ac:dyDescent="0.45">
      <c r="A32" s="15" t="s">
        <v>357</v>
      </c>
      <c r="B32" s="109">
        <f>'[9]Weight%'!$B$106</f>
        <v>4.5998400000000002E-2</v>
      </c>
      <c r="C32" s="17" t="s">
        <v>803</v>
      </c>
      <c r="D32" s="66"/>
      <c r="E32" s="17"/>
      <c r="F32" s="41">
        <v>418</v>
      </c>
      <c r="G32" s="104">
        <f>[24]Production!$DM$3</f>
        <v>4.1122873232623106E-2</v>
      </c>
      <c r="H32" s="24">
        <f t="shared" si="2"/>
        <v>4.2123523680370971E-2</v>
      </c>
      <c r="I32" s="25">
        <f t="shared" si="3"/>
        <v>136191.14840362655</v>
      </c>
    </row>
    <row r="33" spans="1:9" x14ac:dyDescent="0.45">
      <c r="A33" s="15" t="s">
        <v>358</v>
      </c>
      <c r="B33" s="109">
        <f>'[9]Weight%'!$B$107</f>
        <v>3.0000000000000001E-5</v>
      </c>
      <c r="C33" s="17" t="s">
        <v>803</v>
      </c>
      <c r="D33" s="66"/>
      <c r="E33" s="17"/>
      <c r="F33" s="41">
        <v>484</v>
      </c>
      <c r="G33" s="104">
        <f>[24]Production!$ED$3</f>
        <v>5.089346907838823E-2</v>
      </c>
      <c r="H33" s="24">
        <f t="shared" si="2"/>
        <v>5.2131869234249194E-2</v>
      </c>
      <c r="I33" s="25">
        <f t="shared" si="3"/>
        <v>168549.50676285775</v>
      </c>
    </row>
    <row r="34" spans="1:9" x14ac:dyDescent="0.45">
      <c r="A34" s="15" t="s">
        <v>359</v>
      </c>
      <c r="B34" s="23">
        <f>B28*data_1tier!B11</f>
        <v>463547.44618781225</v>
      </c>
      <c r="C34" s="17" t="s">
        <v>11</v>
      </c>
      <c r="D34" s="17"/>
      <c r="E34" s="17"/>
      <c r="F34" s="41">
        <v>504</v>
      </c>
      <c r="G34" s="104">
        <f>[24]Production!$EI$3</f>
        <v>8.9362715972570339E-2</v>
      </c>
      <c r="H34" s="24">
        <f t="shared" si="2"/>
        <v>9.1537195397781795E-2</v>
      </c>
      <c r="I34" s="25">
        <f t="shared" si="3"/>
        <v>295952.34856100887</v>
      </c>
    </row>
    <row r="35" spans="1:9" x14ac:dyDescent="0.45">
      <c r="A35" s="15" t="s">
        <v>360</v>
      </c>
      <c r="B35" s="23">
        <f>B29*data_1tier!B19</f>
        <v>98308.98000000001</v>
      </c>
      <c r="C35" s="17" t="s">
        <v>11</v>
      </c>
      <c r="D35" s="17"/>
      <c r="E35" s="17"/>
      <c r="F35" s="41">
        <v>528</v>
      </c>
      <c r="G35" s="104">
        <f>[24]Production!$EO$3</f>
        <v>2.7199881735001593E-2</v>
      </c>
      <c r="H35" s="24">
        <f t="shared" si="2"/>
        <v>2.7861741466515353E-2</v>
      </c>
      <c r="I35" s="25">
        <f t="shared" si="3"/>
        <v>90080.844034846683</v>
      </c>
    </row>
    <row r="36" spans="1:9" x14ac:dyDescent="0.45">
      <c r="A36" s="15" t="s">
        <v>361</v>
      </c>
      <c r="B36" s="23">
        <f>B30*data_1tier!B52</f>
        <v>553979.02525227133</v>
      </c>
      <c r="C36" s="17" t="s">
        <v>11</v>
      </c>
      <c r="D36" s="17"/>
      <c r="E36" s="17"/>
      <c r="F36" s="41">
        <v>586</v>
      </c>
      <c r="G36" s="104">
        <f>[24]Production!$FH$3</f>
        <v>2.143451667437524E-2</v>
      </c>
      <c r="H36" s="24">
        <f t="shared" si="2"/>
        <v>2.1956086716092494E-2</v>
      </c>
      <c r="I36" s="25">
        <f t="shared" si="3"/>
        <v>70987.049587868489</v>
      </c>
    </row>
    <row r="37" spans="1:9" x14ac:dyDescent="0.45">
      <c r="A37" s="15" t="s">
        <v>362</v>
      </c>
      <c r="B37" s="23">
        <f>B31*data_1tier!B53</f>
        <v>1839778.7728763346</v>
      </c>
      <c r="C37" s="17" t="s">
        <v>11</v>
      </c>
      <c r="D37" s="17"/>
      <c r="E37" s="17"/>
      <c r="F37" s="41">
        <v>699</v>
      </c>
      <c r="G37" s="104">
        <f>[24]Production!$GK$3</f>
        <v>0.33707181510280415</v>
      </c>
      <c r="H37" s="24">
        <f t="shared" si="2"/>
        <v>0.34527384565640445</v>
      </c>
      <c r="I37" s="25">
        <f t="shared" si="3"/>
        <v>1116317.853902485</v>
      </c>
    </row>
    <row r="38" spans="1:9" x14ac:dyDescent="0.45">
      <c r="A38" s="15" t="s">
        <v>363</v>
      </c>
      <c r="B38" s="23">
        <f>B32*data_1tier!B86</f>
        <v>277166.7861190312</v>
      </c>
      <c r="C38" s="17" t="s">
        <v>11</v>
      </c>
      <c r="D38" s="17"/>
      <c r="E38" s="17"/>
      <c r="F38" s="41">
        <v>704</v>
      </c>
      <c r="G38" s="104">
        <f>[24]Production!$GN$3</f>
        <v>5.9269638008212333E-2</v>
      </c>
      <c r="H38" s="24">
        <f t="shared" si="2"/>
        <v>6.0711857025236703E-2</v>
      </c>
      <c r="I38" s="25">
        <f t="shared" si="3"/>
        <v>196289.78792761223</v>
      </c>
    </row>
    <row r="39" spans="1:9" x14ac:dyDescent="0.45">
      <c r="A39" s="15" t="s">
        <v>364</v>
      </c>
      <c r="B39" s="23">
        <f>B33*data_3tier!B24</f>
        <v>356.59308108401575</v>
      </c>
      <c r="C39" s="17" t="s">
        <v>11</v>
      </c>
      <c r="D39" s="17"/>
      <c r="E39" s="17"/>
      <c r="F39" s="41">
        <v>724</v>
      </c>
      <c r="G39" s="104">
        <f>[24]Production!$GS$3</f>
        <v>1.1535049394429425E-2</v>
      </c>
      <c r="H39" s="24">
        <f t="shared" si="2"/>
        <v>1.1815733875692099E-2</v>
      </c>
      <c r="I39" s="25">
        <f t="shared" si="3"/>
        <v>38201.893506644272</v>
      </c>
    </row>
    <row r="40" spans="1:9" x14ac:dyDescent="0.45">
      <c r="A40" s="15" t="s">
        <v>371</v>
      </c>
      <c r="B40" s="23">
        <f>SUM(B34:B39)</f>
        <v>3233137.6035165335</v>
      </c>
      <c r="C40" s="17" t="s">
        <v>11</v>
      </c>
      <c r="D40" s="17"/>
      <c r="E40" s="17"/>
      <c r="F40" s="41">
        <v>764</v>
      </c>
      <c r="G40" s="104">
        <f>[24]Production!$HC$3</f>
        <v>2.4070205470320811E-2</v>
      </c>
      <c r="H40" s="24">
        <f t="shared" si="2"/>
        <v>2.4655910212910442E-2</v>
      </c>
      <c r="I40" s="25">
        <f t="shared" si="3"/>
        <v>79715.950458288091</v>
      </c>
    </row>
    <row r="41" spans="1:9" x14ac:dyDescent="0.45">
      <c r="A41" s="15" t="s">
        <v>365</v>
      </c>
      <c r="B41" s="23">
        <f>B28*data_1tier!B13</f>
        <v>1158868.6154695307</v>
      </c>
      <c r="C41" s="17" t="s">
        <v>11</v>
      </c>
      <c r="D41" s="17"/>
      <c r="E41" s="17"/>
      <c r="F41" s="41">
        <v>792</v>
      </c>
      <c r="G41" s="104">
        <f>[24]Production!$HJ$3</f>
        <v>0.13248906033080493</v>
      </c>
      <c r="H41" s="24">
        <f t="shared" si="2"/>
        <v>0.13571294103563225</v>
      </c>
      <c r="I41" s="25">
        <f t="shared" si="3"/>
        <v>438778.61294612469</v>
      </c>
    </row>
    <row r="42" spans="1:9" x14ac:dyDescent="0.45">
      <c r="A42" s="15" t="s">
        <v>366</v>
      </c>
      <c r="B42" s="23">
        <f>B29*data_1tier!B21</f>
        <v>371073.78</v>
      </c>
      <c r="C42" s="17" t="s">
        <v>11</v>
      </c>
      <c r="D42" s="17"/>
      <c r="E42" s="17"/>
      <c r="F42" s="41">
        <v>842</v>
      </c>
      <c r="G42" s="104">
        <f>[24]Production!$HT$3</f>
        <v>1.9995030429026301E-2</v>
      </c>
      <c r="H42" s="24">
        <f t="shared" si="2"/>
        <v>2.0481573186833038E-2</v>
      </c>
      <c r="I42" s="25">
        <f t="shared" si="3"/>
        <v>66219.744449525853</v>
      </c>
    </row>
    <row r="43" spans="1:9" x14ac:dyDescent="0.45">
      <c r="A43" s="15" t="s">
        <v>367</v>
      </c>
      <c r="B43" s="23">
        <f>B30*data_1tier!B56</f>
        <v>2594954.38144485</v>
      </c>
      <c r="C43" s="17" t="s">
        <v>11</v>
      </c>
      <c r="D43" s="17"/>
      <c r="E43" s="17"/>
      <c r="F43" s="17" t="s">
        <v>86</v>
      </c>
      <c r="G43" s="104">
        <f>SUM(G28:G42)</f>
        <v>0.97624485417362761</v>
      </c>
      <c r="H43" s="17"/>
      <c r="I43" s="21"/>
    </row>
    <row r="44" spans="1:9" x14ac:dyDescent="0.45">
      <c r="A44" s="15" t="s">
        <v>368</v>
      </c>
      <c r="B44" s="23">
        <f>B31*data_1tier!B57</f>
        <v>9732928.5321065448</v>
      </c>
      <c r="C44" s="17" t="s">
        <v>11</v>
      </c>
      <c r="D44" s="17"/>
      <c r="E44" s="17"/>
      <c r="F44" s="17"/>
      <c r="G44" s="17"/>
      <c r="H44" s="17"/>
      <c r="I44" s="21"/>
    </row>
    <row r="45" spans="1:9" x14ac:dyDescent="0.45">
      <c r="A45" s="15" t="s">
        <v>369</v>
      </c>
      <c r="B45" s="23">
        <f>B32*data_1tier!B87</f>
        <v>436537688.13747394</v>
      </c>
      <c r="C45" s="17" t="s">
        <v>11</v>
      </c>
      <c r="D45" s="17"/>
      <c r="E45" s="17"/>
      <c r="F45" s="17"/>
      <c r="G45" s="17"/>
      <c r="H45" s="17"/>
      <c r="I45" s="21"/>
    </row>
    <row r="46" spans="1:9" x14ac:dyDescent="0.45">
      <c r="A46" s="15" t="s">
        <v>370</v>
      </c>
      <c r="B46" s="23">
        <f>B33*data_3tier!B25</f>
        <v>891.48270271003935</v>
      </c>
      <c r="C46" s="17" t="s">
        <v>11</v>
      </c>
      <c r="D46" s="17"/>
      <c r="E46" s="17"/>
      <c r="F46" s="17"/>
      <c r="G46" s="17"/>
      <c r="H46" s="17"/>
      <c r="I46" s="21"/>
    </row>
    <row r="47" spans="1:9" x14ac:dyDescent="0.45">
      <c r="A47" s="51" t="s">
        <v>372</v>
      </c>
      <c r="B47" s="26">
        <f>SUM(B41:B46)</f>
        <v>450396404.92919761</v>
      </c>
      <c r="C47" s="45" t="s">
        <v>11</v>
      </c>
      <c r="D47" s="45"/>
      <c r="E47" s="45"/>
      <c r="F47" s="45"/>
      <c r="G47" s="45"/>
      <c r="H47" s="45"/>
      <c r="I47" s="28"/>
    </row>
    <row r="49" spans="1:9" x14ac:dyDescent="0.45">
      <c r="A49" s="30" t="s">
        <v>373</v>
      </c>
    </row>
    <row r="50" spans="1:9" ht="32" x14ac:dyDescent="0.45">
      <c r="A50" s="14" t="s">
        <v>1</v>
      </c>
      <c r="B50" s="5" t="s">
        <v>2</v>
      </c>
      <c r="C50" s="5" t="s">
        <v>119</v>
      </c>
      <c r="D50" s="5" t="s">
        <v>4</v>
      </c>
      <c r="E50" s="5"/>
      <c r="F50" s="10" t="s">
        <v>388</v>
      </c>
      <c r="G50" s="10" t="s">
        <v>798</v>
      </c>
      <c r="H50" s="10" t="s">
        <v>83</v>
      </c>
      <c r="I50" s="11" t="s">
        <v>84</v>
      </c>
    </row>
    <row r="51" spans="1:9" x14ac:dyDescent="0.45">
      <c r="A51" s="15" t="s">
        <v>375</v>
      </c>
      <c r="B51" s="31">
        <f>'[9]Weight%'!$B$108</f>
        <v>0.89857999999999993</v>
      </c>
      <c r="C51" s="17" t="s">
        <v>803</v>
      </c>
      <c r="D51" s="66" t="s">
        <v>191</v>
      </c>
      <c r="E51" s="17"/>
      <c r="F51" s="41">
        <v>31</v>
      </c>
      <c r="G51" s="110">
        <v>30248000</v>
      </c>
      <c r="H51" s="89">
        <f>G51/$G$92</f>
        <v>4.627257985404648E-4</v>
      </c>
      <c r="I51" s="25">
        <f>H51*$B$59</f>
        <v>574436.91974430101</v>
      </c>
    </row>
    <row r="52" spans="1:9" x14ac:dyDescent="0.45">
      <c r="A52" s="15" t="s">
        <v>376</v>
      </c>
      <c r="B52" s="31">
        <f>'[9]Weight%'!$B$108</f>
        <v>0.89857999999999993</v>
      </c>
      <c r="C52" s="17" t="s">
        <v>803</v>
      </c>
      <c r="D52" s="66"/>
      <c r="E52" s="17"/>
      <c r="F52" s="41">
        <v>32</v>
      </c>
      <c r="G52" s="110">
        <v>309800000</v>
      </c>
      <c r="H52" s="89">
        <f t="shared" ref="H52:H91" si="4">G52/$G$92</f>
        <v>4.7392373838877283E-3</v>
      </c>
      <c r="I52" s="25">
        <f t="shared" ref="I52:I91" si="5">H52*$B$59</f>
        <v>5883382.6281666374</v>
      </c>
    </row>
    <row r="53" spans="1:9" x14ac:dyDescent="0.45">
      <c r="A53" s="15" t="s">
        <v>374</v>
      </c>
      <c r="B53" s="31">
        <f>'[9]Weight%'!$B$109</f>
        <v>0.08</v>
      </c>
      <c r="C53" s="17" t="s">
        <v>803</v>
      </c>
      <c r="D53" s="66"/>
      <c r="E53" s="17"/>
      <c r="F53" s="41">
        <v>36</v>
      </c>
      <c r="G53" s="110">
        <v>1585017000</v>
      </c>
      <c r="H53" s="89">
        <f t="shared" si="4"/>
        <v>2.4247165334078679E-2</v>
      </c>
      <c r="I53" s="25">
        <f t="shared" si="5"/>
        <v>30100908.596348606</v>
      </c>
    </row>
    <row r="54" spans="1:9" x14ac:dyDescent="0.45">
      <c r="A54" s="15" t="s">
        <v>377</v>
      </c>
      <c r="B54" s="31">
        <f>'[9]Weight%'!$B$110</f>
        <v>2.5300000000000001E-3</v>
      </c>
      <c r="C54" s="17" t="s">
        <v>803</v>
      </c>
      <c r="D54" s="66"/>
      <c r="E54" s="17"/>
      <c r="F54" s="41">
        <v>48</v>
      </c>
      <c r="G54" s="110">
        <v>1548000000</v>
      </c>
      <c r="H54" s="89">
        <f t="shared" si="4"/>
        <v>2.3680889187405432E-2</v>
      </c>
      <c r="I54" s="25">
        <f t="shared" si="5"/>
        <v>29397922.234996624</v>
      </c>
    </row>
    <row r="55" spans="1:9" x14ac:dyDescent="0.45">
      <c r="A55" s="15" t="s">
        <v>378</v>
      </c>
      <c r="B55" s="17">
        <f>B51*data_4tier!B37</f>
        <v>1156072072.2190332</v>
      </c>
      <c r="C55" s="17" t="s">
        <v>11</v>
      </c>
      <c r="D55" s="17"/>
      <c r="E55" s="17"/>
      <c r="F55" s="41">
        <v>70</v>
      </c>
      <c r="G55" s="110">
        <v>17858000</v>
      </c>
      <c r="H55" s="89">
        <f t="shared" si="4"/>
        <v>2.7318689864902208E-4</v>
      </c>
      <c r="I55" s="25">
        <f t="shared" si="5"/>
        <v>339139.59642930859</v>
      </c>
    </row>
    <row r="56" spans="1:9" x14ac:dyDescent="0.45">
      <c r="A56" s="15" t="s">
        <v>379</v>
      </c>
      <c r="B56" s="17">
        <f>B52*data_4tier!B6</f>
        <v>7667872.7156484723</v>
      </c>
      <c r="C56" s="17" t="s">
        <v>11</v>
      </c>
      <c r="D56" s="17"/>
      <c r="E56" s="17"/>
      <c r="F56" s="41">
        <v>76</v>
      </c>
      <c r="G56" s="110">
        <v>685100000</v>
      </c>
      <c r="H56" s="89">
        <f t="shared" si="4"/>
        <v>1.0480476215950557E-2</v>
      </c>
      <c r="I56" s="25">
        <f t="shared" si="5"/>
        <v>13010669.588628028</v>
      </c>
    </row>
    <row r="57" spans="1:9" x14ac:dyDescent="0.45">
      <c r="A57" s="15" t="s">
        <v>380</v>
      </c>
      <c r="B57" s="17">
        <f>B53*data_3tier!B74</f>
        <v>77649677.49358584</v>
      </c>
      <c r="C57" s="17" t="s">
        <v>11</v>
      </c>
      <c r="D57" s="17"/>
      <c r="E57" s="17"/>
      <c r="F57" s="41">
        <v>120</v>
      </c>
      <c r="G57" s="110">
        <v>60000000</v>
      </c>
      <c r="H57" s="89">
        <f t="shared" si="4"/>
        <v>9.1786392199245861E-4</v>
      </c>
      <c r="I57" s="25">
        <f t="shared" si="5"/>
        <v>1139454.3501936677</v>
      </c>
    </row>
    <row r="58" spans="1:9" x14ac:dyDescent="0.45">
      <c r="A58" s="15" t="s">
        <v>381</v>
      </c>
      <c r="B58" s="17">
        <f>B54*data_3tier!B24</f>
        <v>30072.683171418659</v>
      </c>
      <c r="C58" s="17" t="s">
        <v>11</v>
      </c>
      <c r="D58" s="17"/>
      <c r="E58" s="17"/>
      <c r="F58" s="41">
        <v>124</v>
      </c>
      <c r="G58" s="110">
        <v>3154493000</v>
      </c>
      <c r="H58" s="89">
        <f t="shared" si="4"/>
        <v>4.8256588614629281E-2</v>
      </c>
      <c r="I58" s="25">
        <f t="shared" si="5"/>
        <v>59906679.525091223</v>
      </c>
    </row>
    <row r="59" spans="1:9" x14ac:dyDescent="0.45">
      <c r="A59" s="15" t="s">
        <v>386</v>
      </c>
      <c r="B59" s="17">
        <f>SUM(B55:B58)</f>
        <v>1241419695.111439</v>
      </c>
      <c r="C59" s="17" t="s">
        <v>11</v>
      </c>
      <c r="D59" s="17"/>
      <c r="E59" s="17"/>
      <c r="F59" s="41">
        <v>156</v>
      </c>
      <c r="G59" s="110">
        <v>37080400000</v>
      </c>
      <c r="H59" s="89">
        <f t="shared" si="4"/>
        <v>0.56724602288415271</v>
      </c>
      <c r="I59" s="25">
        <f t="shared" si="5"/>
        <v>704190384.78202116</v>
      </c>
    </row>
    <row r="60" spans="1:9" x14ac:dyDescent="0.45">
      <c r="A60" s="15" t="s">
        <v>382</v>
      </c>
      <c r="B60" s="17">
        <f>B51*data_4tier!B43</f>
        <v>7132200705.0734243</v>
      </c>
      <c r="C60" s="17" t="s">
        <v>11</v>
      </c>
      <c r="D60" s="17"/>
      <c r="E60" s="17"/>
      <c r="F60" s="41">
        <v>251</v>
      </c>
      <c r="G60" s="110">
        <v>350000000</v>
      </c>
      <c r="H60" s="89">
        <f t="shared" si="4"/>
        <v>5.3542062116226754E-3</v>
      </c>
      <c r="I60" s="25">
        <f t="shared" si="5"/>
        <v>6646817.0427963948</v>
      </c>
    </row>
    <row r="61" spans="1:9" x14ac:dyDescent="0.45">
      <c r="A61" s="15" t="s">
        <v>383</v>
      </c>
      <c r="B61" s="17">
        <f>B52*data_4tier!B7</f>
        <v>26985412.2580867</v>
      </c>
      <c r="C61" s="17" t="s">
        <v>11</v>
      </c>
      <c r="D61" s="17"/>
      <c r="E61" s="17"/>
      <c r="F61" s="41">
        <v>276</v>
      </c>
      <c r="G61" s="110">
        <v>529056000</v>
      </c>
      <c r="H61" s="89">
        <f t="shared" si="4"/>
        <v>8.0933569185607027E-3</v>
      </c>
      <c r="I61" s="25">
        <f t="shared" si="5"/>
        <v>10047252.678267682</v>
      </c>
    </row>
    <row r="62" spans="1:9" x14ac:dyDescent="0.45">
      <c r="A62" s="15" t="s">
        <v>384</v>
      </c>
      <c r="B62" s="17">
        <f>B53*data_3tier!B81</f>
        <v>428369115.78782332</v>
      </c>
      <c r="C62" s="17" t="s">
        <v>11</v>
      </c>
      <c r="D62" s="17"/>
      <c r="E62" s="17"/>
      <c r="F62" s="41">
        <v>288</v>
      </c>
      <c r="G62" s="110">
        <v>37566000</v>
      </c>
      <c r="H62" s="89">
        <f t="shared" si="4"/>
        <v>5.7467460155947829E-4</v>
      </c>
      <c r="I62" s="25">
        <f t="shared" si="5"/>
        <v>713412.36865625519</v>
      </c>
    </row>
    <row r="63" spans="1:9" x14ac:dyDescent="0.45">
      <c r="A63" s="15" t="s">
        <v>385</v>
      </c>
      <c r="B63" s="17">
        <f>B54*data_3tier!B25</f>
        <v>75181.707928546646</v>
      </c>
      <c r="C63" s="17" t="s">
        <v>11</v>
      </c>
      <c r="D63" s="17"/>
      <c r="E63" s="17"/>
      <c r="F63" s="41">
        <v>300</v>
      </c>
      <c r="G63" s="110">
        <v>181900000</v>
      </c>
      <c r="H63" s="89">
        <f t="shared" si="4"/>
        <v>2.7826574568404704E-3</v>
      </c>
      <c r="I63" s="25">
        <f t="shared" si="5"/>
        <v>3454445.7716704691</v>
      </c>
    </row>
    <row r="64" spans="1:9" x14ac:dyDescent="0.45">
      <c r="A64" s="15" t="s">
        <v>387</v>
      </c>
      <c r="B64" s="17">
        <f>SUM(B60:B63)</f>
        <v>7587630414.8272638</v>
      </c>
      <c r="C64" s="17" t="s">
        <v>11</v>
      </c>
      <c r="D64" s="17"/>
      <c r="E64" s="17"/>
      <c r="F64" s="41">
        <v>352</v>
      </c>
      <c r="G64" s="110">
        <v>728104000</v>
      </c>
      <c r="H64" s="89">
        <f t="shared" si="4"/>
        <v>1.1138339884306618E-2</v>
      </c>
      <c r="I64" s="25">
        <f t="shared" si="5"/>
        <v>13827354.503223503</v>
      </c>
    </row>
    <row r="65" spans="1:9" x14ac:dyDescent="0.45">
      <c r="A65" s="15"/>
      <c r="B65" s="17"/>
      <c r="C65" s="17"/>
      <c r="D65" s="17"/>
      <c r="E65" s="17"/>
      <c r="F65" s="41">
        <v>360</v>
      </c>
      <c r="G65" s="110">
        <v>245000000</v>
      </c>
      <c r="H65" s="89">
        <f t="shared" si="4"/>
        <v>3.7479443481358726E-3</v>
      </c>
      <c r="I65" s="25">
        <f t="shared" si="5"/>
        <v>4652771.9299574755</v>
      </c>
    </row>
    <row r="66" spans="1:9" x14ac:dyDescent="0.45">
      <c r="A66" s="15"/>
      <c r="B66" s="17"/>
      <c r="C66" s="17"/>
      <c r="D66" s="17"/>
      <c r="E66" s="17"/>
      <c r="F66" s="41">
        <v>364</v>
      </c>
      <c r="G66" s="110">
        <v>376800000</v>
      </c>
      <c r="H66" s="89">
        <f t="shared" si="4"/>
        <v>5.7641854301126397E-3</v>
      </c>
      <c r="I66" s="25">
        <f t="shared" si="5"/>
        <v>7155773.3192162318</v>
      </c>
    </row>
    <row r="67" spans="1:9" x14ac:dyDescent="0.45">
      <c r="A67" s="15"/>
      <c r="B67" s="17"/>
      <c r="C67" s="17"/>
      <c r="D67" s="17"/>
      <c r="E67" s="17"/>
      <c r="F67" s="41">
        <v>398</v>
      </c>
      <c r="G67" s="110">
        <v>265000000</v>
      </c>
      <c r="H67" s="89">
        <f t="shared" si="4"/>
        <v>4.0538989888000256E-3</v>
      </c>
      <c r="I67" s="25">
        <f t="shared" si="5"/>
        <v>5032590.0466886982</v>
      </c>
    </row>
    <row r="68" spans="1:9" x14ac:dyDescent="0.45">
      <c r="A68" s="15"/>
      <c r="B68" s="17"/>
      <c r="C68" s="17"/>
      <c r="D68" s="17"/>
      <c r="E68" s="17"/>
      <c r="F68" s="41">
        <v>458</v>
      </c>
      <c r="G68" s="110">
        <v>1000000000</v>
      </c>
      <c r="H68" s="89">
        <f t="shared" si="4"/>
        <v>1.5297732033207643E-2</v>
      </c>
      <c r="I68" s="25">
        <f t="shared" si="5"/>
        <v>18990905.836561125</v>
      </c>
    </row>
    <row r="69" spans="1:9" x14ac:dyDescent="0.45">
      <c r="A69" s="15"/>
      <c r="B69" s="17"/>
      <c r="C69" s="17"/>
      <c r="D69" s="17"/>
      <c r="E69" s="17"/>
      <c r="F69" s="41">
        <v>499</v>
      </c>
      <c r="G69" s="110">
        <v>37208000</v>
      </c>
      <c r="H69" s="89">
        <f t="shared" si="4"/>
        <v>5.6919801349159004E-4</v>
      </c>
      <c r="I69" s="25">
        <f t="shared" si="5"/>
        <v>706613.62436676642</v>
      </c>
    </row>
    <row r="70" spans="1:9" x14ac:dyDescent="0.45">
      <c r="A70" s="15"/>
      <c r="B70" s="17"/>
      <c r="C70" s="17"/>
      <c r="D70" s="17"/>
      <c r="E70" s="17"/>
      <c r="F70" s="41">
        <v>508</v>
      </c>
      <c r="G70" s="110">
        <v>562633000</v>
      </c>
      <c r="H70" s="89">
        <f t="shared" si="4"/>
        <v>8.6070088670397154E-3</v>
      </c>
      <c r="I70" s="25">
        <f t="shared" si="5"/>
        <v>10684910.323541895</v>
      </c>
    </row>
    <row r="71" spans="1:9" x14ac:dyDescent="0.45">
      <c r="A71" s="15"/>
      <c r="B71" s="17"/>
      <c r="C71" s="17"/>
      <c r="D71" s="17"/>
      <c r="E71" s="17"/>
      <c r="F71" s="41">
        <v>512</v>
      </c>
      <c r="G71" s="110">
        <v>397000000</v>
      </c>
      <c r="H71" s="89">
        <f t="shared" si="4"/>
        <v>6.0731996171834342E-3</v>
      </c>
      <c r="I71" s="25">
        <f t="shared" si="5"/>
        <v>7539389.6171147665</v>
      </c>
    </row>
    <row r="72" spans="1:9" x14ac:dyDescent="0.45">
      <c r="A72" s="15"/>
      <c r="B72" s="17"/>
      <c r="C72" s="17"/>
      <c r="D72" s="17"/>
      <c r="E72" s="17"/>
      <c r="F72" s="41">
        <v>528</v>
      </c>
      <c r="G72" s="110">
        <v>70600000</v>
      </c>
      <c r="H72" s="89">
        <f t="shared" si="4"/>
        <v>1.0800198815444596E-3</v>
      </c>
      <c r="I72" s="25">
        <f t="shared" si="5"/>
        <v>1340757.9520612154</v>
      </c>
    </row>
    <row r="73" spans="1:9" x14ac:dyDescent="0.45">
      <c r="A73" s="15"/>
      <c r="B73" s="17"/>
      <c r="C73" s="17"/>
      <c r="D73" s="17"/>
      <c r="E73" s="17"/>
      <c r="F73" s="41">
        <v>554</v>
      </c>
      <c r="G73" s="110">
        <v>333000000</v>
      </c>
      <c r="H73" s="89">
        <f t="shared" si="4"/>
        <v>5.0941447670581454E-3</v>
      </c>
      <c r="I73" s="25">
        <f t="shared" si="5"/>
        <v>6323971.6435748553</v>
      </c>
    </row>
    <row r="74" spans="1:9" x14ac:dyDescent="0.45">
      <c r="A74" s="15"/>
      <c r="B74" s="17"/>
      <c r="C74" s="17"/>
      <c r="D74" s="17"/>
      <c r="E74" s="17"/>
      <c r="F74" s="41">
        <v>579</v>
      </c>
      <c r="G74" s="110">
        <v>1330000000</v>
      </c>
      <c r="H74" s="89">
        <f t="shared" si="4"/>
        <v>2.0345983604166167E-2</v>
      </c>
      <c r="I74" s="25">
        <f t="shared" si="5"/>
        <v>25257904.762626298</v>
      </c>
    </row>
    <row r="75" spans="1:9" x14ac:dyDescent="0.45">
      <c r="A75" s="15"/>
      <c r="B75" s="17"/>
      <c r="C75" s="17"/>
      <c r="D75" s="17"/>
      <c r="E75" s="17"/>
      <c r="F75" s="41">
        <v>634</v>
      </c>
      <c r="G75" s="110">
        <v>655000000</v>
      </c>
      <c r="H75" s="89">
        <f t="shared" si="4"/>
        <v>1.0020014481751006E-2</v>
      </c>
      <c r="I75" s="25">
        <f t="shared" si="5"/>
        <v>12439043.322947538</v>
      </c>
    </row>
    <row r="76" spans="1:9" x14ac:dyDescent="0.45">
      <c r="A76" s="15"/>
      <c r="B76" s="17"/>
      <c r="C76" s="17"/>
      <c r="D76" s="17"/>
      <c r="E76" s="17"/>
      <c r="F76" s="41">
        <v>642</v>
      </c>
      <c r="G76" s="110">
        <v>271307000</v>
      </c>
      <c r="H76" s="89">
        <f t="shared" si="4"/>
        <v>4.1503817847334664E-3</v>
      </c>
      <c r="I76" s="25">
        <f t="shared" si="5"/>
        <v>5152365.6897998899</v>
      </c>
    </row>
    <row r="77" spans="1:9" x14ac:dyDescent="0.45">
      <c r="A77" s="15"/>
      <c r="B77" s="17"/>
      <c r="C77" s="17"/>
      <c r="D77" s="17"/>
      <c r="E77" s="17"/>
      <c r="F77" s="41">
        <v>643</v>
      </c>
      <c r="G77" s="110">
        <v>3638000000</v>
      </c>
      <c r="H77" s="89">
        <f t="shared" si="4"/>
        <v>5.565314913680941E-2</v>
      </c>
      <c r="I77" s="25">
        <f t="shared" si="5"/>
        <v>69088915.433409378</v>
      </c>
    </row>
    <row r="78" spans="1:9" x14ac:dyDescent="0.45">
      <c r="A78" s="15"/>
      <c r="B78" s="17"/>
      <c r="C78" s="17"/>
      <c r="D78" s="17"/>
      <c r="E78" s="17"/>
      <c r="F78" s="41">
        <v>682</v>
      </c>
      <c r="G78" s="110">
        <v>1010563000</v>
      </c>
      <c r="H78" s="89">
        <f t="shared" si="4"/>
        <v>1.5459321976674417E-2</v>
      </c>
      <c r="I78" s="25">
        <f t="shared" si="5"/>
        <v>19191506.774912722</v>
      </c>
    </row>
    <row r="79" spans="1:9" x14ac:dyDescent="0.45">
      <c r="A79" s="15"/>
      <c r="B79" s="17"/>
      <c r="C79" s="17"/>
      <c r="D79" s="17"/>
      <c r="E79" s="17"/>
      <c r="F79" s="41">
        <v>699</v>
      </c>
      <c r="G79" s="110">
        <v>3619237000</v>
      </c>
      <c r="H79" s="89">
        <f t="shared" si="4"/>
        <v>5.5366117790670334E-2</v>
      </c>
      <c r="I79" s="25">
        <f t="shared" si="5"/>
        <v>68732589.067197978</v>
      </c>
    </row>
    <row r="80" spans="1:9" x14ac:dyDescent="0.45">
      <c r="A80" s="15"/>
      <c r="B80" s="17"/>
      <c r="C80" s="17"/>
      <c r="D80" s="17"/>
      <c r="E80" s="17"/>
      <c r="F80" s="41">
        <v>703</v>
      </c>
      <c r="G80" s="110">
        <v>151875000</v>
      </c>
      <c r="H80" s="89">
        <f t="shared" si="4"/>
        <v>2.3233430525434109E-3</v>
      </c>
      <c r="I80" s="25">
        <f t="shared" si="5"/>
        <v>2884243.823927721</v>
      </c>
    </row>
    <row r="81" spans="1:9" x14ac:dyDescent="0.45">
      <c r="A81" s="15"/>
      <c r="B81" s="17"/>
      <c r="C81" s="17"/>
      <c r="D81" s="17"/>
      <c r="E81" s="17"/>
      <c r="F81" s="41">
        <v>705</v>
      </c>
      <c r="G81" s="110">
        <v>50185000</v>
      </c>
      <c r="H81" s="89">
        <f t="shared" si="4"/>
        <v>7.677166820865256E-4</v>
      </c>
      <c r="I81" s="25">
        <f t="shared" si="5"/>
        <v>953058.60940782016</v>
      </c>
    </row>
    <row r="82" spans="1:9" x14ac:dyDescent="0.45">
      <c r="A82" s="15"/>
      <c r="B82" s="17"/>
      <c r="C82" s="17"/>
      <c r="D82" s="17"/>
      <c r="E82" s="17"/>
      <c r="F82" s="41">
        <v>710</v>
      </c>
      <c r="G82" s="110">
        <v>717000000</v>
      </c>
      <c r="H82" s="89">
        <f t="shared" si="4"/>
        <v>1.0968473867809881E-2</v>
      </c>
      <c r="I82" s="25">
        <f t="shared" si="5"/>
        <v>13616479.484814327</v>
      </c>
    </row>
    <row r="83" spans="1:9" x14ac:dyDescent="0.45">
      <c r="A83" s="15"/>
      <c r="B83" s="17"/>
      <c r="C83" s="17"/>
      <c r="D83" s="17"/>
      <c r="E83" s="17"/>
      <c r="F83" s="41">
        <v>724</v>
      </c>
      <c r="G83" s="110">
        <v>200000000</v>
      </c>
      <c r="H83" s="89">
        <f t="shared" si="4"/>
        <v>3.0595464066415288E-3</v>
      </c>
      <c r="I83" s="25">
        <f t="shared" si="5"/>
        <v>3798181.1673122253</v>
      </c>
    </row>
    <row r="84" spans="1:9" x14ac:dyDescent="0.45">
      <c r="A84" s="15"/>
      <c r="B84" s="17"/>
      <c r="C84" s="17"/>
      <c r="D84" s="17"/>
      <c r="E84" s="17"/>
      <c r="F84" s="41">
        <v>752</v>
      </c>
      <c r="G84" s="110">
        <v>117000000</v>
      </c>
      <c r="H84" s="89">
        <f t="shared" si="4"/>
        <v>1.7898346478852944E-3</v>
      </c>
      <c r="I84" s="25">
        <f t="shared" si="5"/>
        <v>2221935.9828776517</v>
      </c>
    </row>
    <row r="85" spans="1:9" x14ac:dyDescent="0.45">
      <c r="A85" s="15"/>
      <c r="B85" s="17"/>
      <c r="C85" s="17"/>
      <c r="D85" s="17"/>
      <c r="E85" s="17"/>
      <c r="F85" s="41">
        <v>762</v>
      </c>
      <c r="G85" s="110">
        <v>84000000</v>
      </c>
      <c r="H85" s="89">
        <f t="shared" si="4"/>
        <v>1.285009490789442E-3</v>
      </c>
      <c r="I85" s="25">
        <f t="shared" si="5"/>
        <v>1595236.0902711346</v>
      </c>
    </row>
    <row r="86" spans="1:9" x14ac:dyDescent="0.45">
      <c r="A86" s="15"/>
      <c r="B86" s="17"/>
      <c r="C86" s="17"/>
      <c r="D86" s="17"/>
      <c r="E86" s="17"/>
      <c r="F86" s="41">
        <v>784</v>
      </c>
      <c r="G86" s="110">
        <v>2520000000</v>
      </c>
      <c r="H86" s="89">
        <f t="shared" si="4"/>
        <v>3.8550284723683263E-2</v>
      </c>
      <c r="I86" s="25">
        <f t="shared" si="5"/>
        <v>47857082.70813404</v>
      </c>
    </row>
    <row r="87" spans="1:9" x14ac:dyDescent="0.45">
      <c r="A87" s="15"/>
      <c r="B87" s="17"/>
      <c r="C87" s="17"/>
      <c r="D87" s="17"/>
      <c r="E87" s="17"/>
      <c r="F87" s="41">
        <v>792</v>
      </c>
      <c r="G87" s="110">
        <v>79900000</v>
      </c>
      <c r="H87" s="89">
        <f t="shared" si="4"/>
        <v>1.2222887894532907E-3</v>
      </c>
      <c r="I87" s="25">
        <f t="shared" si="5"/>
        <v>1517373.376341234</v>
      </c>
    </row>
    <row r="88" spans="1:9" x14ac:dyDescent="0.45">
      <c r="A88" s="15"/>
      <c r="B88" s="17"/>
      <c r="C88" s="17"/>
      <c r="D88" s="17"/>
      <c r="E88" s="17"/>
      <c r="F88" s="41">
        <v>818</v>
      </c>
      <c r="G88" s="110">
        <v>268000000</v>
      </c>
      <c r="H88" s="89">
        <f t="shared" si="4"/>
        <v>4.0997921848996482E-3</v>
      </c>
      <c r="I88" s="25">
        <f t="shared" si="5"/>
        <v>5089562.7641983815</v>
      </c>
    </row>
    <row r="89" spans="1:9" x14ac:dyDescent="0.45">
      <c r="A89" s="15"/>
      <c r="B89" s="17"/>
      <c r="C89" s="17"/>
      <c r="D89" s="17"/>
      <c r="E89" s="17"/>
      <c r="F89" s="41">
        <v>826</v>
      </c>
      <c r="G89" s="110">
        <v>35700000</v>
      </c>
      <c r="H89" s="89">
        <f t="shared" si="4"/>
        <v>5.4612903358551286E-4</v>
      </c>
      <c r="I89" s="25">
        <f t="shared" si="5"/>
        <v>677975.33836523222</v>
      </c>
    </row>
    <row r="90" spans="1:9" x14ac:dyDescent="0.45">
      <c r="A90" s="15"/>
      <c r="B90" s="17"/>
      <c r="C90" s="17"/>
      <c r="D90" s="17"/>
      <c r="E90" s="17"/>
      <c r="F90" s="41">
        <v>842</v>
      </c>
      <c r="G90" s="110">
        <v>1026617000</v>
      </c>
      <c r="H90" s="89">
        <f t="shared" si="4"/>
        <v>1.5704911766735531E-2</v>
      </c>
      <c r="I90" s="25">
        <f t="shared" si="5"/>
        <v>19496386.777212873</v>
      </c>
    </row>
    <row r="91" spans="1:9" x14ac:dyDescent="0.45">
      <c r="A91" s="15"/>
      <c r="B91" s="17"/>
      <c r="C91" s="17"/>
      <c r="D91" s="17"/>
      <c r="E91" s="17"/>
      <c r="F91" s="41">
        <v>862</v>
      </c>
      <c r="G91" s="110">
        <v>10000000</v>
      </c>
      <c r="H91" s="89">
        <f t="shared" si="4"/>
        <v>1.5297732033207643E-4</v>
      </c>
      <c r="I91" s="25">
        <f t="shared" si="5"/>
        <v>189909.05836561124</v>
      </c>
    </row>
    <row r="92" spans="1:9" x14ac:dyDescent="0.45">
      <c r="A92" s="51"/>
      <c r="B92" s="45"/>
      <c r="C92" s="45"/>
      <c r="D92" s="45"/>
      <c r="E92" s="45"/>
      <c r="F92" s="102" t="s">
        <v>86</v>
      </c>
      <c r="G92" s="111">
        <f>SUM(G51:G91)</f>
        <v>65369167000</v>
      </c>
      <c r="H92" s="72"/>
      <c r="I92" s="28"/>
    </row>
    <row r="94" spans="1:9" x14ac:dyDescent="0.45">
      <c r="A94" s="30" t="s">
        <v>389</v>
      </c>
    </row>
    <row r="95" spans="1:9" ht="32" x14ac:dyDescent="0.45">
      <c r="A95" s="14" t="s">
        <v>1</v>
      </c>
      <c r="B95" s="5" t="s">
        <v>2</v>
      </c>
      <c r="C95" s="5" t="s">
        <v>119</v>
      </c>
      <c r="D95" s="5" t="s">
        <v>4</v>
      </c>
      <c r="E95" s="5"/>
      <c r="F95" s="10" t="s">
        <v>268</v>
      </c>
      <c r="G95" s="10" t="s">
        <v>82</v>
      </c>
      <c r="H95" s="10" t="s">
        <v>83</v>
      </c>
      <c r="I95" s="11" t="s">
        <v>84</v>
      </c>
    </row>
    <row r="96" spans="1:9" ht="32" x14ac:dyDescent="0.45">
      <c r="A96" s="15" t="s">
        <v>390</v>
      </c>
      <c r="B96" s="104">
        <f>'[9]Weight%'!$B$111</f>
        <v>7.8719999999999988E-3</v>
      </c>
      <c r="C96" s="17" t="s">
        <v>803</v>
      </c>
      <c r="D96" s="67" t="s">
        <v>191</v>
      </c>
      <c r="E96" s="17"/>
      <c r="F96" s="41">
        <v>398</v>
      </c>
      <c r="G96" s="42">
        <f>[25]Production!$DF$3</f>
        <v>0.59435872887285046</v>
      </c>
      <c r="H96" s="24">
        <f>G96/$G$99</f>
        <v>0.59930197155905396</v>
      </c>
      <c r="I96" s="25">
        <f>H96*$B$97</f>
        <v>4579103.5135825397</v>
      </c>
    </row>
    <row r="97" spans="1:9" x14ac:dyDescent="0.45">
      <c r="A97" s="15" t="s">
        <v>391</v>
      </c>
      <c r="B97" s="23">
        <f>B96*data_3tier!B74</f>
        <v>7640728.2653688462</v>
      </c>
      <c r="C97" s="17" t="s">
        <v>11</v>
      </c>
      <c r="D97" s="17"/>
      <c r="E97" s="17"/>
      <c r="F97" s="41">
        <v>826</v>
      </c>
      <c r="G97" s="42">
        <f>[25]Production!$HR$3</f>
        <v>0.15322016423021689</v>
      </c>
      <c r="H97" s="24">
        <f>G97/$G$99</f>
        <v>0.15449448631789997</v>
      </c>
      <c r="I97" s="25">
        <f>H97*$B$97</f>
        <v>1180450.3884528189</v>
      </c>
    </row>
    <row r="98" spans="1:9" x14ac:dyDescent="0.45">
      <c r="A98" s="15" t="s">
        <v>392</v>
      </c>
      <c r="B98" s="23">
        <f>B96*data_3tier!B81</f>
        <v>42151520.99352181</v>
      </c>
      <c r="C98" s="17" t="s">
        <v>11</v>
      </c>
      <c r="D98" s="17"/>
      <c r="E98" s="17"/>
      <c r="F98" s="41">
        <v>842</v>
      </c>
      <c r="G98" s="42">
        <f>[25]Production!$HT$3</f>
        <v>0.2441727731339986</v>
      </c>
      <c r="H98" s="24">
        <f>G98/$G$99</f>
        <v>0.24620354212304607</v>
      </c>
      <c r="I98" s="25">
        <f>H98*$B$97</f>
        <v>1881174.3633334874</v>
      </c>
    </row>
    <row r="99" spans="1:9" x14ac:dyDescent="0.45">
      <c r="A99" s="51"/>
      <c r="B99" s="45"/>
      <c r="C99" s="45"/>
      <c r="D99" s="45"/>
      <c r="E99" s="45"/>
      <c r="F99" s="102" t="s">
        <v>86</v>
      </c>
      <c r="G99" s="56">
        <f>SUM(G96:G98)</f>
        <v>0.99175166623706601</v>
      </c>
      <c r="H99" s="45"/>
      <c r="I99" s="28"/>
    </row>
    <row r="101" spans="1:9" x14ac:dyDescent="0.45">
      <c r="A101" s="30" t="s">
        <v>393</v>
      </c>
    </row>
    <row r="102" spans="1:9" ht="32" x14ac:dyDescent="0.45">
      <c r="A102" s="14" t="s">
        <v>1</v>
      </c>
      <c r="B102" s="5" t="s">
        <v>2</v>
      </c>
      <c r="C102" s="5" t="s">
        <v>119</v>
      </c>
      <c r="D102" s="5" t="s">
        <v>4</v>
      </c>
      <c r="E102" s="5"/>
      <c r="F102" s="10" t="s">
        <v>268</v>
      </c>
      <c r="G102" s="10" t="s">
        <v>82</v>
      </c>
      <c r="H102" s="10" t="s">
        <v>83</v>
      </c>
      <c r="I102" s="11" t="s">
        <v>84</v>
      </c>
    </row>
    <row r="103" spans="1:9" x14ac:dyDescent="0.45">
      <c r="A103" s="15" t="s">
        <v>394</v>
      </c>
      <c r="B103" s="76">
        <f>'[9]Weight%'!$B$112*'[9]Weight%'!$B$27</f>
        <v>1.2135494549398849E-2</v>
      </c>
      <c r="C103" s="17" t="s">
        <v>803</v>
      </c>
      <c r="D103" s="66" t="s">
        <v>191</v>
      </c>
      <c r="E103" s="17"/>
      <c r="F103" s="41">
        <v>442</v>
      </c>
      <c r="G103" s="104">
        <f>[26]Production!$DT$5</f>
        <v>2.2664427324801957E-2</v>
      </c>
      <c r="H103" s="24">
        <f>G103/$G$107</f>
        <v>2.4170882304898875E-2</v>
      </c>
      <c r="I103" s="25">
        <f>H103*$B$111</f>
        <v>3638374.2248664964</v>
      </c>
    </row>
    <row r="104" spans="1:9" x14ac:dyDescent="0.45">
      <c r="A104" s="15" t="s">
        <v>395</v>
      </c>
      <c r="B104" s="76">
        <f>'[9]Weight%'!$B$35*'[9]Weight%'!$B$112</f>
        <v>1.2500000000000001E-2</v>
      </c>
      <c r="C104" s="17" t="s">
        <v>803</v>
      </c>
      <c r="D104" s="66"/>
      <c r="E104" s="17"/>
      <c r="F104" s="41">
        <v>616</v>
      </c>
      <c r="G104" s="104">
        <f>[26]Production!$FO$5</f>
        <v>1.0328643324423898E-2</v>
      </c>
      <c r="H104" s="24">
        <f>G104/$G$107</f>
        <v>1.1015165686129286E-2</v>
      </c>
      <c r="I104" s="25">
        <f>H104*$B$111</f>
        <v>1658081.5879825759</v>
      </c>
    </row>
    <row r="105" spans="1:9" x14ac:dyDescent="0.45">
      <c r="A105" s="15" t="s">
        <v>396</v>
      </c>
      <c r="B105" s="76">
        <f>'[9]Weight%'!$B$112*'[9]Weight%'!$B$52</f>
        <v>1.0125E-2</v>
      </c>
      <c r="C105" s="17" t="s">
        <v>803</v>
      </c>
      <c r="D105" s="66"/>
      <c r="E105" s="17"/>
      <c r="F105" s="41">
        <v>792</v>
      </c>
      <c r="G105" s="104">
        <f>[26]Production!$HJ$5</f>
        <v>0.54705618810566581</v>
      </c>
      <c r="H105" s="24">
        <f>G105/$G$107</f>
        <v>0.58341781803587711</v>
      </c>
      <c r="I105" s="25">
        <f>H105*$B$111</f>
        <v>87820226.199991331</v>
      </c>
    </row>
    <row r="106" spans="1:9" x14ac:dyDescent="0.45">
      <c r="A106" s="15" t="s">
        <v>397</v>
      </c>
      <c r="B106" s="76">
        <f>'[9]Weight%'!$B$51*'[9]Weight%'!$B$112</f>
        <v>1.434630738522954E-2</v>
      </c>
      <c r="C106" s="17" t="s">
        <v>803</v>
      </c>
      <c r="D106" s="66"/>
      <c r="E106" s="17"/>
      <c r="F106" s="41">
        <v>842</v>
      </c>
      <c r="G106" s="104">
        <f>[26]Production!$HT$5</f>
        <v>0.35762554512301242</v>
      </c>
      <c r="H106" s="24">
        <f>G106/$G$107</f>
        <v>0.38139613397309469</v>
      </c>
      <c r="I106" s="25">
        <f>H106*$B$111</f>
        <v>57410476.200539447</v>
      </c>
    </row>
    <row r="107" spans="1:9" x14ac:dyDescent="0.45">
      <c r="A107" s="15" t="s">
        <v>398</v>
      </c>
      <c r="B107" s="23">
        <f>B103*data_1tier!B11</f>
        <v>2189849.9914390226</v>
      </c>
      <c r="C107" s="17" t="s">
        <v>11</v>
      </c>
      <c r="D107" s="17"/>
      <c r="E107" s="17"/>
      <c r="F107" s="17" t="s">
        <v>86</v>
      </c>
      <c r="G107" s="42">
        <f>SUM(G103:G106)</f>
        <v>0.93767480387790414</v>
      </c>
      <c r="H107" s="17"/>
      <c r="I107" s="21"/>
    </row>
    <row r="108" spans="1:9" x14ac:dyDescent="0.45">
      <c r="A108" s="15" t="s">
        <v>399</v>
      </c>
      <c r="B108" s="23">
        <f>B104*data_1tier!B19</f>
        <v>5851725</v>
      </c>
      <c r="C108" s="17" t="s">
        <v>11</v>
      </c>
      <c r="D108" s="17"/>
      <c r="E108" s="17"/>
      <c r="F108" s="17"/>
      <c r="G108" s="17"/>
      <c r="H108" s="17"/>
      <c r="I108" s="21"/>
    </row>
    <row r="109" spans="1:9" x14ac:dyDescent="0.45">
      <c r="A109" s="15" t="s">
        <v>400</v>
      </c>
      <c r="B109" s="23">
        <f>B105*data_1tier!B52</f>
        <v>32974941.97930187</v>
      </c>
      <c r="C109" s="17" t="s">
        <v>11</v>
      </c>
      <c r="D109" s="17"/>
      <c r="E109" s="17"/>
      <c r="F109" s="17"/>
      <c r="G109" s="17"/>
      <c r="H109" s="17"/>
      <c r="I109" s="21"/>
    </row>
    <row r="110" spans="1:9" x14ac:dyDescent="0.45">
      <c r="A110" s="15" t="s">
        <v>401</v>
      </c>
      <c r="B110" s="23">
        <f>B106*data_1tier!B53</f>
        <v>109510641.24263898</v>
      </c>
      <c r="C110" s="17" t="s">
        <v>11</v>
      </c>
      <c r="D110" s="17"/>
      <c r="E110" s="17"/>
      <c r="F110" s="17"/>
      <c r="G110" s="17"/>
      <c r="H110" s="17"/>
      <c r="I110" s="21"/>
    </row>
    <row r="111" spans="1:9" x14ac:dyDescent="0.45">
      <c r="A111" s="15" t="s">
        <v>406</v>
      </c>
      <c r="B111" s="23">
        <f>SUM(B107:B110)</f>
        <v>150527158.21337986</v>
      </c>
      <c r="C111" s="17" t="s">
        <v>11</v>
      </c>
      <c r="D111" s="17"/>
      <c r="E111" s="17"/>
      <c r="F111" s="17"/>
      <c r="G111" s="17"/>
      <c r="H111" s="17"/>
      <c r="I111" s="21"/>
    </row>
    <row r="112" spans="1:9" x14ac:dyDescent="0.45">
      <c r="A112" s="15" t="s">
        <v>402</v>
      </c>
      <c r="B112" s="23">
        <f>B103*data_1tier!B13</f>
        <v>5474624.9785975562</v>
      </c>
      <c r="C112" s="17" t="s">
        <v>11</v>
      </c>
      <c r="D112" s="17"/>
      <c r="E112" s="17"/>
      <c r="F112" s="17"/>
      <c r="G112" s="17"/>
      <c r="H112" s="17"/>
      <c r="I112" s="21"/>
    </row>
    <row r="113" spans="1:9" x14ac:dyDescent="0.45">
      <c r="A113" s="15" t="s">
        <v>403</v>
      </c>
      <c r="B113" s="23">
        <f>B104*data_1tier!B21</f>
        <v>22087725</v>
      </c>
      <c r="C113" s="17" t="s">
        <v>11</v>
      </c>
      <c r="D113" s="17"/>
      <c r="E113" s="17"/>
      <c r="F113" s="17"/>
      <c r="G113" s="17"/>
      <c r="H113" s="17"/>
      <c r="I113" s="21"/>
    </row>
    <row r="114" spans="1:9" x14ac:dyDescent="0.45">
      <c r="A114" s="15" t="s">
        <v>404</v>
      </c>
      <c r="B114" s="23">
        <f>B105*data_1tier!B56</f>
        <v>154461570.32409823</v>
      </c>
      <c r="C114" s="17" t="s">
        <v>11</v>
      </c>
      <c r="D114" s="17"/>
      <c r="E114" s="17"/>
      <c r="F114" s="17"/>
      <c r="G114" s="17"/>
      <c r="H114" s="17"/>
      <c r="I114" s="21"/>
    </row>
    <row r="115" spans="1:9" x14ac:dyDescent="0.45">
      <c r="A115" s="15" t="s">
        <v>405</v>
      </c>
      <c r="B115" s="23">
        <f>B106*data_1tier!B57</f>
        <v>579340984.05396104</v>
      </c>
      <c r="C115" s="17" t="s">
        <v>11</v>
      </c>
      <c r="D115" s="17"/>
      <c r="E115" s="17"/>
      <c r="F115" s="17"/>
      <c r="G115" s="17"/>
      <c r="H115" s="17"/>
      <c r="I115" s="21"/>
    </row>
    <row r="116" spans="1:9" x14ac:dyDescent="0.45">
      <c r="A116" s="51" t="s">
        <v>407</v>
      </c>
      <c r="B116" s="26">
        <f>SUM(B112:B115)</f>
        <v>761364904.35665679</v>
      </c>
      <c r="C116" s="45" t="s">
        <v>11</v>
      </c>
      <c r="D116" s="45"/>
      <c r="E116" s="45"/>
      <c r="F116" s="45"/>
      <c r="G116" s="45"/>
      <c r="H116" s="45"/>
      <c r="I116" s="28"/>
    </row>
    <row r="118" spans="1:9" x14ac:dyDescent="0.45">
      <c r="A118" s="30" t="s">
        <v>408</v>
      </c>
    </row>
    <row r="119" spans="1:9" ht="32" x14ac:dyDescent="0.45">
      <c r="A119" s="14" t="s">
        <v>1</v>
      </c>
      <c r="B119" s="5" t="s">
        <v>2</v>
      </c>
      <c r="C119" s="5" t="s">
        <v>119</v>
      </c>
      <c r="D119" s="5" t="s">
        <v>4</v>
      </c>
      <c r="E119" s="5"/>
      <c r="F119" s="10" t="s">
        <v>268</v>
      </c>
      <c r="G119" s="10" t="s">
        <v>82</v>
      </c>
      <c r="H119" s="10" t="s">
        <v>83</v>
      </c>
      <c r="I119" s="11" t="s">
        <v>84</v>
      </c>
    </row>
    <row r="120" spans="1:9" x14ac:dyDescent="0.45">
      <c r="A120" s="15" t="s">
        <v>409</v>
      </c>
      <c r="B120" s="76">
        <f>'[9]Weight%'!$B$113</f>
        <v>7.0000000000000007E-2</v>
      </c>
      <c r="C120" s="17" t="s">
        <v>803</v>
      </c>
      <c r="D120" s="66" t="s">
        <v>191</v>
      </c>
      <c r="E120" s="17"/>
      <c r="F120" s="41">
        <v>36</v>
      </c>
      <c r="G120" s="42">
        <f>[27]Production!$L$3</f>
        <v>9.0876059069349341E-2</v>
      </c>
      <c r="H120" s="24">
        <f>G120/$G$133</f>
        <v>9.1594901692503519E-2</v>
      </c>
      <c r="I120" s="25">
        <f>H120*$B$126</f>
        <v>581940.84778244002</v>
      </c>
    </row>
    <row r="121" spans="1:9" x14ac:dyDescent="0.45">
      <c r="A121" s="15" t="s">
        <v>410</v>
      </c>
      <c r="B121" s="31">
        <f>'[9]Weight%'!$B$114*'[9]Weight%'!$B$73</f>
        <v>2.3447599999999996E-2</v>
      </c>
      <c r="C121" s="17" t="s">
        <v>803</v>
      </c>
      <c r="D121" s="66"/>
      <c r="E121" s="17"/>
      <c r="F121" s="41">
        <v>56</v>
      </c>
      <c r="G121" s="42">
        <f>[27]Production!$S$3</f>
        <v>9.6189028713574376E-2</v>
      </c>
      <c r="H121" s="24">
        <f t="shared" ref="H121:H132" si="6">G121/$G$133</f>
        <v>9.6949897686406397E-2</v>
      </c>
      <c r="I121" s="25">
        <f t="shared" ref="I121:I132" si="7">H121*$B$126</f>
        <v>615963.38452826487</v>
      </c>
    </row>
    <row r="122" spans="1:9" x14ac:dyDescent="0.45">
      <c r="A122" s="15" t="s">
        <v>411</v>
      </c>
      <c r="B122" s="31">
        <f>'[9]Weight%'!$B$115*'[9]Weight%'!$B$75</f>
        <v>2.9546999999999997E-2</v>
      </c>
      <c r="C122" s="17" t="s">
        <v>803</v>
      </c>
      <c r="D122" s="66"/>
      <c r="E122" s="17"/>
      <c r="F122" s="41">
        <v>124</v>
      </c>
      <c r="G122" s="42">
        <f>[27]Production!$AM$3</f>
        <v>0.11499897996134403</v>
      </c>
      <c r="H122" s="24">
        <f t="shared" si="6"/>
        <v>0.11590863833850124</v>
      </c>
      <c r="I122" s="25">
        <f t="shared" si="7"/>
        <v>736416.21982914547</v>
      </c>
    </row>
    <row r="123" spans="1:9" x14ac:dyDescent="0.45">
      <c r="A123" s="15" t="s">
        <v>412</v>
      </c>
      <c r="B123" s="23">
        <f>B120*data_3tier!B7</f>
        <v>5736774.5501596071</v>
      </c>
      <c r="C123" s="17" t="s">
        <v>11</v>
      </c>
      <c r="D123" s="17"/>
      <c r="E123" s="17"/>
      <c r="F123" s="41">
        <v>156</v>
      </c>
      <c r="G123" s="42">
        <f>[27]Production!$AT$3</f>
        <v>6.4800747197154354E-2</v>
      </c>
      <c r="H123" s="24">
        <f t="shared" si="6"/>
        <v>6.5313330374446463E-2</v>
      </c>
      <c r="I123" s="25">
        <f t="shared" si="7"/>
        <v>414962.99627243041</v>
      </c>
    </row>
    <row r="124" spans="1:9" x14ac:dyDescent="0.45">
      <c r="A124" s="15" t="s">
        <v>413</v>
      </c>
      <c r="B124" s="23">
        <f>B121*data_3tier!B40</f>
        <v>265436.56914366875</v>
      </c>
      <c r="C124" s="17" t="s">
        <v>11</v>
      </c>
      <c r="D124" s="17"/>
      <c r="E124" s="17"/>
      <c r="F124" s="41">
        <v>392</v>
      </c>
      <c r="G124" s="42">
        <f>[27]Production!$DE$3</f>
        <v>1.2257727118217479E-2</v>
      </c>
      <c r="H124" s="24">
        <f t="shared" si="6"/>
        <v>1.2354687492663771E-2</v>
      </c>
      <c r="I124" s="25">
        <f t="shared" si="7"/>
        <v>78494.514222032245</v>
      </c>
    </row>
    <row r="125" spans="1:9" x14ac:dyDescent="0.45">
      <c r="A125" s="15" t="s">
        <v>414</v>
      </c>
      <c r="B125" s="23">
        <f>B122*data_3tier!B24</f>
        <v>351208.52555964707</v>
      </c>
      <c r="C125" s="17" t="s">
        <v>11</v>
      </c>
      <c r="D125" s="17"/>
      <c r="E125" s="17"/>
      <c r="F125" s="41">
        <v>450</v>
      </c>
      <c r="G125" s="42">
        <f>[27]Production!$DV$3</f>
        <v>0.15978080061183139</v>
      </c>
      <c r="H125" s="24">
        <f t="shared" si="6"/>
        <v>0.16104468959444929</v>
      </c>
      <c r="I125" s="25">
        <f t="shared" si="7"/>
        <v>1023184.4945702256</v>
      </c>
    </row>
    <row r="126" spans="1:9" x14ac:dyDescent="0.45">
      <c r="A126" s="15" t="s">
        <v>418</v>
      </c>
      <c r="B126" s="23">
        <f>SUM(B123:B125)</f>
        <v>6353419.6448629228</v>
      </c>
      <c r="C126" s="17" t="s">
        <v>11</v>
      </c>
      <c r="D126" s="17"/>
      <c r="E126" s="17"/>
      <c r="F126" s="41">
        <v>528</v>
      </c>
      <c r="G126" s="42">
        <f>[27]Production!$EO$3</f>
        <v>2.1309285722212714E-2</v>
      </c>
      <c r="H126" s="24">
        <f t="shared" si="6"/>
        <v>2.1477845219653152E-2</v>
      </c>
      <c r="I126" s="25">
        <f t="shared" si="7"/>
        <v>136457.76374786955</v>
      </c>
    </row>
    <row r="127" spans="1:9" x14ac:dyDescent="0.45">
      <c r="A127" s="15" t="s">
        <v>415</v>
      </c>
      <c r="B127" s="23">
        <f>B120*data_3tier!B8</f>
        <v>20189331.775399018</v>
      </c>
      <c r="C127" s="17" t="s">
        <v>11</v>
      </c>
      <c r="D127" s="17"/>
      <c r="E127" s="17"/>
      <c r="F127" s="41">
        <v>540</v>
      </c>
      <c r="G127" s="42">
        <f>[27]Production!$ET$3</f>
        <v>4.5646353077509375E-2</v>
      </c>
      <c r="H127" s="24">
        <f t="shared" si="6"/>
        <v>4.6007422258102018E-2</v>
      </c>
      <c r="I127" s="25">
        <f t="shared" si="7"/>
        <v>292304.46038412908</v>
      </c>
    </row>
    <row r="128" spans="1:9" x14ac:dyDescent="0.45">
      <c r="A128" s="15" t="s">
        <v>416</v>
      </c>
      <c r="B128" s="23">
        <f>B121*data_3tier!B41</f>
        <v>663591.42285917187</v>
      </c>
      <c r="C128" s="17" t="s">
        <v>11</v>
      </c>
      <c r="D128" s="17"/>
      <c r="E128" s="17"/>
      <c r="F128" s="41">
        <v>710</v>
      </c>
      <c r="G128" s="42">
        <f>[27]Production!$GQ$3</f>
        <v>4.3818367080468511E-2</v>
      </c>
      <c r="H128" s="24">
        <f t="shared" si="6"/>
        <v>4.4164976630409705E-2</v>
      </c>
      <c r="I128" s="25">
        <f t="shared" si="7"/>
        <v>280598.63013855694</v>
      </c>
    </row>
    <row r="129" spans="1:9" x14ac:dyDescent="0.45">
      <c r="A129" s="15" t="s">
        <v>417</v>
      </c>
      <c r="B129" s="23">
        <f>B122*data_3tier!B25</f>
        <v>878021.31389911764</v>
      </c>
      <c r="C129" s="17" t="s">
        <v>11</v>
      </c>
      <c r="D129" s="17"/>
      <c r="E129" s="17"/>
      <c r="F129" s="41">
        <v>792</v>
      </c>
      <c r="G129" s="42">
        <f>[27]Production!$HJ$3</f>
        <v>2.4633419754607061E-2</v>
      </c>
      <c r="H129" s="24">
        <f t="shared" si="6"/>
        <v>2.4828273627618285E-2</v>
      </c>
      <c r="I129" s="25">
        <f t="shared" si="7"/>
        <v>157744.44141374202</v>
      </c>
    </row>
    <row r="130" spans="1:9" x14ac:dyDescent="0.45">
      <c r="A130" s="15" t="s">
        <v>419</v>
      </c>
      <c r="B130" s="23">
        <f>SUM(B127:B129)</f>
        <v>21730944.51215731</v>
      </c>
      <c r="C130" s="17" t="s">
        <v>11</v>
      </c>
      <c r="D130" s="17"/>
      <c r="E130" s="17"/>
      <c r="F130" s="41">
        <v>826</v>
      </c>
      <c r="G130" s="42">
        <f>[27]Production!$HR$3</f>
        <v>5.0987683769657323E-2</v>
      </c>
      <c r="H130" s="24">
        <f t="shared" si="6"/>
        <v>5.1391003639872708E-2</v>
      </c>
      <c r="I130" s="25">
        <f t="shared" si="7"/>
        <v>326508.61209478922</v>
      </c>
    </row>
    <row r="131" spans="1:9" x14ac:dyDescent="0.45">
      <c r="A131" s="15"/>
      <c r="B131" s="17"/>
      <c r="C131" s="17"/>
      <c r="D131" s="17"/>
      <c r="E131" s="17"/>
      <c r="F131" s="41">
        <v>842</v>
      </c>
      <c r="G131" s="42">
        <f>[27]Production!$HT$3</f>
        <v>5.6554943775935118E-2</v>
      </c>
      <c r="H131" s="24">
        <f t="shared" si="6"/>
        <v>5.7002301468957503E-2</v>
      </c>
      <c r="I131" s="25">
        <f t="shared" si="7"/>
        <v>362159.54195527325</v>
      </c>
    </row>
    <row r="132" spans="1:9" x14ac:dyDescent="0.45">
      <c r="A132" s="15"/>
      <c r="B132" s="17"/>
      <c r="C132" s="17"/>
      <c r="D132" s="17"/>
      <c r="E132" s="17"/>
      <c r="F132" s="41">
        <v>894</v>
      </c>
      <c r="G132" s="42">
        <f>[27]Production!$IB$3</f>
        <v>0.21029854044730717</v>
      </c>
      <c r="H132" s="24">
        <f t="shared" si="6"/>
        <v>0.21196203197641578</v>
      </c>
      <c r="I132" s="25">
        <f t="shared" si="7"/>
        <v>1346683.7379240231</v>
      </c>
    </row>
    <row r="133" spans="1:9" x14ac:dyDescent="0.45">
      <c r="A133" s="51"/>
      <c r="B133" s="45"/>
      <c r="C133" s="45"/>
      <c r="D133" s="45"/>
      <c r="E133" s="45"/>
      <c r="F133" s="45" t="s">
        <v>86</v>
      </c>
      <c r="G133" s="56">
        <f>SUM(G120:G132)</f>
        <v>0.99215193629916842</v>
      </c>
      <c r="H133" s="45"/>
      <c r="I133" s="28"/>
    </row>
    <row r="135" spans="1:9" x14ac:dyDescent="0.45">
      <c r="A135" s="30" t="s">
        <v>420</v>
      </c>
    </row>
    <row r="136" spans="1:9" ht="32" x14ac:dyDescent="0.45">
      <c r="A136" s="14" t="s">
        <v>1</v>
      </c>
      <c r="B136" s="5" t="s">
        <v>2</v>
      </c>
      <c r="C136" s="5" t="s">
        <v>119</v>
      </c>
      <c r="D136" s="5" t="s">
        <v>4</v>
      </c>
      <c r="E136" s="5"/>
      <c r="F136" s="10" t="s">
        <v>268</v>
      </c>
      <c r="G136" s="10" t="s">
        <v>82</v>
      </c>
      <c r="H136" s="10" t="s">
        <v>83</v>
      </c>
      <c r="I136" s="11" t="s">
        <v>84</v>
      </c>
    </row>
    <row r="137" spans="1:9" x14ac:dyDescent="0.45">
      <c r="A137" s="15" t="s">
        <v>421</v>
      </c>
      <c r="B137" s="112">
        <f>'[9]Weight%'!$B$118*'[9]Weight%'!$B$14*'[9]Weight%'!$B$52</f>
        <v>4.8599999999999998E-7</v>
      </c>
      <c r="C137" s="17" t="s">
        <v>803</v>
      </c>
      <c r="D137" s="66" t="s">
        <v>191</v>
      </c>
      <c r="E137" s="17"/>
      <c r="F137" s="17">
        <v>124</v>
      </c>
      <c r="G137" s="42">
        <f>[28]Production!$AM$3</f>
        <v>0.42274765593151248</v>
      </c>
      <c r="H137" s="24">
        <f>G137/$G$142</f>
        <v>0.42780528052805283</v>
      </c>
      <c r="I137" s="25">
        <f>H137*$B$141</f>
        <v>1233.6410791383489</v>
      </c>
    </row>
    <row r="138" spans="1:9" x14ac:dyDescent="0.45">
      <c r="A138" s="15" t="s">
        <v>422</v>
      </c>
      <c r="B138" s="112">
        <f>'[9]Weight%'!$B$119*'[9]Weight%'!$B$17*'[9]Weight%'!$B$51</f>
        <v>1.7041674227302969E-7</v>
      </c>
      <c r="C138" s="17" t="s">
        <v>803</v>
      </c>
      <c r="D138" s="66"/>
      <c r="E138" s="17"/>
      <c r="F138" s="17">
        <v>276</v>
      </c>
      <c r="G138" s="42">
        <f>[28]Production!$CE$3</f>
        <v>9.2947411333061558E-2</v>
      </c>
      <c r="H138" s="24">
        <f>G138/$G$142</f>
        <v>9.405940594059406E-2</v>
      </c>
      <c r="I138" s="25">
        <f>H138*$B$141</f>
        <v>271.23448991662826</v>
      </c>
    </row>
    <row r="139" spans="1:9" x14ac:dyDescent="0.45">
      <c r="A139" s="15" t="s">
        <v>425</v>
      </c>
      <c r="B139" s="23">
        <f>B137*data_1tier!B52</f>
        <v>1582.7972150064895</v>
      </c>
      <c r="C139" s="17" t="s">
        <v>11</v>
      </c>
      <c r="D139" s="17"/>
      <c r="E139" s="17"/>
      <c r="F139" s="17">
        <v>410</v>
      </c>
      <c r="G139" s="42">
        <f>[28]Production!$DJ$3</f>
        <v>0.30819404810436202</v>
      </c>
      <c r="H139" s="24">
        <f>G139/$G$142</f>
        <v>0.31188118811881188</v>
      </c>
      <c r="I139" s="25">
        <f>H139*$B$141</f>
        <v>899.35646656566223</v>
      </c>
    </row>
    <row r="140" spans="1:9" x14ac:dyDescent="0.45">
      <c r="A140" s="15" t="s">
        <v>426</v>
      </c>
      <c r="B140" s="23">
        <f>B138*data_1tier!B53</f>
        <v>1300.8536777913478</v>
      </c>
      <c r="C140" s="17" t="s">
        <v>11</v>
      </c>
      <c r="D140" s="17"/>
      <c r="E140" s="17"/>
      <c r="F140" s="17">
        <v>528</v>
      </c>
      <c r="G140" s="42">
        <f>[28]Production!$EO$3</f>
        <v>0.15002038320423972</v>
      </c>
      <c r="H140" s="24">
        <f>G140/$G$142</f>
        <v>0.15181518151815182</v>
      </c>
      <c r="I140" s="25">
        <f>H140*$B$141</f>
        <v>437.78198372508427</v>
      </c>
    </row>
    <row r="141" spans="1:9" x14ac:dyDescent="0.45">
      <c r="A141" s="15" t="s">
        <v>427</v>
      </c>
      <c r="B141" s="23">
        <f>SUM(B139:B140)</f>
        <v>2883.6508927978375</v>
      </c>
      <c r="C141" s="17" t="s">
        <v>11</v>
      </c>
      <c r="D141" s="17"/>
      <c r="E141" s="17"/>
      <c r="F141" s="17">
        <v>826</v>
      </c>
      <c r="G141" s="42">
        <f>[28]Production!$HR$3</f>
        <v>1.4268242967794538E-2</v>
      </c>
      <c r="H141" s="24">
        <f>G141/$G$142</f>
        <v>1.4438943894389438E-2</v>
      </c>
      <c r="I141" s="25">
        <f>H141*$B$141</f>
        <v>41.636873452113988</v>
      </c>
    </row>
    <row r="142" spans="1:9" x14ac:dyDescent="0.45">
      <c r="A142" s="15" t="s">
        <v>423</v>
      </c>
      <c r="B142" s="23">
        <f>B137*data_1tier!B56</f>
        <v>7414.1553755567147</v>
      </c>
      <c r="C142" s="17" t="s">
        <v>11</v>
      </c>
      <c r="D142" s="17"/>
      <c r="E142" s="17"/>
      <c r="F142" s="17"/>
      <c r="G142" s="42">
        <f>SUM(G137:G141)</f>
        <v>0.98817774154097027</v>
      </c>
      <c r="H142" s="17"/>
      <c r="I142" s="21"/>
    </row>
    <row r="143" spans="1:9" x14ac:dyDescent="0.45">
      <c r="A143" s="15" t="s">
        <v>424</v>
      </c>
      <c r="B143" s="23">
        <f>B138*data_1tier!B57</f>
        <v>6881.8686590652342</v>
      </c>
      <c r="C143" s="17" t="s">
        <v>11</v>
      </c>
      <c r="D143" s="17"/>
      <c r="E143" s="17"/>
      <c r="F143" s="17"/>
      <c r="G143" s="17"/>
      <c r="H143" s="17"/>
      <c r="I143" s="21"/>
    </row>
    <row r="144" spans="1:9" x14ac:dyDescent="0.45">
      <c r="A144" s="51" t="s">
        <v>428</v>
      </c>
      <c r="B144" s="26">
        <f>SUM(B142:B143)</f>
        <v>14296.024034621949</v>
      </c>
      <c r="C144" s="45" t="s">
        <v>11</v>
      </c>
      <c r="D144" s="45"/>
      <c r="E144" s="45"/>
      <c r="F144" s="45"/>
      <c r="G144" s="45"/>
      <c r="H144" s="45"/>
      <c r="I144" s="28"/>
    </row>
    <row r="146" spans="1:9" x14ac:dyDescent="0.45">
      <c r="A146" s="30" t="s">
        <v>429</v>
      </c>
    </row>
    <row r="147" spans="1:9" ht="32" x14ac:dyDescent="0.45">
      <c r="A147" s="14" t="s">
        <v>1</v>
      </c>
      <c r="B147" s="5" t="s">
        <v>2</v>
      </c>
      <c r="C147" s="5" t="s">
        <v>119</v>
      </c>
      <c r="D147" s="5" t="s">
        <v>4</v>
      </c>
      <c r="E147" s="5"/>
      <c r="F147" s="10" t="s">
        <v>268</v>
      </c>
      <c r="G147" s="10" t="s">
        <v>82</v>
      </c>
      <c r="H147" s="10" t="s">
        <v>83</v>
      </c>
      <c r="I147" s="11" t="s">
        <v>84</v>
      </c>
    </row>
    <row r="148" spans="1:9" x14ac:dyDescent="0.45">
      <c r="A148" s="15" t="s">
        <v>430</v>
      </c>
      <c r="B148" s="113">
        <f>'[9]Weight%'!$B$120*'[9]Weight%'!$B$75</f>
        <v>0.1159234</v>
      </c>
      <c r="C148" s="17" t="s">
        <v>803</v>
      </c>
      <c r="D148" s="66" t="s">
        <v>191</v>
      </c>
      <c r="E148" s="17"/>
      <c r="F148" s="41">
        <v>36</v>
      </c>
      <c r="G148" s="42">
        <f>[29]Production!$L$3</f>
        <v>0.68069069929711234</v>
      </c>
      <c r="H148" s="24">
        <f>G148/$G$152</f>
        <v>0.71402827972605087</v>
      </c>
      <c r="I148" s="25">
        <f>H148*$B$158</f>
        <v>9583223.5617655888</v>
      </c>
    </row>
    <row r="149" spans="1:9" x14ac:dyDescent="0.45">
      <c r="A149" s="15" t="s">
        <v>431</v>
      </c>
      <c r="B149" s="113">
        <f>'[9]Weight%'!$B$121*('[9]Flow amounts'!$B$6/('[9]Flow amounts'!$B$6+'[9]Flow amounts'!$B$7))</f>
        <v>6.541217645725727E-4</v>
      </c>
      <c r="C149" s="17" t="s">
        <v>803</v>
      </c>
      <c r="D149" s="66"/>
      <c r="E149" s="17"/>
      <c r="F149" s="41">
        <v>156</v>
      </c>
      <c r="G149" s="42">
        <f>[29]Production!$AT$3</f>
        <v>0.16179190588742143</v>
      </c>
      <c r="H149" s="24">
        <f>G149/$G$152</f>
        <v>0.16971584355961644</v>
      </c>
      <c r="I149" s="25">
        <f>H149*$B$158</f>
        <v>2277815.7630247427</v>
      </c>
    </row>
    <row r="150" spans="1:9" x14ac:dyDescent="0.45">
      <c r="A150" s="15" t="s">
        <v>432</v>
      </c>
      <c r="B150" s="114">
        <f>'[9]Weight%'!$B$122*'[9]Weight%'!$B$13*'[9]Weight%'!$B$52+'[9]Weight%'!$B$123*'[9]Weight%'!$B$14*'[9]Weight%'!$B$52</f>
        <v>3.1034045454545455E-6</v>
      </c>
      <c r="C150" s="17" t="s">
        <v>803</v>
      </c>
      <c r="D150" s="66"/>
      <c r="E150" s="17"/>
      <c r="F150" s="41">
        <v>704</v>
      </c>
      <c r="G150" s="42">
        <f>[29]Production!$GN$3</f>
        <v>8.0493148441535503E-2</v>
      </c>
      <c r="H150" s="24">
        <f>G150/$G$152</f>
        <v>8.4435389481289869E-2</v>
      </c>
      <c r="I150" s="25">
        <f>H150*$B$158</f>
        <v>1133236.9275827573</v>
      </c>
    </row>
    <row r="151" spans="1:9" x14ac:dyDescent="0.45">
      <c r="A151" s="15" t="s">
        <v>433</v>
      </c>
      <c r="B151" s="114">
        <f>'[9]Weight%'!$B$124*'[9]Weight%'!$B$16*'[9]Weight%'!$B$51+'[9]Weight%'!$B$125*'[9]Weight%'!$B$17*'[9]Weight%'!$B$51</f>
        <v>4.0995080545978732E-6</v>
      </c>
      <c r="C151" s="17" t="s">
        <v>803</v>
      </c>
      <c r="D151" s="66"/>
      <c r="E151" s="17"/>
      <c r="F151" s="41">
        <v>764</v>
      </c>
      <c r="G151" s="42">
        <f>[29]Production!$HC$3</f>
        <v>3.0334806507866848E-2</v>
      </c>
      <c r="H151" s="24">
        <f>G151/$G$152</f>
        <v>3.1820487233042857E-2</v>
      </c>
      <c r="I151" s="25">
        <f>H151*$B$158</f>
        <v>427073.90121236368</v>
      </c>
    </row>
    <row r="152" spans="1:9" x14ac:dyDescent="0.45">
      <c r="A152" s="15" t="s">
        <v>434</v>
      </c>
      <c r="B152" s="113">
        <f>'[9]Weight%'!$B$126</f>
        <v>0.30729166666666669</v>
      </c>
      <c r="C152" s="17" t="s">
        <v>803</v>
      </c>
      <c r="D152" s="66"/>
      <c r="E152" s="17"/>
      <c r="F152" s="17" t="s">
        <v>86</v>
      </c>
      <c r="G152" s="42">
        <f>SUM(G148:G151)</f>
        <v>0.95331056013393611</v>
      </c>
      <c r="H152" s="17"/>
      <c r="I152" s="21"/>
    </row>
    <row r="153" spans="1:9" x14ac:dyDescent="0.45">
      <c r="A153" s="15" t="s">
        <v>435</v>
      </c>
      <c r="B153" s="23">
        <f>B148*data_3tier!B24</f>
        <v>1377916.0791911595</v>
      </c>
      <c r="C153" s="17" t="s">
        <v>11</v>
      </c>
      <c r="D153" s="17"/>
      <c r="E153" s="17"/>
      <c r="F153" s="17"/>
      <c r="G153" s="17"/>
      <c r="H153" s="17"/>
      <c r="I153" s="21"/>
    </row>
    <row r="154" spans="1:9" x14ac:dyDescent="0.45">
      <c r="A154" s="15" t="s">
        <v>436</v>
      </c>
      <c r="B154" s="23">
        <f>B149*data_2tier!B123</f>
        <v>388526.95929025812</v>
      </c>
      <c r="C154" s="17" t="s">
        <v>11</v>
      </c>
      <c r="D154" s="17"/>
      <c r="E154" s="17"/>
      <c r="F154" s="17"/>
      <c r="G154" s="17"/>
      <c r="H154" s="17"/>
      <c r="I154" s="21"/>
    </row>
    <row r="155" spans="1:9" x14ac:dyDescent="0.45">
      <c r="A155" s="15" t="s">
        <v>437</v>
      </c>
      <c r="B155" s="23">
        <f>B150*data_1tier!B52</f>
        <v>10107.119488855835</v>
      </c>
      <c r="C155" s="17" t="s">
        <v>11</v>
      </c>
      <c r="D155" s="17"/>
      <c r="E155" s="17"/>
      <c r="F155" s="17"/>
      <c r="G155" s="17"/>
      <c r="H155" s="17"/>
      <c r="I155" s="21"/>
    </row>
    <row r="156" spans="1:9" x14ac:dyDescent="0.45">
      <c r="A156" s="15" t="s">
        <v>438</v>
      </c>
      <c r="B156" s="23">
        <f>B151*data_1tier!B53</f>
        <v>31293.052893916753</v>
      </c>
      <c r="C156" s="17" t="s">
        <v>11</v>
      </c>
      <c r="D156" s="17"/>
      <c r="E156" s="17"/>
      <c r="F156" s="17"/>
      <c r="G156" s="17"/>
      <c r="H156" s="17"/>
      <c r="I156" s="21"/>
    </row>
    <row r="157" spans="1:9" x14ac:dyDescent="0.45">
      <c r="A157" s="15" t="s">
        <v>439</v>
      </c>
      <c r="B157" s="23">
        <f>B152*data_3tier!B95</f>
        <v>11613506.942721263</v>
      </c>
      <c r="C157" s="17" t="s">
        <v>11</v>
      </c>
      <c r="D157" s="17"/>
      <c r="E157" s="17"/>
      <c r="F157" s="17"/>
      <c r="G157" s="17"/>
      <c r="H157" s="17"/>
      <c r="I157" s="21"/>
    </row>
    <row r="158" spans="1:9" x14ac:dyDescent="0.45">
      <c r="A158" s="15" t="s">
        <v>445</v>
      </c>
      <c r="B158" s="23">
        <f>SUM(B153:B157)</f>
        <v>13421350.153585453</v>
      </c>
      <c r="C158" s="17" t="s">
        <v>11</v>
      </c>
      <c r="D158" s="17"/>
      <c r="E158" s="17"/>
      <c r="F158" s="17"/>
      <c r="G158" s="17"/>
      <c r="H158" s="17"/>
      <c r="I158" s="21"/>
    </row>
    <row r="159" spans="1:9" x14ac:dyDescent="0.45">
      <c r="A159" s="15" t="s">
        <v>440</v>
      </c>
      <c r="B159" s="23">
        <f>B148*data_3tier!B25</f>
        <v>3444790.1979778986</v>
      </c>
      <c r="C159" s="17" t="s">
        <v>11</v>
      </c>
      <c r="D159" s="17"/>
      <c r="E159" s="17"/>
      <c r="F159" s="17"/>
      <c r="G159" s="17"/>
      <c r="H159" s="17"/>
      <c r="I159" s="21"/>
    </row>
    <row r="160" spans="1:9" x14ac:dyDescent="0.45">
      <c r="A160" s="15" t="s">
        <v>441</v>
      </c>
      <c r="B160" s="23">
        <f>B149*data_2tier!B126</f>
        <v>2725685.0426863707</v>
      </c>
      <c r="C160" s="17" t="s">
        <v>11</v>
      </c>
      <c r="D160" s="17"/>
      <c r="E160" s="17"/>
      <c r="F160" s="17"/>
      <c r="G160" s="17"/>
      <c r="H160" s="17"/>
      <c r="I160" s="21"/>
    </row>
    <row r="161" spans="1:9" x14ac:dyDescent="0.45">
      <c r="A161" s="15" t="s">
        <v>442</v>
      </c>
      <c r="B161" s="23">
        <f>B150*data_1tier!B56</f>
        <v>47343.875500429967</v>
      </c>
      <c r="C161" s="17" t="s">
        <v>11</v>
      </c>
      <c r="D161" s="17"/>
      <c r="E161" s="17"/>
      <c r="F161" s="17"/>
      <c r="G161" s="17"/>
      <c r="H161" s="17"/>
      <c r="I161" s="21"/>
    </row>
    <row r="162" spans="1:9" x14ac:dyDescent="0.45">
      <c r="A162" s="15" t="s">
        <v>443</v>
      </c>
      <c r="B162" s="23">
        <f>B151*data_1tier!B57</f>
        <v>165548.73436861546</v>
      </c>
      <c r="C162" s="17" t="s">
        <v>11</v>
      </c>
      <c r="D162" s="17"/>
      <c r="E162" s="17"/>
      <c r="F162" s="17"/>
      <c r="G162" s="17"/>
      <c r="H162" s="17"/>
      <c r="I162" s="21"/>
    </row>
    <row r="163" spans="1:9" x14ac:dyDescent="0.45">
      <c r="A163" s="15" t="s">
        <v>444</v>
      </c>
      <c r="B163" s="23">
        <f>B152*data_3tier!B101</f>
        <v>62946545.808525354</v>
      </c>
      <c r="C163" s="17" t="s">
        <v>11</v>
      </c>
      <c r="D163" s="17"/>
      <c r="E163" s="17"/>
      <c r="F163" s="17"/>
      <c r="G163" s="17"/>
      <c r="H163" s="17"/>
      <c r="I163" s="21"/>
    </row>
    <row r="164" spans="1:9" x14ac:dyDescent="0.45">
      <c r="A164" s="51" t="s">
        <v>446</v>
      </c>
      <c r="B164" s="26">
        <f>SUM(B159:B163)</f>
        <v>69329913.659058675</v>
      </c>
      <c r="C164" s="45" t="s">
        <v>11</v>
      </c>
      <c r="D164" s="45"/>
      <c r="E164" s="45"/>
      <c r="F164" s="45"/>
      <c r="G164" s="45"/>
      <c r="H164" s="45"/>
      <c r="I164" s="28"/>
    </row>
    <row r="166" spans="1:9" x14ac:dyDescent="0.45">
      <c r="A166" s="30" t="s">
        <v>447</v>
      </c>
    </row>
    <row r="167" spans="1:9" ht="32" x14ac:dyDescent="0.45">
      <c r="A167" s="14" t="s">
        <v>1</v>
      </c>
      <c r="B167" s="5" t="s">
        <v>2</v>
      </c>
      <c r="C167" s="5" t="s">
        <v>119</v>
      </c>
      <c r="D167" s="5" t="s">
        <v>4</v>
      </c>
      <c r="E167" s="5"/>
      <c r="F167" s="10" t="s">
        <v>268</v>
      </c>
      <c r="G167" s="10" t="s">
        <v>82</v>
      </c>
      <c r="H167" s="10" t="s">
        <v>83</v>
      </c>
      <c r="I167" s="11" t="s">
        <v>84</v>
      </c>
    </row>
    <row r="168" spans="1:9" x14ac:dyDescent="0.45">
      <c r="A168" s="15" t="s">
        <v>448</v>
      </c>
      <c r="B168" s="114">
        <f>'[9]Weight%'!$B$127*'[9]Weight%'!$B$27</f>
        <v>5.9609549226647145E-4</v>
      </c>
      <c r="C168" s="17" t="s">
        <v>803</v>
      </c>
      <c r="D168" s="66" t="s">
        <v>191</v>
      </c>
      <c r="E168" s="17"/>
      <c r="F168" s="41">
        <v>44</v>
      </c>
      <c r="G168" s="42">
        <f>[30]Production!$N$3</f>
        <v>1.7550246849402242E-2</v>
      </c>
      <c r="H168" s="24">
        <f>G168/$G$178</f>
        <v>1.7942069115358714E-2</v>
      </c>
      <c r="I168" s="25">
        <f>H168*$B$176</f>
        <v>5675.6835858664508</v>
      </c>
    </row>
    <row r="169" spans="1:9" x14ac:dyDescent="0.45">
      <c r="A169" s="15" t="s">
        <v>449</v>
      </c>
      <c r="B169" s="113">
        <f>'[9]Weight%'!$B$128</f>
        <v>1.4781966001478197E-5</v>
      </c>
      <c r="C169" s="17" t="s">
        <v>803</v>
      </c>
      <c r="D169" s="66"/>
      <c r="E169" s="17"/>
      <c r="F169" s="41">
        <v>56</v>
      </c>
      <c r="G169" s="42">
        <f>[30]Production!$S$3</f>
        <v>0.32230616571060444</v>
      </c>
      <c r="H169" s="24">
        <f t="shared" ref="H169:H177" si="8">G169/$G$178</f>
        <v>0.32950188969466754</v>
      </c>
      <c r="I169" s="25">
        <f t="shared" ref="I169:I177" si="9">H169*$B$176</f>
        <v>104232.59741269883</v>
      </c>
    </row>
    <row r="170" spans="1:9" x14ac:dyDescent="0.45">
      <c r="A170" s="15" t="s">
        <v>450</v>
      </c>
      <c r="B170" s="113">
        <f>'[9]Weight%'!$B$129*'[9]Weight%'!$B$52*'[9]Weight%'!$B$13+'[9]Weight%'!$B$130*'[9]Weight%'!$B$52*'[9]Weight%'!$B$14</f>
        <v>2.3121818181818179E-5</v>
      </c>
      <c r="C170" s="17" t="s">
        <v>803</v>
      </c>
      <c r="D170" s="66"/>
      <c r="E170" s="17"/>
      <c r="F170" s="41">
        <v>156</v>
      </c>
      <c r="G170" s="42">
        <f>[30]Production!$AT$3</f>
        <v>1.2385035558751485E-2</v>
      </c>
      <c r="H170" s="24">
        <f t="shared" si="8"/>
        <v>1.2661540655131186E-2</v>
      </c>
      <c r="I170" s="25">
        <f t="shared" si="9"/>
        <v>4005.2737510966872</v>
      </c>
    </row>
    <row r="171" spans="1:9" x14ac:dyDescent="0.45">
      <c r="A171" s="15" t="s">
        <v>451</v>
      </c>
      <c r="B171" s="113">
        <f>'[9]Weight%'!$B$131*'[9]Weight%'!$B$51</f>
        <v>1.6577955200709691E-5</v>
      </c>
      <c r="C171" s="17" t="s">
        <v>803</v>
      </c>
      <c r="D171" s="66"/>
      <c r="E171" s="17"/>
      <c r="F171" s="41">
        <v>251</v>
      </c>
      <c r="G171" s="42">
        <f>[30]Production!$BW$3</f>
        <v>0.1093720660784786</v>
      </c>
      <c r="H171" s="24">
        <f t="shared" si="8"/>
        <v>0.11181387850031757</v>
      </c>
      <c r="I171" s="25">
        <f t="shared" si="9"/>
        <v>35370.513333552619</v>
      </c>
    </row>
    <row r="172" spans="1:9" x14ac:dyDescent="0.45">
      <c r="A172" s="15" t="s">
        <v>456</v>
      </c>
      <c r="B172" s="23">
        <f>B168*data_1tier!B11</f>
        <v>107565.43157948478</v>
      </c>
      <c r="C172" s="17" t="s">
        <v>11</v>
      </c>
      <c r="D172" s="17"/>
      <c r="E172" s="17"/>
      <c r="F172" s="41">
        <v>381</v>
      </c>
      <c r="G172" s="42">
        <f>[30]Production!$DB$3</f>
        <v>2.3702010477741287E-2</v>
      </c>
      <c r="H172" s="24">
        <f t="shared" si="8"/>
        <v>2.423117542526617E-2</v>
      </c>
      <c r="I172" s="25">
        <f t="shared" si="9"/>
        <v>7665.1407228003045</v>
      </c>
    </row>
    <row r="173" spans="1:9" x14ac:dyDescent="0.45">
      <c r="A173" s="15" t="s">
        <v>457</v>
      </c>
      <c r="B173" s="23">
        <f>B169*data_1tier!B19</f>
        <v>6920</v>
      </c>
      <c r="C173" s="17" t="s">
        <v>11</v>
      </c>
      <c r="D173" s="17"/>
      <c r="E173" s="17"/>
      <c r="F173" s="41">
        <v>392</v>
      </c>
      <c r="G173" s="42">
        <f>[30]Production!$DE$3</f>
        <v>9.8956512603900426E-2</v>
      </c>
      <c r="H173" s="24">
        <f t="shared" si="8"/>
        <v>0.10116579007630995</v>
      </c>
      <c r="I173" s="25">
        <f t="shared" si="9"/>
        <v>32002.162654462823</v>
      </c>
    </row>
    <row r="174" spans="1:9" x14ac:dyDescent="0.45">
      <c r="A174" s="15" t="s">
        <v>458</v>
      </c>
      <c r="B174" s="23">
        <f>B170*data_1tier!B52</f>
        <v>75302.776592732989</v>
      </c>
      <c r="C174" s="17" t="s">
        <v>11</v>
      </c>
      <c r="D174" s="17"/>
      <c r="E174" s="17"/>
      <c r="F174" s="41">
        <v>410</v>
      </c>
      <c r="G174" s="42">
        <f>[30]Production!$DJ$3</f>
        <v>3.0296937763279359E-2</v>
      </c>
      <c r="H174" s="24">
        <f t="shared" si="8"/>
        <v>3.0973339349411735E-2</v>
      </c>
      <c r="I174" s="25">
        <f t="shared" si="9"/>
        <v>9797.9153137050544</v>
      </c>
    </row>
    <row r="175" spans="1:9" x14ac:dyDescent="0.45">
      <c r="A175" s="15" t="s">
        <v>459</v>
      </c>
      <c r="B175" s="23">
        <f>B171*data_1tier!B53</f>
        <v>126545.62988038282</v>
      </c>
      <c r="C175" s="17" t="s">
        <v>11</v>
      </c>
      <c r="D175" s="17"/>
      <c r="E175" s="17"/>
      <c r="F175" s="41">
        <v>643</v>
      </c>
      <c r="G175" s="42">
        <f>[30]Production!$FU$3</f>
        <v>0.29318657008838517</v>
      </c>
      <c r="H175" s="24">
        <f t="shared" si="8"/>
        <v>0.29973217752204645</v>
      </c>
      <c r="I175" s="25">
        <f t="shared" si="9"/>
        <v>94815.430103412378</v>
      </c>
    </row>
    <row r="176" spans="1:9" x14ac:dyDescent="0.45">
      <c r="A176" s="15" t="s">
        <v>460</v>
      </c>
      <c r="B176" s="23">
        <f>SUM(B172:B175)</f>
        <v>316333.83805260062</v>
      </c>
      <c r="C176" s="17" t="s">
        <v>11</v>
      </c>
      <c r="D176" s="17"/>
      <c r="E176" s="17"/>
      <c r="F176" s="41">
        <v>702</v>
      </c>
      <c r="G176" s="42">
        <f>[30]Production!$GL$3</f>
        <v>1.1447991967507769E-2</v>
      </c>
      <c r="H176" s="24">
        <f t="shared" si="8"/>
        <v>1.1703576871347066E-2</v>
      </c>
      <c r="I176" s="25">
        <f t="shared" si="9"/>
        <v>3702.237390656865</v>
      </c>
    </row>
    <row r="177" spans="1:9" x14ac:dyDescent="0.45">
      <c r="A177" s="15" t="s">
        <v>452</v>
      </c>
      <c r="B177" s="23">
        <f>B168*data_1tier!B13</f>
        <v>268913.57894871192</v>
      </c>
      <c r="C177" s="17" t="s">
        <v>11</v>
      </c>
      <c r="D177" s="17"/>
      <c r="E177" s="17"/>
      <c r="F177" s="41">
        <v>842</v>
      </c>
      <c r="G177" s="42">
        <f>[30]Production!$HT$3</f>
        <v>5.8958275598286022E-2</v>
      </c>
      <c r="H177" s="24">
        <f t="shared" si="8"/>
        <v>6.0274562790143586E-2</v>
      </c>
      <c r="I177" s="25">
        <f t="shared" si="9"/>
        <v>19066.883784348589</v>
      </c>
    </row>
    <row r="178" spans="1:9" x14ac:dyDescent="0.45">
      <c r="A178" s="15" t="s">
        <v>453</v>
      </c>
      <c r="B178" s="23">
        <f>B169*data_1tier!B21</f>
        <v>26120</v>
      </c>
      <c r="C178" s="17" t="s">
        <v>11</v>
      </c>
      <c r="D178" s="17"/>
      <c r="E178" s="17"/>
      <c r="F178" s="17" t="s">
        <v>86</v>
      </c>
      <c r="G178" s="42">
        <f>SUM(G168:G177)</f>
        <v>0.97816181269633684</v>
      </c>
      <c r="H178" s="17"/>
      <c r="I178" s="21"/>
    </row>
    <row r="179" spans="1:9" x14ac:dyDescent="0.45">
      <c r="A179" s="15" t="s">
        <v>454</v>
      </c>
      <c r="B179" s="23">
        <f>B170*data_1tier!B56</f>
        <v>352734.05877648608</v>
      </c>
      <c r="C179" s="17" t="s">
        <v>11</v>
      </c>
      <c r="D179" s="17"/>
      <c r="E179" s="17"/>
      <c r="F179" s="17"/>
      <c r="G179" s="17"/>
      <c r="H179" s="17"/>
      <c r="I179" s="21"/>
    </row>
    <row r="180" spans="1:9" x14ac:dyDescent="0.45">
      <c r="A180" s="15" t="s">
        <v>455</v>
      </c>
      <c r="B180" s="23">
        <f>B171*data_1tier!B57</f>
        <v>669460.6926845772</v>
      </c>
      <c r="C180" s="17" t="s">
        <v>11</v>
      </c>
      <c r="D180" s="17"/>
      <c r="E180" s="17"/>
      <c r="F180" s="17"/>
      <c r="G180" s="17"/>
      <c r="H180" s="17"/>
      <c r="I180" s="21"/>
    </row>
    <row r="181" spans="1:9" x14ac:dyDescent="0.45">
      <c r="A181" s="51" t="s">
        <v>461</v>
      </c>
      <c r="B181" s="26">
        <f>SUM(B177:B180)</f>
        <v>1317228.330409775</v>
      </c>
      <c r="C181" s="45" t="s">
        <v>11</v>
      </c>
      <c r="D181" s="45"/>
      <c r="E181" s="45"/>
      <c r="F181" s="45"/>
      <c r="G181" s="45"/>
      <c r="H181" s="45"/>
      <c r="I181" s="28"/>
    </row>
    <row r="183" spans="1:9" x14ac:dyDescent="0.45">
      <c r="A183" s="30" t="s">
        <v>462</v>
      </c>
    </row>
    <row r="184" spans="1:9" ht="32" x14ac:dyDescent="0.45">
      <c r="A184" s="14" t="s">
        <v>1</v>
      </c>
      <c r="B184" s="5" t="s">
        <v>2</v>
      </c>
      <c r="C184" s="5" t="s">
        <v>119</v>
      </c>
      <c r="D184" s="5" t="s">
        <v>4</v>
      </c>
      <c r="E184" s="5"/>
      <c r="F184" s="10" t="s">
        <v>268</v>
      </c>
      <c r="G184" s="10" t="s">
        <v>82</v>
      </c>
      <c r="H184" s="10" t="s">
        <v>83</v>
      </c>
      <c r="I184" s="11" t="s">
        <v>84</v>
      </c>
    </row>
    <row r="185" spans="1:9" ht="32" x14ac:dyDescent="0.45">
      <c r="A185" s="16" t="s">
        <v>463</v>
      </c>
      <c r="B185" s="76">
        <f>'[9]Weight%'!$B$132</f>
        <v>7.0000000000000007E-2</v>
      </c>
      <c r="C185" s="17" t="s">
        <v>803</v>
      </c>
      <c r="D185" s="48" t="s">
        <v>191</v>
      </c>
      <c r="E185" s="17"/>
      <c r="F185" s="41">
        <v>32</v>
      </c>
      <c r="G185" s="42">
        <f>[31]Production!$K$5</f>
        <v>0.10930144184740619</v>
      </c>
      <c r="H185" s="24">
        <f>G185/$G$193</f>
        <v>0.11286425966592221</v>
      </c>
      <c r="I185" s="25">
        <f>H185*$B$186</f>
        <v>647476.81247406802</v>
      </c>
    </row>
    <row r="186" spans="1:9" x14ac:dyDescent="0.45">
      <c r="A186" s="16" t="s">
        <v>464</v>
      </c>
      <c r="B186" s="23">
        <f>B185*data_3tier!B7</f>
        <v>5736774.5501596071</v>
      </c>
      <c r="C186" s="17" t="s">
        <v>11</v>
      </c>
      <c r="D186" s="17"/>
      <c r="E186" s="17"/>
      <c r="F186" s="41">
        <v>56</v>
      </c>
      <c r="G186" s="42">
        <f>[31]Production!$S$5</f>
        <v>1.4776903564388532E-2</v>
      </c>
      <c r="H186" s="24">
        <f t="shared" ref="H186:H192" si="10">G186/$G$193</f>
        <v>1.5258575301118195E-2</v>
      </c>
      <c r="I186" s="25">
        <f t="shared" ref="I186:I192" si="11">H186*$B$186</f>
        <v>87535.006459148819</v>
      </c>
    </row>
    <row r="187" spans="1:9" x14ac:dyDescent="0.45">
      <c r="A187" s="16" t="s">
        <v>465</v>
      </c>
      <c r="B187" s="23">
        <f>B185*data_3tier!B8</f>
        <v>20189331.775399018</v>
      </c>
      <c r="C187" s="17" t="s">
        <v>11</v>
      </c>
      <c r="D187" s="17"/>
      <c r="E187" s="17"/>
      <c r="F187" s="41">
        <v>152</v>
      </c>
      <c r="G187" s="42">
        <f>[31]Production!$AS$5</f>
        <v>0.4547250977180029</v>
      </c>
      <c r="H187" s="24">
        <f t="shared" si="10"/>
        <v>0.46954743357463269</v>
      </c>
      <c r="I187" s="25">
        <f t="shared" si="11"/>
        <v>2693687.7670237115</v>
      </c>
    </row>
    <row r="188" spans="1:9" x14ac:dyDescent="0.45">
      <c r="A188" s="15"/>
      <c r="B188" s="17"/>
      <c r="C188" s="17"/>
      <c r="D188" s="17"/>
      <c r="E188" s="17"/>
      <c r="F188" s="41">
        <v>156</v>
      </c>
      <c r="G188" s="42">
        <f>[31]Production!$AT$5</f>
        <v>0.26004764648756634</v>
      </c>
      <c r="H188" s="24">
        <f t="shared" si="10"/>
        <v>0.26852422623719607</v>
      </c>
      <c r="I188" s="25">
        <f t="shared" si="11"/>
        <v>1540462.9471788472</v>
      </c>
    </row>
    <row r="189" spans="1:9" x14ac:dyDescent="0.45">
      <c r="A189" s="15"/>
      <c r="B189" s="17"/>
      <c r="C189" s="17"/>
      <c r="D189" s="17"/>
      <c r="E189" s="17"/>
      <c r="F189" s="41">
        <v>276</v>
      </c>
      <c r="G189" s="42">
        <f>[31]Production!$CE$5</f>
        <v>1.13471666246977E-2</v>
      </c>
      <c r="H189" s="24">
        <f t="shared" si="10"/>
        <v>1.1717041776908263E-2</v>
      </c>
      <c r="I189" s="25">
        <f t="shared" si="11"/>
        <v>67218.027068924217</v>
      </c>
    </row>
    <row r="190" spans="1:9" x14ac:dyDescent="0.45">
      <c r="A190" s="15"/>
      <c r="B190" s="17"/>
      <c r="C190" s="17"/>
      <c r="D190" s="17"/>
      <c r="E190" s="17"/>
      <c r="F190" s="41">
        <v>528</v>
      </c>
      <c r="G190" s="42">
        <f>[31]Production!$EO$5</f>
        <v>5.202298662266315E-2</v>
      </c>
      <c r="H190" s="24">
        <f t="shared" si="10"/>
        <v>5.3718741231009552E-2</v>
      </c>
      <c r="I190" s="25">
        <f t="shared" si="11"/>
        <v>308172.30756066518</v>
      </c>
    </row>
    <row r="191" spans="1:9" x14ac:dyDescent="0.45">
      <c r="A191" s="15"/>
      <c r="B191" s="17"/>
      <c r="C191" s="17"/>
      <c r="D191" s="17"/>
      <c r="E191" s="17"/>
      <c r="F191" s="41">
        <v>643</v>
      </c>
      <c r="G191" s="42">
        <f>[31]Production!$FU$5</f>
        <v>3.6686964696762671E-2</v>
      </c>
      <c r="H191" s="24">
        <f t="shared" si="10"/>
        <v>3.7882822402934335E-2</v>
      </c>
      <c r="I191" s="25">
        <f t="shared" si="11"/>
        <v>217325.2114493699</v>
      </c>
    </row>
    <row r="192" spans="1:9" x14ac:dyDescent="0.45">
      <c r="A192" s="15"/>
      <c r="B192" s="17"/>
      <c r="C192" s="17"/>
      <c r="D192" s="17"/>
      <c r="E192" s="17"/>
      <c r="F192" s="41">
        <v>842</v>
      </c>
      <c r="G192" s="42">
        <f>[31]Production!$HT$5</f>
        <v>2.9524511272074571E-2</v>
      </c>
      <c r="H192" s="24">
        <f t="shared" si="10"/>
        <v>3.0486899810278661E-2</v>
      </c>
      <c r="I192" s="25">
        <f t="shared" si="11"/>
        <v>174896.47094487239</v>
      </c>
    </row>
    <row r="193" spans="1:9" x14ac:dyDescent="0.45">
      <c r="A193" s="51"/>
      <c r="B193" s="45"/>
      <c r="C193" s="45"/>
      <c r="D193" s="45"/>
      <c r="E193" s="45"/>
      <c r="F193" s="45" t="s">
        <v>86</v>
      </c>
      <c r="G193" s="56">
        <f>SUM(G185:G192)</f>
        <v>0.96843271883356208</v>
      </c>
      <c r="H193" s="45"/>
      <c r="I193" s="28"/>
    </row>
    <row r="195" spans="1:9" x14ac:dyDescent="0.45">
      <c r="A195" s="30" t="s">
        <v>483</v>
      </c>
    </row>
    <row r="196" spans="1:9" ht="32" x14ac:dyDescent="0.45">
      <c r="A196" s="14" t="s">
        <v>1</v>
      </c>
      <c r="B196" s="5" t="s">
        <v>2</v>
      </c>
      <c r="C196" s="5" t="s">
        <v>119</v>
      </c>
      <c r="D196" s="5" t="s">
        <v>4</v>
      </c>
      <c r="E196" s="5"/>
      <c r="F196" s="10" t="s">
        <v>268</v>
      </c>
      <c r="G196" s="10" t="s">
        <v>82</v>
      </c>
      <c r="H196" s="10" t="s">
        <v>83</v>
      </c>
      <c r="I196" s="11" t="s">
        <v>84</v>
      </c>
    </row>
    <row r="197" spans="1:9" x14ac:dyDescent="0.45">
      <c r="A197" s="16" t="s">
        <v>466</v>
      </c>
      <c r="B197" s="115">
        <f>'[9]Weight%'!$B$133*'[9]Weight%'!$B$75</f>
        <v>6.7000000000000002E-6</v>
      </c>
      <c r="C197" s="17" t="s">
        <v>803</v>
      </c>
      <c r="D197" s="66" t="s">
        <v>191</v>
      </c>
      <c r="E197" s="17"/>
      <c r="F197" s="41">
        <v>40</v>
      </c>
      <c r="G197" s="42">
        <f>[32]Production!$M$3</f>
        <v>4.7803506181348737E-2</v>
      </c>
      <c r="H197" s="24">
        <f t="shared" ref="H197:H205" si="12">G197/$G$206</f>
        <v>5.030987265264901E-2</v>
      </c>
      <c r="I197" s="25">
        <f t="shared" ref="I197:I205" si="13">H197*$B$209</f>
        <v>982163.28871238686</v>
      </c>
    </row>
    <row r="198" spans="1:9" x14ac:dyDescent="0.45">
      <c r="A198" s="15" t="s">
        <v>467</v>
      </c>
      <c r="B198" s="115">
        <f>'[9]Weight%'!$B$134*'[9]Weight%'!$B$27</f>
        <v>8.7375560755671711E-4</v>
      </c>
      <c r="C198" s="17" t="s">
        <v>803</v>
      </c>
      <c r="D198" s="66"/>
      <c r="E198" s="17"/>
      <c r="F198" s="41">
        <v>156</v>
      </c>
      <c r="G198" s="42">
        <f>[32]Production!$AT$3</f>
        <v>0.74679786570042106</v>
      </c>
      <c r="H198" s="24">
        <f t="shared" si="12"/>
        <v>0.78595292525461824</v>
      </c>
      <c r="I198" s="25">
        <f t="shared" si="13"/>
        <v>15343591.011863777</v>
      </c>
    </row>
    <row r="199" spans="1:9" x14ac:dyDescent="0.45">
      <c r="A199" s="15" t="s">
        <v>468</v>
      </c>
      <c r="B199" s="115">
        <f>'[9]Weight%'!$B$134*'[9]Weight%'!$B$35</f>
        <v>8.9999999999999998E-4</v>
      </c>
      <c r="C199" s="17" t="s">
        <v>803</v>
      </c>
      <c r="D199" s="66"/>
      <c r="E199" s="17"/>
      <c r="F199" s="41">
        <v>276</v>
      </c>
      <c r="G199" s="42">
        <f>[32]Production!$CE$3</f>
        <v>4.4481931934810655E-2</v>
      </c>
      <c r="H199" s="24">
        <f t="shared" si="12"/>
        <v>4.6814146278192213E-2</v>
      </c>
      <c r="I199" s="25">
        <f t="shared" si="13"/>
        <v>913918.74879713159</v>
      </c>
    </row>
    <row r="200" spans="1:9" x14ac:dyDescent="0.45">
      <c r="A200" s="15" t="s">
        <v>469</v>
      </c>
      <c r="B200" s="115">
        <f>'[9]Weight%'!$B$134*'[9]Weight%'!$B$52</f>
        <v>7.2899999999999994E-4</v>
      </c>
      <c r="C200" s="17" t="s">
        <v>803</v>
      </c>
      <c r="D200" s="66"/>
      <c r="E200" s="17"/>
      <c r="F200" s="41">
        <v>528</v>
      </c>
      <c r="G200" s="42">
        <f>[32]Production!$EO$3</f>
        <v>1.4807060979248887E-2</v>
      </c>
      <c r="H200" s="24">
        <f t="shared" si="12"/>
        <v>1.5583404058271149E-2</v>
      </c>
      <c r="I200" s="25">
        <f t="shared" si="13"/>
        <v>304223.53649904649</v>
      </c>
    </row>
    <row r="201" spans="1:9" x14ac:dyDescent="0.45">
      <c r="A201" s="15" t="s">
        <v>470</v>
      </c>
      <c r="B201" s="115">
        <f>'[9]Weight%'!$B$134*'[9]Weight%'!$B$51</f>
        <v>1.0329341317365267E-3</v>
      </c>
      <c r="C201" s="17" t="s">
        <v>803</v>
      </c>
      <c r="D201" s="66"/>
      <c r="E201" s="17"/>
      <c r="F201" s="41">
        <v>642</v>
      </c>
      <c r="G201" s="42">
        <f>[32]Production!$FT$3</f>
        <v>1.447665628409437E-2</v>
      </c>
      <c r="H201" s="24">
        <f t="shared" si="12"/>
        <v>1.5235676046982583E-2</v>
      </c>
      <c r="I201" s="25">
        <f t="shared" si="13"/>
        <v>297435.09381101647</v>
      </c>
    </row>
    <row r="202" spans="1:9" x14ac:dyDescent="0.45">
      <c r="A202" s="15" t="s">
        <v>741</v>
      </c>
      <c r="B202" s="115">
        <f>'[9]Weight%'!$B$135</f>
        <v>6.7500000000000008E-3</v>
      </c>
      <c r="C202" s="17" t="s">
        <v>803</v>
      </c>
      <c r="D202" s="17"/>
      <c r="E202" s="17"/>
      <c r="F202" s="41">
        <v>643</v>
      </c>
      <c r="G202" s="42">
        <f>[32]Production!$FU$3</f>
        <v>1.5881139256386938E-2</v>
      </c>
      <c r="H202" s="24">
        <f t="shared" si="12"/>
        <v>1.6713796903030206E-2</v>
      </c>
      <c r="I202" s="25">
        <f t="shared" si="13"/>
        <v>326291.37915909046</v>
      </c>
    </row>
    <row r="203" spans="1:9" x14ac:dyDescent="0.45">
      <c r="A203" s="16" t="s">
        <v>471</v>
      </c>
      <c r="B203" s="23">
        <f>B197*data_3tier!B24</f>
        <v>79.639121442096851</v>
      </c>
      <c r="C203" s="17" t="s">
        <v>11</v>
      </c>
      <c r="D203" s="17"/>
      <c r="E203" s="17"/>
      <c r="F203" s="41">
        <v>703</v>
      </c>
      <c r="G203" s="42">
        <f>[32]Production!$GM$3</f>
        <v>1.2668947912078879E-2</v>
      </c>
      <c r="H203" s="24">
        <f t="shared" si="12"/>
        <v>1.3333188441905812E-2</v>
      </c>
      <c r="I203" s="25">
        <f t="shared" si="13"/>
        <v>260294.20307893932</v>
      </c>
    </row>
    <row r="204" spans="1:9" x14ac:dyDescent="0.45">
      <c r="A204" s="15" t="s">
        <v>472</v>
      </c>
      <c r="B204" s="23">
        <f>B198*data_1tier!B11</f>
        <v>157669.19938360961</v>
      </c>
      <c r="C204" s="17" t="s">
        <v>11</v>
      </c>
      <c r="D204" s="17"/>
      <c r="E204" s="17"/>
      <c r="F204" s="41">
        <v>792</v>
      </c>
      <c r="G204" s="42">
        <f>[32]Production!$HJ$3</f>
        <v>3.4670930947631316E-2</v>
      </c>
      <c r="H204" s="24">
        <f t="shared" si="12"/>
        <v>3.6488748630841651E-2</v>
      </c>
      <c r="I204" s="25">
        <f t="shared" si="13"/>
        <v>712343.47190063959</v>
      </c>
    </row>
    <row r="205" spans="1:9" x14ac:dyDescent="0.45">
      <c r="A205" s="15" t="s">
        <v>473</v>
      </c>
      <c r="B205" s="23">
        <f>B199*data_1tier!B19</f>
        <v>421324.2</v>
      </c>
      <c r="C205" s="17" t="s">
        <v>11</v>
      </c>
      <c r="D205" s="17"/>
      <c r="E205" s="17"/>
      <c r="F205" s="41">
        <v>842</v>
      </c>
      <c r="G205" s="42">
        <f>[32]Production!$HT$3</f>
        <v>1.8593379695559346E-2</v>
      </c>
      <c r="H205" s="24">
        <f t="shared" si="12"/>
        <v>1.9568241733509351E-2</v>
      </c>
      <c r="I205" s="25">
        <f t="shared" si="13"/>
        <v>382016.64289624384</v>
      </c>
    </row>
    <row r="206" spans="1:9" x14ac:dyDescent="0.45">
      <c r="A206" s="15" t="s">
        <v>474</v>
      </c>
      <c r="B206" s="23">
        <f>B200*data_1tier!B52</f>
        <v>2374195.8225097344</v>
      </c>
      <c r="C206" s="17" t="s">
        <v>11</v>
      </c>
      <c r="D206" s="17"/>
      <c r="E206" s="17"/>
      <c r="F206" s="17" t="s">
        <v>86</v>
      </c>
      <c r="G206" s="42">
        <f>SUM(G197:G205)</f>
        <v>0.95018141889158003</v>
      </c>
      <c r="H206" s="17"/>
      <c r="I206" s="21"/>
    </row>
    <row r="207" spans="1:9" x14ac:dyDescent="0.45">
      <c r="A207" s="15" t="s">
        <v>475</v>
      </c>
      <c r="B207" s="23">
        <f>B201*data_1tier!B53</f>
        <v>7884766.1694700047</v>
      </c>
      <c r="C207" s="17" t="s">
        <v>11</v>
      </c>
      <c r="D207" s="17"/>
      <c r="E207" s="17"/>
      <c r="F207" s="17"/>
      <c r="G207" s="17"/>
      <c r="H207" s="17"/>
      <c r="I207" s="21"/>
    </row>
    <row r="208" spans="1:9" x14ac:dyDescent="0.45">
      <c r="A208" s="15" t="s">
        <v>742</v>
      </c>
      <c r="B208" s="23">
        <f>B202*data_4tier!B37</f>
        <v>8684242.346233476</v>
      </c>
      <c r="C208" s="17" t="s">
        <v>11</v>
      </c>
      <c r="D208" s="17"/>
      <c r="E208" s="17"/>
      <c r="F208" s="17"/>
      <c r="G208" s="42"/>
      <c r="H208" s="17"/>
      <c r="I208" s="21"/>
    </row>
    <row r="209" spans="1:9" x14ac:dyDescent="0.45">
      <c r="A209" s="15" t="s">
        <v>476</v>
      </c>
      <c r="B209" s="23">
        <f>SUM(B203:B208)</f>
        <v>19522277.376718268</v>
      </c>
      <c r="C209" s="17" t="s">
        <v>11</v>
      </c>
      <c r="D209" s="17"/>
      <c r="E209" s="17"/>
      <c r="F209" s="17"/>
      <c r="G209" s="17"/>
      <c r="H209" s="17"/>
      <c r="I209" s="21"/>
    </row>
    <row r="210" spans="1:9" x14ac:dyDescent="0.45">
      <c r="A210" s="16" t="s">
        <v>477</v>
      </c>
      <c r="B210" s="23">
        <f>B197*data_3tier!B25</f>
        <v>199.09780360524212</v>
      </c>
      <c r="C210" s="17" t="s">
        <v>11</v>
      </c>
      <c r="D210" s="17"/>
      <c r="E210" s="17"/>
      <c r="F210" s="17"/>
      <c r="G210" s="17"/>
      <c r="H210" s="17"/>
      <c r="I210" s="21"/>
    </row>
    <row r="211" spans="1:9" x14ac:dyDescent="0.45">
      <c r="A211" s="15" t="s">
        <v>478</v>
      </c>
      <c r="B211" s="23">
        <f>B198*data_1tier!B13</f>
        <v>394172.99845902401</v>
      </c>
      <c r="C211" s="17" t="s">
        <v>11</v>
      </c>
      <c r="D211" s="17"/>
      <c r="E211" s="17"/>
      <c r="F211" s="17"/>
      <c r="G211" s="17"/>
      <c r="H211" s="17"/>
      <c r="I211" s="21"/>
    </row>
    <row r="212" spans="1:9" x14ac:dyDescent="0.45">
      <c r="A212" s="15" t="s">
        <v>479</v>
      </c>
      <c r="B212" s="23">
        <f>B199*data_1tier!B21</f>
        <v>1590316.2</v>
      </c>
      <c r="C212" s="17" t="s">
        <v>11</v>
      </c>
      <c r="D212" s="17"/>
      <c r="E212" s="17"/>
      <c r="F212" s="17"/>
      <c r="G212" s="17"/>
      <c r="H212" s="17"/>
      <c r="I212" s="21"/>
    </row>
    <row r="213" spans="1:9" x14ac:dyDescent="0.45">
      <c r="A213" s="15" t="s">
        <v>480</v>
      </c>
      <c r="B213" s="23">
        <f>B200*data_1tier!B56</f>
        <v>11121233.063335072</v>
      </c>
      <c r="C213" s="17" t="s">
        <v>11</v>
      </c>
      <c r="D213" s="17"/>
      <c r="E213" s="17"/>
      <c r="F213" s="17"/>
      <c r="G213" s="17"/>
      <c r="H213" s="17"/>
      <c r="I213" s="21"/>
    </row>
    <row r="214" spans="1:9" x14ac:dyDescent="0.45">
      <c r="A214" s="15" t="s">
        <v>481</v>
      </c>
      <c r="B214" s="23">
        <f>B201*data_1tier!B57</f>
        <v>41712550.851885192</v>
      </c>
      <c r="C214" s="17" t="s">
        <v>11</v>
      </c>
      <c r="D214" s="17"/>
      <c r="E214" s="17"/>
      <c r="F214" s="17"/>
      <c r="G214" s="17"/>
      <c r="H214" s="17"/>
      <c r="I214" s="21"/>
    </row>
    <row r="215" spans="1:9" x14ac:dyDescent="0.45">
      <c r="A215" s="15" t="s">
        <v>743</v>
      </c>
      <c r="B215" s="23">
        <f>B202*data_4tier!B43</f>
        <v>53576036.36765299</v>
      </c>
      <c r="C215" s="17" t="s">
        <v>11</v>
      </c>
      <c r="D215" s="17"/>
      <c r="E215" s="17"/>
      <c r="F215" s="17"/>
      <c r="G215" s="17"/>
      <c r="H215" s="17"/>
      <c r="I215" s="21"/>
    </row>
    <row r="216" spans="1:9" x14ac:dyDescent="0.45">
      <c r="A216" s="51" t="s">
        <v>482</v>
      </c>
      <c r="B216" s="26">
        <f>SUM(B210:B215)</f>
        <v>108394508.57913589</v>
      </c>
      <c r="C216" s="45" t="s">
        <v>11</v>
      </c>
      <c r="D216" s="45"/>
      <c r="E216" s="45"/>
      <c r="F216" s="45"/>
      <c r="G216" s="45"/>
      <c r="H216" s="45"/>
      <c r="I216" s="28"/>
    </row>
    <row r="218" spans="1:9" x14ac:dyDescent="0.45">
      <c r="A218" s="30" t="s">
        <v>484</v>
      </c>
    </row>
    <row r="219" spans="1:9" ht="32" x14ac:dyDescent="0.45">
      <c r="A219" s="14" t="s">
        <v>1</v>
      </c>
      <c r="B219" s="5" t="s">
        <v>2</v>
      </c>
      <c r="C219" s="5" t="s">
        <v>119</v>
      </c>
      <c r="D219" s="5" t="s">
        <v>4</v>
      </c>
      <c r="E219" s="5"/>
      <c r="F219" s="10" t="s">
        <v>488</v>
      </c>
      <c r="G219" s="116" t="s">
        <v>799</v>
      </c>
      <c r="H219" s="10" t="s">
        <v>83</v>
      </c>
      <c r="I219" s="11" t="s">
        <v>84</v>
      </c>
    </row>
    <row r="220" spans="1:9" ht="32" x14ac:dyDescent="0.45">
      <c r="A220" s="16" t="s">
        <v>485</v>
      </c>
      <c r="B220" s="31">
        <f>'[9]Weight%'!$B$136</f>
        <v>0.16</v>
      </c>
      <c r="C220" s="17" t="s">
        <v>803</v>
      </c>
      <c r="D220" s="48" t="s">
        <v>191</v>
      </c>
      <c r="E220" s="17"/>
      <c r="F220" s="41">
        <v>40</v>
      </c>
      <c r="G220" s="61">
        <v>16500000</v>
      </c>
      <c r="H220" s="89">
        <f>G220/$G$236</f>
        <v>1.7216337365086518E-2</v>
      </c>
      <c r="I220" s="25">
        <f>H220*$B$221</f>
        <v>225751.41952683483</v>
      </c>
    </row>
    <row r="221" spans="1:9" x14ac:dyDescent="0.45">
      <c r="A221" s="16" t="s">
        <v>486</v>
      </c>
      <c r="B221" s="23">
        <f>B220*data_3tier!B7</f>
        <v>13112627.543221958</v>
      </c>
      <c r="C221" s="17" t="s">
        <v>11</v>
      </c>
      <c r="D221" s="17"/>
      <c r="E221" s="17"/>
      <c r="F221" s="41">
        <v>76</v>
      </c>
      <c r="G221" s="61">
        <v>95000000</v>
      </c>
      <c r="H221" s="89">
        <f t="shared" ref="H221:H235" si="14">G221/$G$236</f>
        <v>9.9124366647467849E-2</v>
      </c>
      <c r="I221" s="25">
        <f t="shared" ref="I221:I235" si="15">H221*$B$221</f>
        <v>1299780.900306019</v>
      </c>
    </row>
    <row r="222" spans="1:9" x14ac:dyDescent="0.45">
      <c r="A222" s="16" t="s">
        <v>487</v>
      </c>
      <c r="B222" s="23">
        <f>B220*data_3tier!B8</f>
        <v>46147044.058054894</v>
      </c>
      <c r="C222" s="17" t="s">
        <v>11</v>
      </c>
      <c r="D222" s="17"/>
      <c r="E222" s="17"/>
      <c r="F222" s="41">
        <v>124</v>
      </c>
      <c r="G222" s="61">
        <v>8841000</v>
      </c>
      <c r="H222" s="89">
        <f t="shared" si="14"/>
        <v>9.2248265845290868E-3</v>
      </c>
      <c r="I222" s="25">
        <f t="shared" si="15"/>
        <v>120961.71515374225</v>
      </c>
    </row>
    <row r="223" spans="1:9" x14ac:dyDescent="0.45">
      <c r="A223" s="15"/>
      <c r="B223" s="17"/>
      <c r="C223" s="17"/>
      <c r="D223" s="17"/>
      <c r="E223" s="17"/>
      <c r="F223" s="41">
        <v>144</v>
      </c>
      <c r="G223" s="61">
        <v>3700000</v>
      </c>
      <c r="H223" s="89">
        <f t="shared" si="14"/>
        <v>3.8606332273224317E-3</v>
      </c>
      <c r="I223" s="25">
        <f t="shared" si="15"/>
        <v>50623.045590866001</v>
      </c>
    </row>
    <row r="224" spans="1:9" x14ac:dyDescent="0.45">
      <c r="A224" s="15"/>
      <c r="B224" s="17"/>
      <c r="C224" s="17"/>
      <c r="D224" s="17"/>
      <c r="E224" s="17"/>
      <c r="F224" s="41">
        <v>156</v>
      </c>
      <c r="G224" s="61">
        <v>650000000</v>
      </c>
      <c r="H224" s="89">
        <f t="shared" si="14"/>
        <v>0.67821935074583262</v>
      </c>
      <c r="I224" s="25">
        <f t="shared" si="15"/>
        <v>8893237.7389359195</v>
      </c>
    </row>
    <row r="225" spans="1:9" x14ac:dyDescent="0.45">
      <c r="A225" s="15"/>
      <c r="B225" s="17"/>
      <c r="C225" s="17"/>
      <c r="D225" s="17"/>
      <c r="E225" s="17"/>
      <c r="F225" s="41">
        <v>276</v>
      </c>
      <c r="G225" s="61">
        <v>108000</v>
      </c>
      <c r="H225" s="89">
        <f t="shared" si="14"/>
        <v>1.126887536623845E-4</v>
      </c>
      <c r="I225" s="25">
        <f t="shared" si="15"/>
        <v>1477.6456550847372</v>
      </c>
    </row>
    <row r="226" spans="1:9" x14ac:dyDescent="0.45">
      <c r="A226" s="15"/>
      <c r="B226" s="17"/>
      <c r="C226" s="17"/>
      <c r="D226" s="17"/>
      <c r="E226" s="17"/>
      <c r="F226" s="41">
        <v>408</v>
      </c>
      <c r="G226" s="61">
        <v>30000000</v>
      </c>
      <c r="H226" s="89">
        <f t="shared" si="14"/>
        <v>3.1302431572884579E-2</v>
      </c>
      <c r="I226" s="25">
        <f t="shared" si="15"/>
        <v>410457.12641242694</v>
      </c>
    </row>
    <row r="227" spans="1:9" x14ac:dyDescent="0.45">
      <c r="A227" s="15"/>
      <c r="B227" s="17"/>
      <c r="C227" s="17"/>
      <c r="D227" s="17"/>
      <c r="E227" s="17"/>
      <c r="F227" s="41">
        <v>450</v>
      </c>
      <c r="G227" s="61">
        <v>48500000</v>
      </c>
      <c r="H227" s="89">
        <f t="shared" si="14"/>
        <v>5.0605597709496741E-2</v>
      </c>
      <c r="I227" s="25">
        <f t="shared" si="15"/>
        <v>663572.35436675698</v>
      </c>
    </row>
    <row r="228" spans="1:9" x14ac:dyDescent="0.45">
      <c r="A228" s="15"/>
      <c r="B228" s="17"/>
      <c r="C228" s="17"/>
      <c r="D228" s="17"/>
      <c r="E228" s="17"/>
      <c r="F228" s="41">
        <v>484</v>
      </c>
      <c r="G228" s="61">
        <v>1461000</v>
      </c>
      <c r="H228" s="89">
        <f t="shared" si="14"/>
        <v>1.5244284175994791E-3</v>
      </c>
      <c r="I228" s="25">
        <f t="shared" si="15"/>
        <v>19989.262056285195</v>
      </c>
    </row>
    <row r="229" spans="1:9" x14ac:dyDescent="0.45">
      <c r="A229" s="15"/>
      <c r="B229" s="17"/>
      <c r="C229" s="17"/>
      <c r="D229" s="17"/>
      <c r="E229" s="17"/>
      <c r="F229" s="41">
        <v>508</v>
      </c>
      <c r="G229" s="61">
        <v>18159000</v>
      </c>
      <c r="H229" s="89">
        <f t="shared" si="14"/>
        <v>1.8947361831067037E-2</v>
      </c>
      <c r="I229" s="25">
        <f t="shared" si="15"/>
        <v>248449.69861744207</v>
      </c>
    </row>
    <row r="230" spans="1:9" x14ac:dyDescent="0.45">
      <c r="A230" s="15"/>
      <c r="B230" s="17"/>
      <c r="C230" s="17"/>
      <c r="D230" s="17"/>
      <c r="E230" s="17"/>
      <c r="F230" s="41">
        <v>579</v>
      </c>
      <c r="G230" s="61">
        <v>9000000</v>
      </c>
      <c r="H230" s="89">
        <f t="shared" si="14"/>
        <v>9.3907294718653753E-3</v>
      </c>
      <c r="I230" s="25">
        <f t="shared" si="15"/>
        <v>123137.13792372811</v>
      </c>
    </row>
    <row r="231" spans="1:9" x14ac:dyDescent="0.45">
      <c r="A231" s="15"/>
      <c r="B231" s="17"/>
      <c r="C231" s="17"/>
      <c r="D231" s="17"/>
      <c r="E231" s="17"/>
      <c r="F231" s="41">
        <v>643</v>
      </c>
      <c r="G231" s="61">
        <v>16600000</v>
      </c>
      <c r="H231" s="89">
        <f t="shared" si="14"/>
        <v>1.7320678803662802E-2</v>
      </c>
      <c r="I231" s="25">
        <f t="shared" si="15"/>
        <v>227119.6099482096</v>
      </c>
    </row>
    <row r="232" spans="1:9" x14ac:dyDescent="0.45">
      <c r="A232" s="15"/>
      <c r="B232" s="17"/>
      <c r="C232" s="17"/>
      <c r="D232" s="17"/>
      <c r="E232" s="17"/>
      <c r="F232" s="41">
        <v>699</v>
      </c>
      <c r="G232" s="61">
        <v>30168000</v>
      </c>
      <c r="H232" s="89">
        <f t="shared" si="14"/>
        <v>3.1477725189692739E-2</v>
      </c>
      <c r="I232" s="25">
        <f t="shared" si="15"/>
        <v>412755.68632033665</v>
      </c>
    </row>
    <row r="233" spans="1:9" x14ac:dyDescent="0.45">
      <c r="A233" s="15"/>
      <c r="B233" s="17"/>
      <c r="C233" s="17"/>
      <c r="D233" s="17"/>
      <c r="E233" s="17"/>
      <c r="F233" s="41">
        <v>716</v>
      </c>
      <c r="G233" s="61">
        <v>150000</v>
      </c>
      <c r="H233" s="89">
        <f t="shared" si="14"/>
        <v>1.565121578644229E-4</v>
      </c>
      <c r="I233" s="25">
        <f t="shared" si="15"/>
        <v>2052.2856320621349</v>
      </c>
    </row>
    <row r="234" spans="1:9" x14ac:dyDescent="0.45">
      <c r="A234" s="15"/>
      <c r="B234" s="17"/>
      <c r="C234" s="17"/>
      <c r="D234" s="17"/>
      <c r="E234" s="17"/>
      <c r="F234" s="41">
        <v>792</v>
      </c>
      <c r="G234" s="61">
        <v>15205000</v>
      </c>
      <c r="H234" s="89">
        <f t="shared" si="14"/>
        <v>1.5865115735523669E-2</v>
      </c>
      <c r="I234" s="25">
        <f t="shared" si="15"/>
        <v>208033.35357003176</v>
      </c>
    </row>
    <row r="235" spans="1:9" x14ac:dyDescent="0.45">
      <c r="A235" s="15"/>
      <c r="B235" s="17"/>
      <c r="C235" s="17"/>
      <c r="D235" s="17"/>
      <c r="E235" s="17"/>
      <c r="F235" s="41">
        <v>804</v>
      </c>
      <c r="G235" s="61">
        <v>15000000</v>
      </c>
      <c r="H235" s="89">
        <f t="shared" si="14"/>
        <v>1.5651215786442289E-2</v>
      </c>
      <c r="I235" s="25">
        <f t="shared" si="15"/>
        <v>205228.56320621347</v>
      </c>
    </row>
    <row r="236" spans="1:9" x14ac:dyDescent="0.45">
      <c r="A236" s="51"/>
      <c r="B236" s="45"/>
      <c r="C236" s="45"/>
      <c r="D236" s="45"/>
      <c r="E236" s="45"/>
      <c r="F236" s="45" t="s">
        <v>86</v>
      </c>
      <c r="G236" s="74">
        <f>SUM(G220:G235)</f>
        <v>958392000</v>
      </c>
      <c r="H236" s="72"/>
      <c r="I236" s="28"/>
    </row>
    <row r="238" spans="1:9" x14ac:dyDescent="0.45">
      <c r="A238" s="30" t="s">
        <v>489</v>
      </c>
    </row>
    <row r="239" spans="1:9" ht="32" x14ac:dyDescent="0.45">
      <c r="A239" s="14" t="s">
        <v>1</v>
      </c>
      <c r="B239" s="5" t="s">
        <v>2</v>
      </c>
      <c r="C239" s="5" t="s">
        <v>119</v>
      </c>
      <c r="D239" s="5" t="s">
        <v>4</v>
      </c>
      <c r="E239" s="5"/>
      <c r="F239" s="10" t="s">
        <v>268</v>
      </c>
      <c r="G239" s="10" t="s">
        <v>82</v>
      </c>
      <c r="H239" s="10" t="s">
        <v>83</v>
      </c>
      <c r="I239" s="11" t="s">
        <v>84</v>
      </c>
    </row>
    <row r="240" spans="1:9" x14ac:dyDescent="0.45">
      <c r="A240" s="16" t="s">
        <v>490</v>
      </c>
      <c r="B240" s="115">
        <f>('[9]Weight%'!$B$137/('[9]Weight%'!$B$77+'[9]Weight%'!$B$78))*(('[9]Flow amounts'!$H$11+'[9]Flow amounts'!$H$12)/'[9]Flow amounts'!$H$24)+'[9]Weight%'!$B$140*(('[9]Flow amounts'!$H$24-('[9]Flow amounts'!$H$11+'[9]Flow amounts'!$H$12))/'[9]Flow amounts'!$H$24)</f>
        <v>6.8367640286360516E-5</v>
      </c>
      <c r="C240" s="17" t="s">
        <v>803</v>
      </c>
      <c r="D240" s="66" t="s">
        <v>191</v>
      </c>
      <c r="E240" s="17"/>
      <c r="F240" s="41">
        <v>56</v>
      </c>
      <c r="G240" s="104">
        <f>[33]Production!$S$5</f>
        <v>4.391489860751329E-2</v>
      </c>
      <c r="H240" s="24">
        <f>G240/$G$253</f>
        <v>4.5869278949994693E-2</v>
      </c>
      <c r="I240" s="25">
        <f>H240*$B$246</f>
        <v>5639.5246856300346</v>
      </c>
    </row>
    <row r="241" spans="1:9" x14ac:dyDescent="0.45">
      <c r="A241" s="16" t="s">
        <v>491</v>
      </c>
      <c r="B241" s="117">
        <f>'[9]Weight%'!$B$138*'[9]Weight%'!$B$52</f>
        <v>1.0800000000000002E-5</v>
      </c>
      <c r="C241" s="17" t="s">
        <v>803</v>
      </c>
      <c r="D241" s="66"/>
      <c r="E241" s="17"/>
      <c r="F241" s="41">
        <v>104</v>
      </c>
      <c r="G241" s="104">
        <f>[33]Production!$AH$5</f>
        <v>4.8911225091665428E-2</v>
      </c>
      <c r="H241" s="24">
        <f t="shared" ref="H241:H252" si="16">G241/$G$253</f>
        <v>5.1087961003096628E-2</v>
      </c>
      <c r="I241" s="25">
        <f t="shared" ref="I241:I252" si="17">H241*$B$246</f>
        <v>6281.1499070992331</v>
      </c>
    </row>
    <row r="242" spans="1:9" x14ac:dyDescent="0.45">
      <c r="A242" s="16" t="s">
        <v>492</v>
      </c>
      <c r="B242" s="117">
        <f>'[9]Weight%'!$B$139*'[9]Weight%'!$B$51</f>
        <v>2.8055001108893323E-6</v>
      </c>
      <c r="C242" s="17" t="s">
        <v>803</v>
      </c>
      <c r="D242" s="66"/>
      <c r="E242" s="17"/>
      <c r="F242" s="41">
        <v>203</v>
      </c>
      <c r="G242" s="104">
        <f>[33]Production!$BG$5</f>
        <v>1.1755250713144977E-2</v>
      </c>
      <c r="H242" s="24">
        <f t="shared" si="16"/>
        <v>1.2278404167740007E-2</v>
      </c>
      <c r="I242" s="25">
        <f t="shared" si="17"/>
        <v>1509.602177954456</v>
      </c>
    </row>
    <row r="243" spans="1:9" x14ac:dyDescent="0.45">
      <c r="A243" s="16" t="s">
        <v>493</v>
      </c>
      <c r="B243" s="23">
        <f>B240*data_3tier!B74</f>
        <v>66359.065240417258</v>
      </c>
      <c r="C243" s="17" t="s">
        <v>11</v>
      </c>
      <c r="D243" s="17"/>
      <c r="E243" s="17"/>
      <c r="F243" s="41">
        <v>276</v>
      </c>
      <c r="G243" s="104">
        <f>[33]Production!$CE$5</f>
        <v>0.14966214002131675</v>
      </c>
      <c r="H243" s="24">
        <f t="shared" si="16"/>
        <v>0.1563226755968519</v>
      </c>
      <c r="I243" s="25">
        <f t="shared" si="17"/>
        <v>19219.521390629667</v>
      </c>
    </row>
    <row r="244" spans="1:9" x14ac:dyDescent="0.45">
      <c r="A244" s="16" t="s">
        <v>494</v>
      </c>
      <c r="B244" s="23">
        <f>B241*data_1tier!B52</f>
        <v>35173.271444588667</v>
      </c>
      <c r="C244" s="17" t="s">
        <v>11</v>
      </c>
      <c r="D244" s="17"/>
      <c r="E244" s="17"/>
      <c r="F244" s="41">
        <v>344</v>
      </c>
      <c r="G244" s="104">
        <f>[33]Production!$CT$5</f>
        <v>8.0869088312700704E-2</v>
      </c>
      <c r="H244" s="24">
        <f t="shared" si="16"/>
        <v>8.4468070925077604E-2</v>
      </c>
      <c r="I244" s="25">
        <f t="shared" si="17"/>
        <v>10385.159349220135</v>
      </c>
    </row>
    <row r="245" spans="1:9" x14ac:dyDescent="0.45">
      <c r="A245" s="16" t="s">
        <v>495</v>
      </c>
      <c r="B245" s="23">
        <f>B242*data_1tier!B53</f>
        <v>21415.414287449399</v>
      </c>
      <c r="C245" s="17" t="s">
        <v>11</v>
      </c>
      <c r="D245" s="17"/>
      <c r="E245" s="17"/>
      <c r="F245" s="41">
        <v>381</v>
      </c>
      <c r="G245" s="104">
        <f>[33]Production!$DB$5</f>
        <v>5.320734151279867E-2</v>
      </c>
      <c r="H245" s="24">
        <f t="shared" si="16"/>
        <v>5.5575270976958184E-2</v>
      </c>
      <c r="I245" s="25">
        <f t="shared" si="17"/>
        <v>6832.8545763017783</v>
      </c>
    </row>
    <row r="246" spans="1:9" x14ac:dyDescent="0.45">
      <c r="A246" s="16" t="s">
        <v>499</v>
      </c>
      <c r="B246" s="23">
        <f>SUM(B243:B245)</f>
        <v>122947.75097245532</v>
      </c>
      <c r="C246" s="17" t="s">
        <v>11</v>
      </c>
      <c r="D246" s="17"/>
      <c r="E246" s="17"/>
      <c r="F246" s="41">
        <v>392</v>
      </c>
      <c r="G246" s="104">
        <f>[33]Production!$DE$5</f>
        <v>0.16346283195303418</v>
      </c>
      <c r="H246" s="24">
        <f t="shared" si="16"/>
        <v>0.17073755091232365</v>
      </c>
      <c r="I246" s="25">
        <f t="shared" si="17"/>
        <v>20991.797891215279</v>
      </c>
    </row>
    <row r="247" spans="1:9" x14ac:dyDescent="0.45">
      <c r="A247" s="16" t="s">
        <v>496</v>
      </c>
      <c r="B247" s="23">
        <f>B240*data_3tier!B81</f>
        <v>366082.32022460276</v>
      </c>
      <c r="C247" s="17" t="s">
        <v>11</v>
      </c>
      <c r="D247" s="17"/>
      <c r="E247" s="17"/>
      <c r="F247" s="41">
        <v>410</v>
      </c>
      <c r="G247" s="104">
        <f>[33]Production!$DJ$5</f>
        <v>1.2750376837189088E-2</v>
      </c>
      <c r="H247" s="24">
        <f t="shared" si="16"/>
        <v>1.3317817196611192E-2</v>
      </c>
      <c r="I247" s="25">
        <f t="shared" si="17"/>
        <v>1637.3956721856359</v>
      </c>
    </row>
    <row r="248" spans="1:9" x14ac:dyDescent="0.45">
      <c r="A248" s="16" t="s">
        <v>497</v>
      </c>
      <c r="B248" s="23">
        <f>B241*data_1tier!B56</f>
        <v>164759.00834570482</v>
      </c>
      <c r="C248" s="17" t="s">
        <v>11</v>
      </c>
      <c r="D248" s="17"/>
      <c r="E248" s="17"/>
      <c r="F248" s="41">
        <v>643</v>
      </c>
      <c r="G248" s="104">
        <f>[33]Production!$FU$5</f>
        <v>3.5912497887297223E-2</v>
      </c>
      <c r="H248" s="24">
        <f t="shared" si="16"/>
        <v>3.7510740901533182E-2</v>
      </c>
      <c r="I248" s="25">
        <f t="shared" si="17"/>
        <v>4611.8612311539964</v>
      </c>
    </row>
    <row r="249" spans="1:9" x14ac:dyDescent="0.45">
      <c r="A249" s="16" t="s">
        <v>498</v>
      </c>
      <c r="B249" s="23">
        <f>B242*data_1tier!B57</f>
        <v>113293.34799277461</v>
      </c>
      <c r="C249" s="17" t="s">
        <v>11</v>
      </c>
      <c r="D249" s="17"/>
      <c r="E249" s="17"/>
      <c r="F249" s="41">
        <v>710</v>
      </c>
      <c r="G249" s="104">
        <f>[33]Production!$GQ$5</f>
        <v>0.19940292432557352</v>
      </c>
      <c r="H249" s="24">
        <f t="shared" si="16"/>
        <v>0.20827711435885152</v>
      </c>
      <c r="I249" s="25">
        <f t="shared" si="17"/>
        <v>25607.202789453677</v>
      </c>
    </row>
    <row r="250" spans="1:9" x14ac:dyDescent="0.45">
      <c r="A250" s="16" t="s">
        <v>500</v>
      </c>
      <c r="B250" s="23">
        <f>SUM(B247:B249)</f>
        <v>644134.67656308215</v>
      </c>
      <c r="C250" s="17" t="s">
        <v>11</v>
      </c>
      <c r="D250" s="17"/>
      <c r="E250" s="17"/>
      <c r="F250" s="41">
        <v>757</v>
      </c>
      <c r="G250" s="104">
        <f>[33]Production!$GZ$5</f>
        <v>1.5540869157298914E-2</v>
      </c>
      <c r="H250" s="24">
        <f t="shared" si="16"/>
        <v>1.623249705919971E-2</v>
      </c>
      <c r="I250" s="25">
        <f t="shared" si="17"/>
        <v>1995.7490060955993</v>
      </c>
    </row>
    <row r="251" spans="1:9" x14ac:dyDescent="0.45">
      <c r="A251" s="15"/>
      <c r="B251" s="17"/>
      <c r="C251" s="17"/>
      <c r="D251" s="17"/>
      <c r="E251" s="17"/>
      <c r="F251" s="41">
        <v>826</v>
      </c>
      <c r="G251" s="104">
        <f>[33]Production!$HR$5</f>
        <v>9.0270184503626949E-2</v>
      </c>
      <c r="H251" s="24">
        <f t="shared" si="16"/>
        <v>9.4287551722957705E-2</v>
      </c>
      <c r="I251" s="25">
        <f t="shared" si="17"/>
        <v>11592.442429036704</v>
      </c>
    </row>
    <row r="252" spans="1:9" x14ac:dyDescent="0.45">
      <c r="A252" s="15"/>
      <c r="B252" s="17"/>
      <c r="C252" s="17"/>
      <c r="D252" s="17"/>
      <c r="E252" s="17"/>
      <c r="F252" s="41">
        <v>842</v>
      </c>
      <c r="G252" s="104">
        <f>[33]Production!$HT$5</f>
        <v>5.1732761207672645E-2</v>
      </c>
      <c r="H252" s="24">
        <f t="shared" si="16"/>
        <v>5.4035066228804177E-2</v>
      </c>
      <c r="I252" s="25">
        <f t="shared" si="17"/>
        <v>6643.4898664791463</v>
      </c>
    </row>
    <row r="253" spans="1:9" x14ac:dyDescent="0.45">
      <c r="A253" s="51"/>
      <c r="B253" s="45"/>
      <c r="C253" s="45"/>
      <c r="D253" s="45"/>
      <c r="E253" s="45"/>
      <c r="F253" s="45" t="s">
        <v>86</v>
      </c>
      <c r="G253" s="107">
        <f>SUM(G240:G252)</f>
        <v>0.95739239013083222</v>
      </c>
      <c r="H253" s="45"/>
      <c r="I253" s="28"/>
    </row>
    <row r="255" spans="1:9" x14ac:dyDescent="0.45">
      <c r="A255" s="30" t="s">
        <v>501</v>
      </c>
    </row>
    <row r="256" spans="1:9" ht="32" x14ac:dyDescent="0.45">
      <c r="A256" s="14" t="s">
        <v>1</v>
      </c>
      <c r="B256" s="5" t="s">
        <v>2</v>
      </c>
      <c r="C256" s="5" t="s">
        <v>119</v>
      </c>
      <c r="D256" s="5" t="s">
        <v>4</v>
      </c>
      <c r="E256" s="5"/>
      <c r="F256" s="10" t="s">
        <v>268</v>
      </c>
      <c r="G256" s="10" t="s">
        <v>82</v>
      </c>
      <c r="H256" s="10" t="s">
        <v>83</v>
      </c>
      <c r="I256" s="11" t="s">
        <v>84</v>
      </c>
    </row>
    <row r="257" spans="1:9" x14ac:dyDescent="0.45">
      <c r="A257" s="16" t="s">
        <v>503</v>
      </c>
      <c r="B257" s="113">
        <f>'[9]Weight%'!$B$141*'[9]Weight%'!$B$27</f>
        <v>4.8541978197595396E-5</v>
      </c>
      <c r="C257" s="17" t="s">
        <v>803</v>
      </c>
      <c r="D257" s="66" t="s">
        <v>191</v>
      </c>
      <c r="E257" s="17"/>
      <c r="F257" s="41">
        <v>56</v>
      </c>
      <c r="G257" s="42">
        <f>[34]Tabelle1!$S$3</f>
        <v>5.7114925303432214E-2</v>
      </c>
      <c r="H257" s="24">
        <f>G257/$G$269</f>
        <v>6.1521393294296317E-2</v>
      </c>
      <c r="I257" s="25">
        <f>$B$265*H257</f>
        <v>37042.56200767243</v>
      </c>
    </row>
    <row r="258" spans="1:9" x14ac:dyDescent="0.45">
      <c r="A258" s="16" t="s">
        <v>504</v>
      </c>
      <c r="B258" s="113">
        <f>'[9]Weight%'!$B$141*'[9]Weight%'!$B$35</f>
        <v>5.0000000000000002E-5</v>
      </c>
      <c r="C258" s="17" t="s">
        <v>803</v>
      </c>
      <c r="D258" s="66"/>
      <c r="E258" s="17"/>
      <c r="F258" s="41">
        <v>156</v>
      </c>
      <c r="G258" s="42">
        <f>[34]Tabelle1!$AT$3</f>
        <v>7.1091298173177775E-2</v>
      </c>
      <c r="H258" s="24">
        <f t="shared" ref="H258:H268" si="18">G258/$G$269</f>
        <v>7.657605593421539E-2</v>
      </c>
      <c r="I258" s="25">
        <f t="shared" ref="I258:I268" si="19">$B$265*H258</f>
        <v>46107.104347865061</v>
      </c>
    </row>
    <row r="259" spans="1:9" x14ac:dyDescent="0.45">
      <c r="A259" s="16" t="s">
        <v>502</v>
      </c>
      <c r="B259" s="113">
        <f>'[9]Weight%'!$B$141*'[9]Weight%'!$B$52</f>
        <v>4.0500000000000002E-5</v>
      </c>
      <c r="C259" s="17" t="s">
        <v>803</v>
      </c>
      <c r="D259" s="66"/>
      <c r="E259" s="17"/>
      <c r="F259" s="41">
        <v>376</v>
      </c>
      <c r="G259" s="42">
        <f>[34]Tabelle1!$DA$3</f>
        <v>8.1986622029002171E-2</v>
      </c>
      <c r="H259" s="24">
        <f t="shared" si="18"/>
        <v>8.8311963850436048E-2</v>
      </c>
      <c r="I259" s="25">
        <f t="shared" si="19"/>
        <v>53173.395818595476</v>
      </c>
    </row>
    <row r="260" spans="1:9" x14ac:dyDescent="0.45">
      <c r="A260" s="16" t="s">
        <v>505</v>
      </c>
      <c r="B260" s="113">
        <f>'[9]Weight%'!$B$141*'[9]Weight%'!$B$51</f>
        <v>5.7385229540918161E-5</v>
      </c>
      <c r="C260" s="17" t="s">
        <v>803</v>
      </c>
      <c r="D260" s="66"/>
      <c r="E260" s="17"/>
      <c r="F260" s="41">
        <v>400</v>
      </c>
      <c r="G260" s="42">
        <f>[34]Tabelle1!$DG$3</f>
        <v>0.10434738702352636</v>
      </c>
      <c r="H260" s="24">
        <f t="shared" si="18"/>
        <v>0.11239788202823306</v>
      </c>
      <c r="I260" s="25">
        <f t="shared" si="19"/>
        <v>67675.735083650565</v>
      </c>
    </row>
    <row r="261" spans="1:9" x14ac:dyDescent="0.45">
      <c r="A261" s="16" t="s">
        <v>506</v>
      </c>
      <c r="B261" s="23">
        <f>B257*data_1tier!B11</f>
        <v>8759.3999657560889</v>
      </c>
      <c r="C261" s="17" t="s">
        <v>11</v>
      </c>
      <c r="D261" s="17"/>
      <c r="E261" s="17"/>
      <c r="F261" s="41">
        <v>422</v>
      </c>
      <c r="G261" s="42">
        <f>[34]Tabelle1!$DN$3</f>
        <v>2.2960202929010857E-2</v>
      </c>
      <c r="H261" s="24">
        <f t="shared" si="18"/>
        <v>2.4731603289475844E-2</v>
      </c>
      <c r="I261" s="25">
        <f t="shared" si="19"/>
        <v>14891.111844901903</v>
      </c>
    </row>
    <row r="262" spans="1:9" x14ac:dyDescent="0.45">
      <c r="A262" s="16" t="s">
        <v>507</v>
      </c>
      <c r="B262" s="23">
        <f>B258*data_1tier!B19</f>
        <v>23406.9</v>
      </c>
      <c r="C262" s="17" t="s">
        <v>11</v>
      </c>
      <c r="D262" s="17"/>
      <c r="E262" s="17"/>
      <c r="F262" s="41">
        <v>484</v>
      </c>
      <c r="G262" s="42">
        <f>[34]Tabelle1!$ED$3</f>
        <v>1.6908458444303776E-2</v>
      </c>
      <c r="H262" s="24">
        <f t="shared" si="18"/>
        <v>1.8212961260579072E-2</v>
      </c>
      <c r="I262" s="25">
        <f t="shared" si="19"/>
        <v>10966.181204821376</v>
      </c>
    </row>
    <row r="263" spans="1:9" x14ac:dyDescent="0.45">
      <c r="A263" s="16" t="s">
        <v>508</v>
      </c>
      <c r="B263" s="23">
        <f>B259*data_1tier!B52</f>
        <v>131899.76791720747</v>
      </c>
      <c r="C263" s="17" t="s">
        <v>11</v>
      </c>
      <c r="D263" s="17"/>
      <c r="E263" s="17"/>
      <c r="F263" s="41">
        <v>504</v>
      </c>
      <c r="G263" s="42">
        <f>[34]Tabelle1!$EI$3</f>
        <v>0.36590931296699836</v>
      </c>
      <c r="H263" s="24">
        <f t="shared" si="18"/>
        <v>0.394139546423178</v>
      </c>
      <c r="I263" s="25">
        <f t="shared" si="19"/>
        <v>237314.82345036595</v>
      </c>
    </row>
    <row r="264" spans="1:9" x14ac:dyDescent="0.45">
      <c r="A264" s="16" t="s">
        <v>509</v>
      </c>
      <c r="B264" s="23">
        <f>B260*data_1tier!B53</f>
        <v>438042.56497055589</v>
      </c>
      <c r="C264" s="17" t="s">
        <v>11</v>
      </c>
      <c r="D264" s="17"/>
      <c r="E264" s="17"/>
      <c r="F264" s="41">
        <v>686</v>
      </c>
      <c r="G264" s="42">
        <f>[34]Tabelle1!$GG$3</f>
        <v>8.1359024740241204E-2</v>
      </c>
      <c r="H264" s="24">
        <f t="shared" si="18"/>
        <v>8.7635946864907804E-2</v>
      </c>
      <c r="I264" s="25">
        <f t="shared" si="19"/>
        <v>52766.36015565331</v>
      </c>
    </row>
    <row r="265" spans="1:9" x14ac:dyDescent="0.45">
      <c r="A265" s="16" t="s">
        <v>514</v>
      </c>
      <c r="B265" s="23">
        <f>SUM(B261:B264)</f>
        <v>602108.6328535194</v>
      </c>
      <c r="C265" s="17" t="s">
        <v>11</v>
      </c>
      <c r="D265" s="17"/>
      <c r="E265" s="17"/>
      <c r="F265" s="41">
        <v>704</v>
      </c>
      <c r="G265" s="42">
        <f>[34]Tabelle1!$GN$3</f>
        <v>1.4422459287529419E-2</v>
      </c>
      <c r="H265" s="24">
        <f t="shared" si="18"/>
        <v>1.5535165027095886E-2</v>
      </c>
      <c r="I265" s="25">
        <f t="shared" si="19"/>
        <v>9353.8569756185116</v>
      </c>
    </row>
    <row r="266" spans="1:9" x14ac:dyDescent="0.45">
      <c r="A266" s="16" t="s">
        <v>510</v>
      </c>
      <c r="B266" s="23">
        <f>B257*data_1tier!B13</f>
        <v>21898.499914390224</v>
      </c>
      <c r="C266" s="17" t="s">
        <v>11</v>
      </c>
      <c r="D266" s="17"/>
      <c r="E266" s="17"/>
      <c r="F266" s="41">
        <v>710</v>
      </c>
      <c r="G266" s="42">
        <f>[34]Tabelle1!$GQ$3</f>
        <v>1.876353664952863E-2</v>
      </c>
      <c r="H266" s="24">
        <f t="shared" si="18"/>
        <v>2.0211160422164202E-2</v>
      </c>
      <c r="I266" s="25">
        <f t="shared" si="19"/>
        <v>12169.314170172447</v>
      </c>
    </row>
    <row r="267" spans="1:9" x14ac:dyDescent="0.45">
      <c r="A267" s="16" t="s">
        <v>511</v>
      </c>
      <c r="B267" s="23">
        <f>B258*data_1tier!B21</f>
        <v>88350.900000000009</v>
      </c>
      <c r="C267" s="17" t="s">
        <v>11</v>
      </c>
      <c r="D267" s="17"/>
      <c r="E267" s="17"/>
      <c r="F267" s="41">
        <v>788</v>
      </c>
      <c r="G267" s="42">
        <f>[34]Tabelle1!$HI$3</f>
        <v>3.6697660743204227E-2</v>
      </c>
      <c r="H267" s="24">
        <f t="shared" si="18"/>
        <v>3.9528918361863882E-2</v>
      </c>
      <c r="I267" s="25">
        <f t="shared" si="19"/>
        <v>23800.702993040242</v>
      </c>
    </row>
    <row r="268" spans="1:9" x14ac:dyDescent="0.45">
      <c r="A268" s="16" t="s">
        <v>512</v>
      </c>
      <c r="B268" s="23">
        <f>B259*data_1tier!B56</f>
        <v>617846.2812963929</v>
      </c>
      <c r="C268" s="17" t="s">
        <v>11</v>
      </c>
      <c r="D268" s="17"/>
      <c r="E268" s="17"/>
      <c r="F268" s="41">
        <v>842</v>
      </c>
      <c r="G268" s="42">
        <f>[34]Tabelle1!$HT$3</f>
        <v>5.6814141030575131E-2</v>
      </c>
      <c r="H268" s="24">
        <f t="shared" si="18"/>
        <v>6.119740324355441E-2</v>
      </c>
      <c r="I268" s="25">
        <f t="shared" si="19"/>
        <v>36847.484801162078</v>
      </c>
    </row>
    <row r="269" spans="1:9" x14ac:dyDescent="0.45">
      <c r="A269" s="16" t="s">
        <v>513</v>
      </c>
      <c r="B269" s="23">
        <f>B260*data_1tier!B57</f>
        <v>2317363.936215844</v>
      </c>
      <c r="C269" s="17" t="s">
        <v>11</v>
      </c>
      <c r="D269" s="17"/>
      <c r="E269" s="17"/>
      <c r="F269" s="17" t="s">
        <v>86</v>
      </c>
      <c r="G269" s="42">
        <f>SUM(G257:G268)</f>
        <v>0.92837502932053018</v>
      </c>
      <c r="H269" s="17"/>
      <c r="I269" s="21"/>
    </row>
    <row r="270" spans="1:9" x14ac:dyDescent="0.45">
      <c r="A270" s="44" t="s">
        <v>515</v>
      </c>
      <c r="B270" s="26">
        <f>SUM(B266:B269)</f>
        <v>3045459.6174266273</v>
      </c>
      <c r="C270" s="45" t="s">
        <v>11</v>
      </c>
      <c r="D270" s="45"/>
      <c r="E270" s="45"/>
      <c r="F270" s="45"/>
      <c r="G270" s="45"/>
      <c r="H270" s="45"/>
      <c r="I270" s="28"/>
    </row>
    <row r="271" spans="1:9" x14ac:dyDescent="0.45">
      <c r="A271" s="2"/>
      <c r="B271" s="4"/>
    </row>
    <row r="272" spans="1:9" x14ac:dyDescent="0.45">
      <c r="A272" s="32" t="s">
        <v>744</v>
      </c>
    </row>
    <row r="273" spans="1:9" ht="32" x14ac:dyDescent="0.45">
      <c r="A273" s="14" t="s">
        <v>1</v>
      </c>
      <c r="B273" s="5" t="s">
        <v>2</v>
      </c>
      <c r="C273" s="5" t="s">
        <v>119</v>
      </c>
      <c r="D273" s="5" t="s">
        <v>4</v>
      </c>
      <c r="E273" s="5"/>
      <c r="F273" s="10" t="s">
        <v>268</v>
      </c>
      <c r="G273" s="10" t="s">
        <v>82</v>
      </c>
      <c r="H273" s="10" t="s">
        <v>83</v>
      </c>
      <c r="I273" s="11" t="s">
        <v>84</v>
      </c>
    </row>
    <row r="274" spans="1:9" ht="32" x14ac:dyDescent="0.45">
      <c r="A274" s="16" t="s">
        <v>745</v>
      </c>
      <c r="B274" s="75">
        <f>'[9]Weight%'!$B$142</f>
        <v>3.0000000000000001E-3</v>
      </c>
      <c r="C274" s="17" t="s">
        <v>803</v>
      </c>
      <c r="D274" s="48" t="s">
        <v>191</v>
      </c>
      <c r="E274" s="17"/>
      <c r="F274" s="41">
        <v>156</v>
      </c>
      <c r="G274" s="42">
        <f>[35]Production!$AT$5</f>
        <v>2.3317757629965071E-2</v>
      </c>
      <c r="H274" s="24">
        <f t="shared" ref="H274:H279" si="20">G274/$G$280</f>
        <v>2.3747258093027315E-2</v>
      </c>
      <c r="I274" s="25">
        <f t="shared" ref="I274:I279" si="21">H274*$B$275</f>
        <v>91656.419705957058</v>
      </c>
    </row>
    <row r="275" spans="1:9" ht="32" x14ac:dyDescent="0.45">
      <c r="A275" s="16" t="s">
        <v>746</v>
      </c>
      <c r="B275" s="23">
        <f>B274*data_4tier!B37</f>
        <v>3859663.2649926553</v>
      </c>
      <c r="C275" s="17" t="s">
        <v>11</v>
      </c>
      <c r="D275" s="17"/>
      <c r="E275" s="17"/>
      <c r="F275" s="41">
        <v>233</v>
      </c>
      <c r="G275" s="42">
        <f>[35]Production!$BQ$5</f>
        <v>3.5493002382839887E-2</v>
      </c>
      <c r="H275" s="24">
        <f t="shared" si="20"/>
        <v>3.6146764258266066E-2</v>
      </c>
      <c r="I275" s="25">
        <f t="shared" si="21"/>
        <v>139514.33815597903</v>
      </c>
    </row>
    <row r="276" spans="1:9" x14ac:dyDescent="0.45">
      <c r="A276" s="16" t="s">
        <v>747</v>
      </c>
      <c r="B276" s="23">
        <f>B274*data_4tier!B43</f>
        <v>23811571.71895688</v>
      </c>
      <c r="C276" s="17" t="s">
        <v>11</v>
      </c>
      <c r="D276" s="17"/>
      <c r="E276" s="17"/>
      <c r="F276" s="41">
        <v>392</v>
      </c>
      <c r="G276" s="42">
        <f>[35]Production!$DE$5</f>
        <v>2.1022848792024287E-2</v>
      </c>
      <c r="H276" s="24">
        <f t="shared" si="20"/>
        <v>2.1410078277567038E-2</v>
      </c>
      <c r="I276" s="25">
        <f t="shared" si="21"/>
        <v>82635.692628542718</v>
      </c>
    </row>
    <row r="277" spans="1:9" x14ac:dyDescent="0.45">
      <c r="A277" s="16"/>
      <c r="B277" s="23"/>
      <c r="C277" s="17"/>
      <c r="D277" s="17"/>
      <c r="E277" s="17"/>
      <c r="F277" s="41">
        <v>458</v>
      </c>
      <c r="G277" s="42">
        <f>[35]Production!$DX$5</f>
        <v>2.9333249066076063E-2</v>
      </c>
      <c r="H277" s="24">
        <f t="shared" si="20"/>
        <v>2.9873551622476669E-2</v>
      </c>
      <c r="I277" s="25">
        <f t="shared" si="21"/>
        <v>115301.84979213493</v>
      </c>
    </row>
    <row r="278" spans="1:9" x14ac:dyDescent="0.45">
      <c r="A278" s="16"/>
      <c r="B278" s="23"/>
      <c r="C278" s="17"/>
      <c r="D278" s="17"/>
      <c r="E278" s="17"/>
      <c r="F278" s="41">
        <v>704</v>
      </c>
      <c r="G278" s="42">
        <f>[35]Production!$GN$5</f>
        <v>0.63387525423294122</v>
      </c>
      <c r="H278" s="24">
        <f t="shared" si="20"/>
        <v>0.64555089301164115</v>
      </c>
      <c r="I278" s="25">
        <f t="shared" si="21"/>
        <v>2491609.0674402351</v>
      </c>
    </row>
    <row r="279" spans="1:9" x14ac:dyDescent="0.45">
      <c r="A279" s="16"/>
      <c r="B279" s="23"/>
      <c r="C279" s="17"/>
      <c r="D279" s="17"/>
      <c r="E279" s="17"/>
      <c r="F279" s="41">
        <v>764</v>
      </c>
      <c r="G279" s="42">
        <f>[35]Production!$HC$5</f>
        <v>0.2388715698303068</v>
      </c>
      <c r="H279" s="24">
        <f t="shared" si="20"/>
        <v>0.2432714547370218</v>
      </c>
      <c r="I279" s="25">
        <f t="shared" si="21"/>
        <v>938945.89726980648</v>
      </c>
    </row>
    <row r="280" spans="1:9" x14ac:dyDescent="0.45">
      <c r="A280" s="44"/>
      <c r="B280" s="26"/>
      <c r="C280" s="45"/>
      <c r="D280" s="45"/>
      <c r="E280" s="45"/>
      <c r="F280" s="45" t="s">
        <v>86</v>
      </c>
      <c r="G280" s="56">
        <f>SUM(G274:G279)</f>
        <v>0.98191368193415329</v>
      </c>
      <c r="H280" s="45"/>
      <c r="I280" s="28"/>
    </row>
    <row r="281" spans="1:9" x14ac:dyDescent="0.45">
      <c r="A281" s="2"/>
      <c r="B281" s="4"/>
    </row>
    <row r="282" spans="1:9" x14ac:dyDescent="0.45">
      <c r="A282" s="30" t="s">
        <v>516</v>
      </c>
    </row>
    <row r="283" spans="1:9" ht="32" x14ac:dyDescent="0.45">
      <c r="A283" s="14" t="s">
        <v>1</v>
      </c>
      <c r="B283" s="5" t="s">
        <v>2</v>
      </c>
      <c r="C283" s="5" t="s">
        <v>119</v>
      </c>
      <c r="D283" s="5" t="s">
        <v>4</v>
      </c>
      <c r="E283" s="5"/>
      <c r="F283" s="10" t="s">
        <v>268</v>
      </c>
      <c r="G283" s="10" t="s">
        <v>82</v>
      </c>
      <c r="H283" s="10" t="s">
        <v>83</v>
      </c>
      <c r="I283" s="11" t="s">
        <v>84</v>
      </c>
    </row>
    <row r="284" spans="1:9" x14ac:dyDescent="0.45">
      <c r="A284" s="16" t="s">
        <v>517</v>
      </c>
      <c r="B284" s="109">
        <f>'[9]Weight%'!$B$143*'[9]Weight%'!$B$27</f>
        <v>3.4627905567036654E-2</v>
      </c>
      <c r="C284" s="17" t="s">
        <v>803</v>
      </c>
      <c r="D284" s="66" t="s">
        <v>191</v>
      </c>
      <c r="E284" s="17"/>
      <c r="F284" s="41">
        <v>36</v>
      </c>
      <c r="G284" s="104">
        <f>[36]Production!$L$5</f>
        <v>2.6894398335594771E-2</v>
      </c>
      <c r="H284" s="24">
        <f t="shared" ref="H284:H295" si="22">G284/$G$296</f>
        <v>2.8989570612883476E-2</v>
      </c>
      <c r="I284" s="25">
        <f>H284*$B$300</f>
        <v>13041544.856762297</v>
      </c>
    </row>
    <row r="285" spans="1:9" x14ac:dyDescent="0.45">
      <c r="A285" s="16" t="s">
        <v>518</v>
      </c>
      <c r="B285" s="109">
        <f>'[9]Weight%'!$B$144</f>
        <v>6.9999999999999999E-4</v>
      </c>
      <c r="C285" s="17" t="s">
        <v>803</v>
      </c>
      <c r="D285" s="66"/>
      <c r="E285" s="17"/>
      <c r="F285" s="41">
        <v>76</v>
      </c>
      <c r="G285" s="104">
        <f>[36]Production!$Z$5</f>
        <v>0.11876503288440385</v>
      </c>
      <c r="H285" s="24">
        <f t="shared" si="22"/>
        <v>0.12801726456870047</v>
      </c>
      <c r="I285" s="25">
        <f t="shared" ref="I285:I290" si="23">H285*$B$300</f>
        <v>57591156.509601414</v>
      </c>
    </row>
    <row r="286" spans="1:9" x14ac:dyDescent="0.45">
      <c r="A286" s="16" t="s">
        <v>519</v>
      </c>
      <c r="B286" s="109">
        <f>'[9]Weight%'!$B$145*'[9]Weight%'!$B$52</f>
        <v>2.0574000000000002E-2</v>
      </c>
      <c r="C286" s="17" t="s">
        <v>803</v>
      </c>
      <c r="D286" s="66"/>
      <c r="E286" s="17"/>
      <c r="F286" s="41">
        <v>124</v>
      </c>
      <c r="G286" s="104">
        <f>[36]Production!$AM$5</f>
        <v>1.4586561577749128E-2</v>
      </c>
      <c r="H286" s="24">
        <f t="shared" si="22"/>
        <v>1.5722908227237715E-2</v>
      </c>
      <c r="I286" s="25">
        <f t="shared" si="23"/>
        <v>7073268.3716656836</v>
      </c>
    </row>
    <row r="287" spans="1:9" x14ac:dyDescent="0.45">
      <c r="A287" s="16" t="s">
        <v>520</v>
      </c>
      <c r="B287" s="109">
        <f>'[9]Weight%'!$B$145*'[9]Weight%'!$B$51</f>
        <v>2.9151696606786424E-2</v>
      </c>
      <c r="C287" s="17" t="s">
        <v>803</v>
      </c>
      <c r="D287" s="66"/>
      <c r="E287" s="17"/>
      <c r="F287" s="41">
        <v>156</v>
      </c>
      <c r="G287" s="104">
        <f>[36]Production!$AT$5</f>
        <v>0.37806438274209836</v>
      </c>
      <c r="H287" s="24">
        <f t="shared" si="22"/>
        <v>0.40751698487386467</v>
      </c>
      <c r="I287" s="25">
        <f t="shared" si="23"/>
        <v>183329760.52301735</v>
      </c>
    </row>
    <row r="288" spans="1:9" x14ac:dyDescent="0.45">
      <c r="A288" s="16" t="s">
        <v>521</v>
      </c>
      <c r="B288" s="109">
        <f>'[9]Weight%'!$B$146*('[9]Weight%'!$B$20*'[9]Weight%'!$B$67+'[9]Weight%'!$B$66*'[9]Weight%'!$B$19)</f>
        <v>0.36124873613078468</v>
      </c>
      <c r="C288" s="17" t="s">
        <v>803</v>
      </c>
      <c r="D288" s="66"/>
      <c r="E288" s="17"/>
      <c r="F288" s="41">
        <v>251</v>
      </c>
      <c r="G288" s="104">
        <f>[36]Production!$BW$5</f>
        <v>5.257083344338391E-2</v>
      </c>
      <c r="H288" s="24">
        <f t="shared" si="22"/>
        <v>5.666629419510346E-2</v>
      </c>
      <c r="I288" s="25">
        <f t="shared" si="23"/>
        <v>25492478.915279243</v>
      </c>
    </row>
    <row r="289" spans="1:9" x14ac:dyDescent="0.45">
      <c r="A289" s="16" t="s">
        <v>522</v>
      </c>
      <c r="B289" s="109">
        <f>'[9]Weight%'!$B$147</f>
        <v>0.15</v>
      </c>
      <c r="C289" s="17" t="s">
        <v>803</v>
      </c>
      <c r="D289" s="66"/>
      <c r="E289" s="17"/>
      <c r="F289" s="41">
        <v>276</v>
      </c>
      <c r="G289" s="104">
        <f>[36]Production!$CE$5</f>
        <v>5.4323876618742231E-2</v>
      </c>
      <c r="H289" s="24">
        <f t="shared" si="22"/>
        <v>5.8555905863873277E-2</v>
      </c>
      <c r="I289" s="25">
        <f t="shared" si="23"/>
        <v>26342558.955070212</v>
      </c>
    </row>
    <row r="290" spans="1:9" x14ac:dyDescent="0.45">
      <c r="A290" s="16" t="s">
        <v>523</v>
      </c>
      <c r="B290" s="109">
        <f>'[9]Weight%'!$B$148</f>
        <v>0.4955</v>
      </c>
      <c r="C290" s="17" t="s">
        <v>803</v>
      </c>
      <c r="D290" s="66"/>
      <c r="E290" s="17"/>
      <c r="F290" s="41">
        <v>352</v>
      </c>
      <c r="G290" s="104">
        <f>[36]Production!$CV$5</f>
        <v>1.2462915862716126E-2</v>
      </c>
      <c r="H290" s="24">
        <f t="shared" si="22"/>
        <v>1.3433822721605966E-2</v>
      </c>
      <c r="I290" s="25">
        <f t="shared" si="23"/>
        <v>6043476.9442137163</v>
      </c>
    </row>
    <row r="291" spans="1:9" x14ac:dyDescent="0.45">
      <c r="A291" s="16" t="s">
        <v>755</v>
      </c>
      <c r="B291" s="109">
        <f>'[9]Weight%'!$B$149</f>
        <v>4.0000000000000001E-3</v>
      </c>
      <c r="C291" s="17" t="s">
        <v>803</v>
      </c>
      <c r="D291" s="66"/>
      <c r="E291" s="17"/>
      <c r="F291" s="41">
        <v>410</v>
      </c>
      <c r="G291" s="104">
        <f>[36]Production!$DJ$5</f>
        <v>1.1698937823172034E-2</v>
      </c>
      <c r="H291" s="24">
        <f t="shared" si="22"/>
        <v>1.2610327990558437E-2</v>
      </c>
      <c r="I291" s="25">
        <f>H291*$B$300</f>
        <v>5673011.1785189714</v>
      </c>
    </row>
    <row r="292" spans="1:9" x14ac:dyDescent="0.45">
      <c r="A292" s="16" t="s">
        <v>524</v>
      </c>
      <c r="B292" s="23">
        <f>B284*data_1tier!B11</f>
        <v>6248605.5595717644</v>
      </c>
      <c r="C292" s="17" t="s">
        <v>11</v>
      </c>
      <c r="D292" s="17"/>
      <c r="E292" s="17"/>
      <c r="F292" s="41">
        <v>458</v>
      </c>
      <c r="G292" s="104">
        <f>[36]Production!$DX$5</f>
        <v>3.7603506886013889E-2</v>
      </c>
      <c r="H292" s="24">
        <f t="shared" si="22"/>
        <v>4.0532957999710607E-2</v>
      </c>
      <c r="I292" s="25">
        <f>H292*$B$300</f>
        <v>18234571.218366493</v>
      </c>
    </row>
    <row r="293" spans="1:9" x14ac:dyDescent="0.45">
      <c r="A293" s="16" t="s">
        <v>525</v>
      </c>
      <c r="B293" s="23">
        <f>B285*data_1tier!B19</f>
        <v>327696.59999999998</v>
      </c>
      <c r="C293" s="17" t="s">
        <v>11</v>
      </c>
      <c r="D293" s="17"/>
      <c r="E293" s="17"/>
      <c r="F293" s="41">
        <v>528</v>
      </c>
      <c r="G293" s="104">
        <f>[36]Production!$EO$5</f>
        <v>5.2987008386638668E-2</v>
      </c>
      <c r="H293" s="24">
        <f t="shared" si="22"/>
        <v>5.7114890692941032E-2</v>
      </c>
      <c r="I293" s="25">
        <f>H293*$B$300</f>
        <v>25694289.125829075</v>
      </c>
    </row>
    <row r="294" spans="1:9" x14ac:dyDescent="0.45">
      <c r="A294" s="16" t="s">
        <v>526</v>
      </c>
      <c r="B294" s="23">
        <f>B286*data_1tier!B52</f>
        <v>67005082.101941399</v>
      </c>
      <c r="C294" s="17" t="s">
        <v>11</v>
      </c>
      <c r="D294" s="17"/>
      <c r="E294" s="17"/>
      <c r="F294" s="41">
        <v>579</v>
      </c>
      <c r="G294" s="104">
        <f>[36]Production!$FB$5</f>
        <v>0.14980886661484616</v>
      </c>
      <c r="H294" s="24">
        <f t="shared" si="22"/>
        <v>0.16147952681355573</v>
      </c>
      <c r="I294" s="25">
        <f>H294*$B$300</f>
        <v>72644832.188436061</v>
      </c>
    </row>
    <row r="295" spans="1:9" x14ac:dyDescent="0.45">
      <c r="A295" s="16" t="s">
        <v>527</v>
      </c>
      <c r="B295" s="23">
        <f>B287*data_1tier!B53</f>
        <v>222525623.0050424</v>
      </c>
      <c r="C295" s="17" t="s">
        <v>11</v>
      </c>
      <c r="D295" s="17"/>
      <c r="E295" s="17"/>
      <c r="F295" s="41">
        <v>842</v>
      </c>
      <c r="G295" s="104">
        <f>[36]Production!$HT$5</f>
        <v>1.7960366975117679E-2</v>
      </c>
      <c r="H295" s="24">
        <f t="shared" si="22"/>
        <v>1.935954543996531E-2</v>
      </c>
      <c r="I295" s="25">
        <f>H295*$B$300</f>
        <v>8709283.198200589</v>
      </c>
    </row>
    <row r="296" spans="1:9" x14ac:dyDescent="0.45">
      <c r="A296" s="16" t="s">
        <v>528</v>
      </c>
      <c r="B296" s="23">
        <f>B288*data_1tier!B86</f>
        <v>2176731.1728871339</v>
      </c>
      <c r="C296" s="17" t="s">
        <v>11</v>
      </c>
      <c r="D296" s="17"/>
      <c r="E296" s="17"/>
      <c r="F296" s="41" t="s">
        <v>86</v>
      </c>
      <c r="G296" s="104">
        <f>SUM(G284:G295)</f>
        <v>0.92772668815047665</v>
      </c>
      <c r="H296" s="17"/>
      <c r="I296" s="21"/>
    </row>
    <row r="297" spans="1:9" x14ac:dyDescent="0.45">
      <c r="A297" s="16" t="s">
        <v>529</v>
      </c>
      <c r="B297" s="23">
        <f>B289*data_3tier!B74</f>
        <v>145593145.30047345</v>
      </c>
      <c r="C297" s="17" t="s">
        <v>11</v>
      </c>
      <c r="D297" s="17"/>
      <c r="E297" s="17"/>
      <c r="F297" s="17"/>
      <c r="G297" s="17"/>
      <c r="H297" s="17"/>
      <c r="I297" s="21"/>
    </row>
    <row r="298" spans="1:9" x14ac:dyDescent="0.45">
      <c r="A298" s="16" t="s">
        <v>530</v>
      </c>
      <c r="B298" s="23">
        <f>B290*data_2tier!B96</f>
        <v>847130.55838797917</v>
      </c>
      <c r="C298" s="17" t="s">
        <v>11</v>
      </c>
      <c r="D298" s="17"/>
      <c r="E298" s="17"/>
      <c r="F298" s="17"/>
      <c r="G298" s="17"/>
      <c r="H298" s="17"/>
      <c r="I298" s="21"/>
    </row>
    <row r="299" spans="1:9" x14ac:dyDescent="0.45">
      <c r="A299" s="16" t="s">
        <v>756</v>
      </c>
      <c r="B299" s="23">
        <f>B291*data_4tier!B37</f>
        <v>5146217.6866568737</v>
      </c>
      <c r="C299" s="17" t="s">
        <v>11</v>
      </c>
      <c r="D299" s="17"/>
      <c r="E299" s="17"/>
      <c r="F299" s="17"/>
      <c r="G299" s="17"/>
      <c r="H299" s="17"/>
      <c r="I299" s="21"/>
    </row>
    <row r="300" spans="1:9" x14ac:dyDescent="0.45">
      <c r="A300" s="16" t="s">
        <v>531</v>
      </c>
      <c r="B300" s="23">
        <f>SUM(B292:B299)</f>
        <v>449870231.98496103</v>
      </c>
      <c r="C300" s="17" t="s">
        <v>11</v>
      </c>
      <c r="D300" s="17"/>
      <c r="E300" s="17"/>
      <c r="F300" s="17"/>
      <c r="G300" s="17"/>
      <c r="H300" s="17"/>
      <c r="I300" s="21"/>
    </row>
    <row r="301" spans="1:9" x14ac:dyDescent="0.45">
      <c r="A301" s="16" t="s">
        <v>532</v>
      </c>
      <c r="B301" s="23">
        <f>B284*data_1tier!B13</f>
        <v>15621513.898929412</v>
      </c>
      <c r="C301" s="17" t="s">
        <v>11</v>
      </c>
      <c r="D301" s="17"/>
      <c r="E301" s="17"/>
      <c r="F301" s="17"/>
      <c r="G301" s="17"/>
      <c r="H301" s="17"/>
      <c r="I301" s="21"/>
    </row>
    <row r="302" spans="1:9" x14ac:dyDescent="0.45">
      <c r="A302" s="16" t="s">
        <v>533</v>
      </c>
      <c r="B302" s="23">
        <f>B285*data_1tier!B21</f>
        <v>1236912.6000000001</v>
      </c>
      <c r="C302" s="17" t="s">
        <v>11</v>
      </c>
      <c r="D302" s="17"/>
      <c r="E302" s="17"/>
      <c r="F302" s="17"/>
      <c r="G302" s="17"/>
      <c r="H302" s="17"/>
      <c r="I302" s="21"/>
    </row>
    <row r="303" spans="1:9" x14ac:dyDescent="0.45">
      <c r="A303" s="16" t="s">
        <v>534</v>
      </c>
      <c r="B303" s="23">
        <f>B286*data_1tier!B56</f>
        <v>313865910.89856762</v>
      </c>
      <c r="C303" s="17" t="s">
        <v>11</v>
      </c>
      <c r="D303" s="17"/>
      <c r="E303" s="17"/>
      <c r="F303" s="17"/>
      <c r="G303" s="17"/>
      <c r="H303" s="17"/>
      <c r="I303" s="21"/>
    </row>
    <row r="304" spans="1:9" x14ac:dyDescent="0.45">
      <c r="A304" s="16" t="s">
        <v>535</v>
      </c>
      <c r="B304" s="23">
        <f>B287*data_1tier!B57</f>
        <v>1177220879.5976489</v>
      </c>
      <c r="C304" s="17" t="s">
        <v>11</v>
      </c>
      <c r="D304" s="17"/>
      <c r="E304" s="17"/>
      <c r="F304" s="17"/>
      <c r="G304" s="17"/>
      <c r="H304" s="17"/>
      <c r="I304" s="21"/>
    </row>
    <row r="305" spans="1:9" x14ac:dyDescent="0.45">
      <c r="A305" s="16" t="s">
        <v>536</v>
      </c>
      <c r="B305" s="23">
        <f>B288*data_1tier!B87</f>
        <v>3428351597.2972341</v>
      </c>
      <c r="C305" s="17" t="s">
        <v>11</v>
      </c>
      <c r="D305" s="17"/>
      <c r="E305" s="17"/>
      <c r="F305" s="17"/>
      <c r="G305" s="17"/>
      <c r="H305" s="17"/>
      <c r="I305" s="21"/>
    </row>
    <row r="306" spans="1:9" x14ac:dyDescent="0.45">
      <c r="A306" s="16" t="s">
        <v>537</v>
      </c>
      <c r="B306" s="23">
        <f>B289*data_3tier!B81</f>
        <v>803192092.10216868</v>
      </c>
      <c r="C306" s="17" t="s">
        <v>11</v>
      </c>
      <c r="D306" s="17"/>
      <c r="E306" s="17"/>
      <c r="F306" s="17"/>
      <c r="G306" s="17"/>
      <c r="H306" s="17"/>
      <c r="I306" s="21"/>
    </row>
    <row r="307" spans="1:9" x14ac:dyDescent="0.45">
      <c r="A307" s="16" t="s">
        <v>538</v>
      </c>
      <c r="B307" s="23">
        <f>B290*data_2tier!B101</f>
        <v>3806585.2837939584</v>
      </c>
      <c r="C307" s="17" t="s">
        <v>11</v>
      </c>
      <c r="D307" s="17"/>
      <c r="E307" s="17"/>
      <c r="F307" s="17"/>
      <c r="G307" s="17"/>
      <c r="H307" s="17"/>
      <c r="I307" s="21"/>
    </row>
    <row r="308" spans="1:9" x14ac:dyDescent="0.45">
      <c r="A308" s="16" t="s">
        <v>757</v>
      </c>
      <c r="B308" s="23">
        <f>B291*data_4tier!B43</f>
        <v>31748762.291942511</v>
      </c>
      <c r="C308" s="17" t="s">
        <v>11</v>
      </c>
      <c r="D308" s="17"/>
      <c r="E308" s="17"/>
      <c r="F308" s="17"/>
      <c r="G308" s="17"/>
      <c r="H308" s="17"/>
      <c r="I308" s="21"/>
    </row>
    <row r="309" spans="1:9" x14ac:dyDescent="0.45">
      <c r="A309" s="44" t="s">
        <v>539</v>
      </c>
      <c r="B309" s="26">
        <f>SUM(B301:B308)</f>
        <v>5775044253.9702854</v>
      </c>
      <c r="C309" s="45" t="s">
        <v>11</v>
      </c>
      <c r="D309" s="45"/>
      <c r="E309" s="45"/>
      <c r="F309" s="45"/>
      <c r="G309" s="45"/>
      <c r="H309" s="45"/>
      <c r="I309" s="28"/>
    </row>
    <row r="311" spans="1:9" x14ac:dyDescent="0.45">
      <c r="A311" s="30" t="s">
        <v>540</v>
      </c>
    </row>
    <row r="312" spans="1:9" ht="32" x14ac:dyDescent="0.45">
      <c r="A312" s="14" t="s">
        <v>1</v>
      </c>
      <c r="B312" s="5" t="s">
        <v>2</v>
      </c>
      <c r="C312" s="5" t="s">
        <v>119</v>
      </c>
      <c r="D312" s="5" t="s">
        <v>4</v>
      </c>
      <c r="E312" s="5"/>
      <c r="F312" s="10" t="s">
        <v>268</v>
      </c>
      <c r="G312" s="10" t="s">
        <v>82</v>
      </c>
      <c r="H312" s="10" t="s">
        <v>83</v>
      </c>
      <c r="I312" s="11" t="s">
        <v>84</v>
      </c>
    </row>
    <row r="313" spans="1:9" ht="32" x14ac:dyDescent="0.45">
      <c r="A313" s="16" t="s">
        <v>541</v>
      </c>
      <c r="B313" s="114">
        <f>('[9]Weight%'!$B$150/('[9]Weight%'!$B$77+'[9]Weight%'!$B$78))*(('[9]Flow amounts'!$H$11+'[9]Flow amounts'!$H$12)/'[9]Flow amounts'!$H$24)+'[9]Weight%'!$B$151*(('[9]Flow amounts'!$H$24-('[9]Flow amounts'!$H$11+'[9]Flow amounts'!$H$12))/'[9]Flow amounts'!$H$24)</f>
        <v>2.6127160050291483E-3</v>
      </c>
      <c r="C313" s="17" t="s">
        <v>803</v>
      </c>
      <c r="D313" s="48" t="s">
        <v>191</v>
      </c>
      <c r="E313" s="17"/>
      <c r="F313" s="41">
        <v>156</v>
      </c>
      <c r="G313" s="104">
        <f>[37]Production!$AT$3</f>
        <v>0.18516566385331315</v>
      </c>
      <c r="H313" s="24">
        <f>G313/$G$324</f>
        <v>0.19133500523024471</v>
      </c>
      <c r="I313" s="25">
        <f>H313*$B$314</f>
        <v>485217.33431362524</v>
      </c>
    </row>
    <row r="314" spans="1:9" x14ac:dyDescent="0.45">
      <c r="A314" s="16" t="s">
        <v>542</v>
      </c>
      <c r="B314" s="23">
        <f>B313*data_3tier!B74</f>
        <v>2535956.9396605422</v>
      </c>
      <c r="C314" s="17" t="s">
        <v>11</v>
      </c>
      <c r="D314" s="17"/>
      <c r="E314" s="17"/>
      <c r="F314" s="41">
        <v>203</v>
      </c>
      <c r="G314" s="104">
        <f>[37]Production!$BG$3</f>
        <v>2.0492074466021856E-2</v>
      </c>
      <c r="H314" s="24">
        <f t="shared" ref="H314:H323" si="24">G314/$G$324</f>
        <v>2.1174828494341828E-2</v>
      </c>
      <c r="I314" s="25">
        <f t="shared" ref="I314:I323" si="25">H314*$B$314</f>
        <v>53698.453266347948</v>
      </c>
    </row>
    <row r="315" spans="1:9" x14ac:dyDescent="0.45">
      <c r="A315" s="16" t="s">
        <v>543</v>
      </c>
      <c r="B315" s="23">
        <f>B313*data_3tier!B81</f>
        <v>13990085.56098788</v>
      </c>
      <c r="C315" s="17" t="s">
        <v>11</v>
      </c>
      <c r="D315" s="17"/>
      <c r="E315" s="17"/>
      <c r="F315" s="41">
        <v>233</v>
      </c>
      <c r="G315" s="104">
        <f>[37]Production!$BQ$3</f>
        <v>2.7291582528458678E-2</v>
      </c>
      <c r="H315" s="24">
        <f t="shared" si="24"/>
        <v>2.8200882264872794E-2</v>
      </c>
      <c r="I315" s="25">
        <f t="shared" si="25"/>
        <v>71516.223084154073</v>
      </c>
    </row>
    <row r="316" spans="1:9" x14ac:dyDescent="0.45">
      <c r="A316" s="15"/>
      <c r="B316" s="17"/>
      <c r="C316" s="17"/>
      <c r="D316" s="17"/>
      <c r="E316" s="17"/>
      <c r="F316" s="41">
        <v>276</v>
      </c>
      <c r="G316" s="104">
        <f>[37]Production!$CE$3</f>
        <v>0.13568441155733835</v>
      </c>
      <c r="H316" s="24">
        <f t="shared" si="24"/>
        <v>0.14020513876456198</v>
      </c>
      <c r="I316" s="25">
        <f t="shared" si="25"/>
        <v>355554.19462606026</v>
      </c>
    </row>
    <row r="317" spans="1:9" x14ac:dyDescent="0.45">
      <c r="A317" s="15"/>
      <c r="B317" s="17"/>
      <c r="C317" s="17"/>
      <c r="D317" s="17"/>
      <c r="E317" s="17"/>
      <c r="F317" s="41">
        <v>360</v>
      </c>
      <c r="G317" s="104">
        <f>[37]Production!$CW$3</f>
        <v>5.3484139424901565E-2</v>
      </c>
      <c r="H317" s="24">
        <f t="shared" si="24"/>
        <v>5.5266121610459545E-2</v>
      </c>
      <c r="I317" s="25">
        <f t="shared" si="25"/>
        <v>140152.50462616835</v>
      </c>
    </row>
    <row r="318" spans="1:9" x14ac:dyDescent="0.45">
      <c r="A318" s="15"/>
      <c r="B318" s="17"/>
      <c r="C318" s="17"/>
      <c r="D318" s="17"/>
      <c r="E318" s="17"/>
      <c r="F318" s="41">
        <v>376</v>
      </c>
      <c r="G318" s="104">
        <f>[37]Production!$DA$3</f>
        <v>1.6769838173229256E-2</v>
      </c>
      <c r="H318" s="24">
        <f t="shared" si="24"/>
        <v>1.7328574897811783E-2</v>
      </c>
      <c r="I318" s="25">
        <f t="shared" si="25"/>
        <v>43944.51976653326</v>
      </c>
    </row>
    <row r="319" spans="1:9" x14ac:dyDescent="0.45">
      <c r="A319" s="15"/>
      <c r="B319" s="17"/>
      <c r="C319" s="17"/>
      <c r="D319" s="17"/>
      <c r="E319" s="17"/>
      <c r="F319" s="41">
        <v>392</v>
      </c>
      <c r="G319" s="104">
        <f>[37]Production!$DE$3</f>
        <v>0.11096356026501349</v>
      </c>
      <c r="H319" s="24">
        <f t="shared" si="24"/>
        <v>0.11466063924514719</v>
      </c>
      <c r="I319" s="25">
        <f t="shared" si="25"/>
        <v>290774.44379964494</v>
      </c>
    </row>
    <row r="320" spans="1:9" x14ac:dyDescent="0.45">
      <c r="A320" s="15"/>
      <c r="B320" s="17"/>
      <c r="C320" s="17"/>
      <c r="D320" s="17"/>
      <c r="E320" s="17"/>
      <c r="F320" s="41">
        <v>398</v>
      </c>
      <c r="G320" s="104">
        <f>[37]Production!$DF$3</f>
        <v>0.10624497547537612</v>
      </c>
      <c r="H320" s="24">
        <f t="shared" si="24"/>
        <v>0.10978484085673844</v>
      </c>
      <c r="I320" s="25">
        <f t="shared" si="25"/>
        <v>278409.62904017407</v>
      </c>
    </row>
    <row r="321" spans="1:9" x14ac:dyDescent="0.45">
      <c r="A321" s="15"/>
      <c r="B321" s="17"/>
      <c r="C321" s="17"/>
      <c r="D321" s="17"/>
      <c r="E321" s="17"/>
      <c r="F321" s="41">
        <v>764</v>
      </c>
      <c r="G321" s="104">
        <f>[37]Production!$HC$3</f>
        <v>0.13527218187391096</v>
      </c>
      <c r="H321" s="24">
        <f t="shared" si="24"/>
        <v>0.13977917443082286</v>
      </c>
      <c r="I321" s="25">
        <f t="shared" si="25"/>
        <v>354473.96741786663</v>
      </c>
    </row>
    <row r="322" spans="1:9" x14ac:dyDescent="0.45">
      <c r="A322" s="15"/>
      <c r="B322" s="17"/>
      <c r="C322" s="17"/>
      <c r="D322" s="17"/>
      <c r="E322" s="17"/>
      <c r="F322" s="41">
        <v>826</v>
      </c>
      <c r="G322" s="104">
        <f>[37]Production!$HR$3</f>
        <v>1.698051644317277E-2</v>
      </c>
      <c r="H322" s="24">
        <f t="shared" si="24"/>
        <v>1.7546272537010566E-2</v>
      </c>
      <c r="I322" s="25">
        <f t="shared" si="25"/>
        <v>44496.591605407135</v>
      </c>
    </row>
    <row r="323" spans="1:9" x14ac:dyDescent="0.45">
      <c r="A323" s="15"/>
      <c r="B323" s="17"/>
      <c r="C323" s="17"/>
      <c r="D323" s="17"/>
      <c r="E323" s="17"/>
      <c r="F323" s="41">
        <v>842</v>
      </c>
      <c r="G323" s="104">
        <f>[37]Production!$HT$3</f>
        <v>0.15940739321007513</v>
      </c>
      <c r="H323" s="24">
        <f t="shared" si="24"/>
        <v>0.16471852166798831</v>
      </c>
      <c r="I323" s="25">
        <f t="shared" si="25"/>
        <v>417719.07811456034</v>
      </c>
    </row>
    <row r="324" spans="1:9" x14ac:dyDescent="0.45">
      <c r="A324" s="51"/>
      <c r="B324" s="45"/>
      <c r="C324" s="45"/>
      <c r="D324" s="45"/>
      <c r="E324" s="45"/>
      <c r="F324" s="45" t="s">
        <v>86</v>
      </c>
      <c r="G324" s="56">
        <f>SUM(G313:G323)</f>
        <v>0.96775633727081134</v>
      </c>
      <c r="H324" s="45"/>
      <c r="I324" s="28"/>
    </row>
    <row r="326" spans="1:9" x14ac:dyDescent="0.45">
      <c r="A326" s="30" t="s">
        <v>544</v>
      </c>
    </row>
    <row r="327" spans="1:9" ht="32" x14ac:dyDescent="0.45">
      <c r="A327" s="14" t="s">
        <v>1</v>
      </c>
      <c r="B327" s="5" t="s">
        <v>2</v>
      </c>
      <c r="C327" s="5" t="s">
        <v>119</v>
      </c>
      <c r="D327" s="5" t="s">
        <v>4</v>
      </c>
      <c r="E327" s="5"/>
      <c r="F327" s="10" t="s">
        <v>268</v>
      </c>
      <c r="G327" s="10" t="s">
        <v>82</v>
      </c>
      <c r="H327" s="10" t="s">
        <v>83</v>
      </c>
      <c r="I327" s="11" t="s">
        <v>84</v>
      </c>
    </row>
    <row r="328" spans="1:9" x14ac:dyDescent="0.45">
      <c r="A328" s="16" t="s">
        <v>545</v>
      </c>
      <c r="B328" s="113">
        <f>'[9]Weight%'!$B$152*'[9]Weight%'!$B$75</f>
        <v>6.7000000000000002E-5</v>
      </c>
      <c r="C328" s="17" t="s">
        <v>803</v>
      </c>
      <c r="D328" s="66" t="s">
        <v>191</v>
      </c>
      <c r="E328" s="17"/>
      <c r="F328" s="41">
        <v>124</v>
      </c>
      <c r="G328" s="42">
        <f>[38]Production!$AM$3</f>
        <v>1.6276315843921314E-2</v>
      </c>
      <c r="H328" s="24">
        <f t="shared" ref="H328:H341" si="26">G328/$G$342</f>
        <v>1.7051994415751899E-2</v>
      </c>
      <c r="I328" s="25">
        <f>H328*$B$340</f>
        <v>229128.61039017426</v>
      </c>
    </row>
    <row r="329" spans="1:9" x14ac:dyDescent="0.45">
      <c r="A329" s="16" t="s">
        <v>550</v>
      </c>
      <c r="B329" s="114">
        <f>'[9]Weight%'!$B$153*'[9]Weight%'!$B$27</f>
        <v>9.7083956395190805E-6</v>
      </c>
      <c r="C329" s="17" t="s">
        <v>803</v>
      </c>
      <c r="D329" s="66"/>
      <c r="E329" s="17"/>
      <c r="F329" s="41">
        <v>156</v>
      </c>
      <c r="G329" s="42">
        <f>[38]Production!$AT$3</f>
        <v>3.9806480509998098E-2</v>
      </c>
      <c r="H329" s="24">
        <f t="shared" si="26"/>
        <v>4.1703533519271627E-2</v>
      </c>
      <c r="I329" s="25">
        <f>H329*$B$340</f>
        <v>560372.73122748779</v>
      </c>
    </row>
    <row r="330" spans="1:9" x14ac:dyDescent="0.45">
      <c r="A330" s="16" t="s">
        <v>551</v>
      </c>
      <c r="B330" s="113">
        <f>'[9]Weight%'!$B$153*'[9]Weight%'!$B$35</f>
        <v>1.0000000000000001E-5</v>
      </c>
      <c r="C330" s="17" t="s">
        <v>803</v>
      </c>
      <c r="D330" s="66"/>
      <c r="E330" s="17"/>
      <c r="F330" s="41">
        <v>203</v>
      </c>
      <c r="G330" s="42">
        <f>[38]Production!$BG$3</f>
        <v>1.7923675794424887E-2</v>
      </c>
      <c r="H330" s="24">
        <f t="shared" si="26"/>
        <v>1.8777862415985579E-2</v>
      </c>
      <c r="I330" s="25">
        <f>H330*$B$340</f>
        <v>252319.19601722067</v>
      </c>
    </row>
    <row r="331" spans="1:9" x14ac:dyDescent="0.45">
      <c r="A331" s="16" t="s">
        <v>552</v>
      </c>
      <c r="B331" s="113">
        <f>'[9]Weight%'!$B$153*'[9]Weight%'!$B$52</f>
        <v>8.1000000000000004E-6</v>
      </c>
      <c r="C331" s="17" t="s">
        <v>803</v>
      </c>
      <c r="D331" s="66"/>
      <c r="E331" s="17"/>
      <c r="F331" s="41">
        <v>233</v>
      </c>
      <c r="G331" s="42">
        <f>[38]Production!$BQ$3</f>
        <v>1.0029917883137469E-2</v>
      </c>
      <c r="H331" s="24">
        <f t="shared" si="26"/>
        <v>1.0507912562877952E-2</v>
      </c>
      <c r="I331" s="25">
        <f>H331*$B$340</f>
        <v>141195.41356461996</v>
      </c>
    </row>
    <row r="332" spans="1:9" x14ac:dyDescent="0.45">
      <c r="A332" s="16" t="s">
        <v>553</v>
      </c>
      <c r="B332" s="113">
        <f>'[9]Weight%'!$B$153*'[9]Weight%'!$B$51</f>
        <v>1.1477045908183632E-5</v>
      </c>
      <c r="C332" s="17" t="s">
        <v>803</v>
      </c>
      <c r="D332" s="66"/>
      <c r="E332" s="17"/>
      <c r="F332" s="41">
        <v>251</v>
      </c>
      <c r="G332" s="42">
        <f>[38]Production!$BW$3</f>
        <v>1.0920505357808152E-2</v>
      </c>
      <c r="H332" s="24">
        <f t="shared" si="26"/>
        <v>1.1440942665663445E-2</v>
      </c>
      <c r="I332" s="25">
        <f>H332*$B$340</f>
        <v>153732.59166186102</v>
      </c>
    </row>
    <row r="333" spans="1:9" x14ac:dyDescent="0.45">
      <c r="A333" s="16" t="s">
        <v>752</v>
      </c>
      <c r="B333" s="113">
        <f>'[9]Weight%'!$B$155</f>
        <v>1.035E-2</v>
      </c>
      <c r="C333" s="17" t="s">
        <v>803</v>
      </c>
      <c r="D333" s="66"/>
      <c r="E333" s="17"/>
      <c r="F333" s="41">
        <v>276</v>
      </c>
      <c r="G333" s="42">
        <f>[38]Production!$CE$3</f>
        <v>2.4860095690994372E-2</v>
      </c>
      <c r="H333" s="24">
        <f t="shared" si="26"/>
        <v>2.6044850503206003E-2</v>
      </c>
      <c r="I333" s="25">
        <f t="shared" ref="I333:I341" si="27">H333*$B$340</f>
        <v>349966.12467259495</v>
      </c>
    </row>
    <row r="334" spans="1:9" x14ac:dyDescent="0.45">
      <c r="A334" s="16" t="s">
        <v>554</v>
      </c>
      <c r="B334" s="23">
        <f>B328*data_3tier!B24</f>
        <v>796.39121442096848</v>
      </c>
      <c r="C334" s="17" t="s">
        <v>11</v>
      </c>
      <c r="D334" s="17"/>
      <c r="E334" s="17"/>
      <c r="F334" s="41">
        <v>381</v>
      </c>
      <c r="G334" s="42">
        <f>[38]Production!$DB$3</f>
        <v>1.8216233794123241E-2</v>
      </c>
      <c r="H334" s="24">
        <f t="shared" si="26"/>
        <v>1.9084362819699666E-2</v>
      </c>
      <c r="I334" s="25">
        <f t="shared" si="27"/>
        <v>256437.65922303565</v>
      </c>
    </row>
    <row r="335" spans="1:9" x14ac:dyDescent="0.45">
      <c r="A335" s="16" t="s">
        <v>546</v>
      </c>
      <c r="B335" s="23">
        <f>B329*data_1tier!B11</f>
        <v>1751.8799931512181</v>
      </c>
      <c r="C335" s="17" t="s">
        <v>11</v>
      </c>
      <c r="D335" s="17"/>
      <c r="E335" s="17"/>
      <c r="F335" s="41">
        <v>392</v>
      </c>
      <c r="G335" s="42">
        <f>[38]Production!$DE$3</f>
        <v>0.31556314953533604</v>
      </c>
      <c r="H335" s="24">
        <f t="shared" si="26"/>
        <v>0.33060190741526169</v>
      </c>
      <c r="I335" s="25">
        <f t="shared" si="27"/>
        <v>4442316.46993885</v>
      </c>
    </row>
    <row r="336" spans="1:9" x14ac:dyDescent="0.45">
      <c r="A336" s="16" t="s">
        <v>547</v>
      </c>
      <c r="B336" s="23">
        <f>B330*data_1tier!B19</f>
        <v>4681.38</v>
      </c>
      <c r="C336" s="17" t="s">
        <v>11</v>
      </c>
      <c r="D336" s="17"/>
      <c r="E336" s="17"/>
      <c r="F336" s="41">
        <v>398</v>
      </c>
      <c r="G336" s="42">
        <f>[38]Production!$DF$3</f>
        <v>0.18381546258138523</v>
      </c>
      <c r="H336" s="24">
        <f t="shared" si="26"/>
        <v>0.19257553561405233</v>
      </c>
      <c r="I336" s="25">
        <f t="shared" si="27"/>
        <v>2587648.3298417544</v>
      </c>
    </row>
    <row r="337" spans="1:9" x14ac:dyDescent="0.45">
      <c r="A337" s="16" t="s">
        <v>548</v>
      </c>
      <c r="B337" s="23">
        <f>B331*data_1tier!B52</f>
        <v>26379.953583441496</v>
      </c>
      <c r="C337" s="17" t="s">
        <v>11</v>
      </c>
      <c r="D337" s="17"/>
      <c r="E337" s="17"/>
      <c r="F337" s="41">
        <v>528</v>
      </c>
      <c r="G337" s="42">
        <f>[38]Production!$EO$3</f>
        <v>1.2302661046379639E-2</v>
      </c>
      <c r="H337" s="24">
        <f t="shared" si="26"/>
        <v>1.2888967593984236E-2</v>
      </c>
      <c r="I337" s="25">
        <f t="shared" si="27"/>
        <v>173189.78426626316</v>
      </c>
    </row>
    <row r="338" spans="1:9" x14ac:dyDescent="0.45">
      <c r="A338" s="16" t="s">
        <v>549</v>
      </c>
      <c r="B338" s="23">
        <f>B332*data_1tier!B53</f>
        <v>87608.512994111181</v>
      </c>
      <c r="C338" s="17" t="s">
        <v>11</v>
      </c>
      <c r="D338" s="17"/>
      <c r="E338" s="17"/>
      <c r="F338" s="41">
        <v>643</v>
      </c>
      <c r="G338" s="42">
        <f>[38]Production!$FU$3</f>
        <v>0.13297065730161442</v>
      </c>
      <c r="H338" s="24">
        <f t="shared" si="26"/>
        <v>0.13930762511055569</v>
      </c>
      <c r="I338" s="25">
        <f t="shared" si="27"/>
        <v>1871884.4130544188</v>
      </c>
    </row>
    <row r="339" spans="1:9" x14ac:dyDescent="0.45">
      <c r="A339" s="16" t="s">
        <v>753</v>
      </c>
      <c r="B339" s="23">
        <f>B333*data_4tier!B37</f>
        <v>13315838.26422466</v>
      </c>
      <c r="C339" s="17" t="s">
        <v>11</v>
      </c>
      <c r="D339" s="17"/>
      <c r="E339" s="17"/>
      <c r="F339" s="41">
        <v>804</v>
      </c>
      <c r="G339" s="42">
        <f>[38]Production!$HO$3</f>
        <v>6.9633498440323266E-2</v>
      </c>
      <c r="H339" s="24">
        <f t="shared" si="26"/>
        <v>7.2952014321908926E-2</v>
      </c>
      <c r="I339" s="25">
        <f t="shared" si="27"/>
        <v>980260.32962467545</v>
      </c>
    </row>
    <row r="340" spans="1:9" x14ac:dyDescent="0.45">
      <c r="A340" s="16" t="s">
        <v>560</v>
      </c>
      <c r="B340" s="23">
        <f>SUM(B334:B339)</f>
        <v>13437056.382009784</v>
      </c>
      <c r="C340" s="17" t="s">
        <v>11</v>
      </c>
      <c r="D340" s="17"/>
      <c r="E340" s="17"/>
      <c r="F340" s="41">
        <v>826</v>
      </c>
      <c r="G340" s="42">
        <f>[38]Production!$HR$3</f>
        <v>1.990441745028633E-2</v>
      </c>
      <c r="H340" s="24">
        <f t="shared" si="26"/>
        <v>2.0853000056387822E-2</v>
      </c>
      <c r="I340" s="25">
        <f t="shared" si="27"/>
        <v>280202.93749173637</v>
      </c>
    </row>
    <row r="341" spans="1:9" x14ac:dyDescent="0.45">
      <c r="A341" s="16" t="s">
        <v>555</v>
      </c>
      <c r="B341" s="23">
        <f>B328*data_3tier!B25</f>
        <v>1990.9780360524212</v>
      </c>
      <c r="C341" s="17" t="s">
        <v>11</v>
      </c>
      <c r="D341" s="17"/>
      <c r="E341" s="17"/>
      <c r="F341" s="41">
        <v>842</v>
      </c>
      <c r="G341" s="42">
        <f>[38]Production!$HT$3</f>
        <v>8.228790543854235E-2</v>
      </c>
      <c r="H341" s="24">
        <f t="shared" si="26"/>
        <v>8.6209490985393045E-2</v>
      </c>
      <c r="I341" s="25">
        <f t="shared" si="27"/>
        <v>1158401.7910350906</v>
      </c>
    </row>
    <row r="342" spans="1:9" x14ac:dyDescent="0.45">
      <c r="A342" s="16" t="s">
        <v>556</v>
      </c>
      <c r="B342" s="23">
        <f>B329*data_1tier!B13</f>
        <v>4379.6999828780454</v>
      </c>
      <c r="C342" s="17" t="s">
        <v>11</v>
      </c>
      <c r="D342" s="17"/>
      <c r="E342" s="17"/>
      <c r="F342" s="17" t="s">
        <v>86</v>
      </c>
      <c r="G342" s="42">
        <f>SUM(G328:G341)</f>
        <v>0.95451097666827489</v>
      </c>
      <c r="H342" s="17"/>
      <c r="I342" s="21"/>
    </row>
    <row r="343" spans="1:9" x14ac:dyDescent="0.45">
      <c r="A343" s="16" t="s">
        <v>557</v>
      </c>
      <c r="B343" s="23">
        <f>B330*data_1tier!B21</f>
        <v>17670.18</v>
      </c>
      <c r="C343" s="17" t="s">
        <v>11</v>
      </c>
      <c r="D343" s="17"/>
      <c r="E343" s="17"/>
      <c r="F343" s="17"/>
      <c r="G343" s="17"/>
      <c r="H343" s="17"/>
      <c r="I343" s="21"/>
    </row>
    <row r="344" spans="1:9" x14ac:dyDescent="0.45">
      <c r="A344" s="16" t="s">
        <v>558</v>
      </c>
      <c r="B344" s="23">
        <f>B331*data_1tier!B56</f>
        <v>123569.2562592786</v>
      </c>
      <c r="C344" s="17" t="s">
        <v>11</v>
      </c>
      <c r="D344" s="17"/>
      <c r="E344" s="17"/>
      <c r="F344" s="17"/>
      <c r="G344" s="17"/>
      <c r="H344" s="17"/>
      <c r="I344" s="21"/>
    </row>
    <row r="345" spans="1:9" x14ac:dyDescent="0.45">
      <c r="A345" s="16" t="s">
        <v>559</v>
      </c>
      <c r="B345" s="23">
        <f>B332*data_1tier!B57</f>
        <v>463472.78724316886</v>
      </c>
      <c r="C345" s="17" t="s">
        <v>11</v>
      </c>
      <c r="D345" s="17"/>
      <c r="E345" s="17"/>
      <c r="F345" s="17"/>
      <c r="G345" s="17"/>
      <c r="H345" s="17"/>
      <c r="I345" s="21"/>
    </row>
    <row r="346" spans="1:9" x14ac:dyDescent="0.45">
      <c r="A346" s="16" t="s">
        <v>754</v>
      </c>
      <c r="B346" s="23">
        <f>B333*data_4tier!B43</f>
        <v>82149922.430401236</v>
      </c>
      <c r="C346" s="17" t="s">
        <v>11</v>
      </c>
      <c r="D346" s="17"/>
      <c r="E346" s="17"/>
      <c r="F346" s="17"/>
      <c r="G346" s="17"/>
      <c r="H346" s="17"/>
      <c r="I346" s="21"/>
    </row>
    <row r="347" spans="1:9" x14ac:dyDescent="0.45">
      <c r="A347" s="44" t="s">
        <v>561</v>
      </c>
      <c r="B347" s="26">
        <f>SUM(B341:B346)</f>
        <v>82761005.331922621</v>
      </c>
      <c r="C347" s="45" t="s">
        <v>11</v>
      </c>
      <c r="D347" s="45"/>
      <c r="E347" s="45"/>
      <c r="F347" s="45"/>
      <c r="G347" s="45"/>
      <c r="H347" s="45"/>
      <c r="I347" s="28"/>
    </row>
    <row r="349" spans="1:9" x14ac:dyDescent="0.45">
      <c r="A349" s="30" t="s">
        <v>562</v>
      </c>
    </row>
    <row r="350" spans="1:9" ht="32" x14ac:dyDescent="0.45">
      <c r="A350" s="14" t="s">
        <v>1</v>
      </c>
      <c r="B350" s="5" t="s">
        <v>2</v>
      </c>
      <c r="C350" s="5" t="s">
        <v>119</v>
      </c>
      <c r="D350" s="5" t="s">
        <v>4</v>
      </c>
      <c r="E350" s="5"/>
      <c r="F350" s="10" t="s">
        <v>268</v>
      </c>
      <c r="G350" s="10" t="s">
        <v>82</v>
      </c>
      <c r="H350" s="10" t="s">
        <v>83</v>
      </c>
      <c r="I350" s="11" t="s">
        <v>84</v>
      </c>
    </row>
    <row r="351" spans="1:9" x14ac:dyDescent="0.45">
      <c r="A351" s="16" t="s">
        <v>563</v>
      </c>
      <c r="B351" s="113">
        <f>'[9]Weight%'!$B$156*'[9]Weight%'!$B$75</f>
        <v>1.34E-5</v>
      </c>
      <c r="C351" s="17" t="s">
        <v>803</v>
      </c>
      <c r="D351" s="66" t="s">
        <v>191</v>
      </c>
      <c r="E351" s="17"/>
      <c r="F351" s="41">
        <v>76</v>
      </c>
      <c r="G351" s="42">
        <f>[39]Production!$Z$3</f>
        <v>7.5961126435226206E-2</v>
      </c>
      <c r="H351" s="24">
        <f>G351/$G$360</f>
        <v>7.9914537806475006E-2</v>
      </c>
      <c r="I351" s="25">
        <f>H351*$B$355</f>
        <v>339266.9767873683</v>
      </c>
    </row>
    <row r="352" spans="1:9" x14ac:dyDescent="0.45">
      <c r="A352" s="16" t="s">
        <v>564</v>
      </c>
      <c r="B352" s="113">
        <f>'[9]Weight%'!$B$157*'[9]Weight%'!$B$71</f>
        <v>5.1800000000000006E-2</v>
      </c>
      <c r="C352" s="17" t="s">
        <v>803</v>
      </c>
      <c r="D352" s="66"/>
      <c r="E352" s="17"/>
      <c r="F352" s="41">
        <v>156</v>
      </c>
      <c r="G352" s="42">
        <f>[39]Production!$AT$3</f>
        <v>2.3853510610089921E-2</v>
      </c>
      <c r="H352" s="24">
        <f t="shared" ref="H352:H359" si="28">G352/$G$360</f>
        <v>2.5094971137542044E-2</v>
      </c>
      <c r="I352" s="25">
        <f t="shared" ref="I352:I359" si="29">H352*$B$355</f>
        <v>106537.49898445042</v>
      </c>
    </row>
    <row r="353" spans="1:9" x14ac:dyDescent="0.45">
      <c r="A353" s="16" t="s">
        <v>565</v>
      </c>
      <c r="B353" s="23">
        <f>B351*data_3tier!B24</f>
        <v>159.2782428841937</v>
      </c>
      <c r="C353" s="17" t="s">
        <v>11</v>
      </c>
      <c r="D353" s="17"/>
      <c r="E353" s="17"/>
      <c r="F353" s="41">
        <v>233</v>
      </c>
      <c r="G353" s="42">
        <f>[39]Production!$BQ$3</f>
        <v>1.4460214383637118E-2</v>
      </c>
      <c r="H353" s="24">
        <f t="shared" si="28"/>
        <v>1.5212799010244967E-2</v>
      </c>
      <c r="I353" s="25">
        <f t="shared" si="29"/>
        <v>64583.997734908968</v>
      </c>
    </row>
    <row r="354" spans="1:9" x14ac:dyDescent="0.45">
      <c r="A354" s="16" t="s">
        <v>566</v>
      </c>
      <c r="B354" s="23">
        <f>B352*data_3tier!B7</f>
        <v>4245213.1671181088</v>
      </c>
      <c r="C354" s="17" t="s">
        <v>11</v>
      </c>
      <c r="D354" s="17"/>
      <c r="E354" s="17"/>
      <c r="F354" s="41">
        <v>276</v>
      </c>
      <c r="G354" s="42">
        <f>[39]Production!$CE$3</f>
        <v>3.2716942446720486E-2</v>
      </c>
      <c r="H354" s="24">
        <f t="shared" si="28"/>
        <v>3.4419701981383936E-2</v>
      </c>
      <c r="I354" s="25">
        <f t="shared" si="29"/>
        <v>146124.45436930453</v>
      </c>
    </row>
    <row r="355" spans="1:9" x14ac:dyDescent="0.45">
      <c r="A355" s="16" t="s">
        <v>569</v>
      </c>
      <c r="B355" s="23">
        <f>SUM(B353:B354)</f>
        <v>4245372.445360993</v>
      </c>
      <c r="C355" s="17" t="s">
        <v>11</v>
      </c>
      <c r="D355" s="17"/>
      <c r="E355" s="17"/>
      <c r="F355" s="41">
        <v>372</v>
      </c>
      <c r="G355" s="42">
        <f>[39]Production!$CZ$3</f>
        <v>0.70424021027043249</v>
      </c>
      <c r="H355" s="24">
        <f t="shared" si="28"/>
        <v>0.74089252687013274</v>
      </c>
      <c r="I355" s="25">
        <f t="shared" si="29"/>
        <v>3145364.7185483407</v>
      </c>
    </row>
    <row r="356" spans="1:9" x14ac:dyDescent="0.45">
      <c r="A356" s="16" t="s">
        <v>567</v>
      </c>
      <c r="B356" s="23">
        <f>B351*data_3tier!B25</f>
        <v>398.19560721048424</v>
      </c>
      <c r="C356" s="17" t="s">
        <v>11</v>
      </c>
      <c r="D356" s="17"/>
      <c r="E356" s="17"/>
      <c r="F356" s="41">
        <v>410</v>
      </c>
      <c r="G356" s="42">
        <f>[39]Production!$DJ$3</f>
        <v>1.2033195399150782E-2</v>
      </c>
      <c r="H356" s="24">
        <f t="shared" si="28"/>
        <v>1.2659465357956978E-2</v>
      </c>
      <c r="I356" s="25">
        <f t="shared" si="29"/>
        <v>53744.145403672599</v>
      </c>
    </row>
    <row r="357" spans="1:9" x14ac:dyDescent="0.45">
      <c r="A357" s="16" t="s">
        <v>568</v>
      </c>
      <c r="B357" s="23">
        <f>B352*data_3tier!B8</f>
        <v>14940105.513795273</v>
      </c>
      <c r="C357" s="17" t="s">
        <v>11</v>
      </c>
      <c r="D357" s="17"/>
      <c r="E357" s="17"/>
      <c r="F357" s="41">
        <v>608</v>
      </c>
      <c r="G357" s="42">
        <f>[39]Production!$FM$3</f>
        <v>3.3292820142774966E-2</v>
      </c>
      <c r="H357" s="24">
        <f t="shared" si="28"/>
        <v>3.5025551342405384E-2</v>
      </c>
      <c r="I357" s="25">
        <f t="shared" si="29"/>
        <v>148696.51055262456</v>
      </c>
    </row>
    <row r="358" spans="1:9" x14ac:dyDescent="0.45">
      <c r="A358" s="16" t="s">
        <v>570</v>
      </c>
      <c r="B358" s="23">
        <f>SUM(B356:B357)</f>
        <v>14940503.709402483</v>
      </c>
      <c r="C358" s="17" t="s">
        <v>11</v>
      </c>
      <c r="D358" s="17"/>
      <c r="E358" s="17"/>
      <c r="F358" s="41">
        <v>643</v>
      </c>
      <c r="G358" s="42">
        <f>[39]Production!$FU$3</f>
        <v>3.9605539510650448E-2</v>
      </c>
      <c r="H358" s="24">
        <f t="shared" si="28"/>
        <v>4.1666817398615497E-2</v>
      </c>
      <c r="I358" s="25">
        <f t="shared" si="29"/>
        <v>176891.15846997025</v>
      </c>
    </row>
    <row r="359" spans="1:9" x14ac:dyDescent="0.45">
      <c r="A359" s="15"/>
      <c r="B359" s="17"/>
      <c r="C359" s="17"/>
      <c r="D359" s="17"/>
      <c r="E359" s="17"/>
      <c r="F359" s="41">
        <v>842</v>
      </c>
      <c r="G359" s="42">
        <f>[39]Production!$HT$3</f>
        <v>1.4365950452958427E-2</v>
      </c>
      <c r="H359" s="24">
        <f t="shared" si="28"/>
        <v>1.5113629095243341E-2</v>
      </c>
      <c r="I359" s="25">
        <f t="shared" si="29"/>
        <v>64162.984510352275</v>
      </c>
    </row>
    <row r="360" spans="1:9" x14ac:dyDescent="0.45">
      <c r="A360" s="51"/>
      <c r="B360" s="45"/>
      <c r="C360" s="45"/>
      <c r="D360" s="45"/>
      <c r="E360" s="45"/>
      <c r="F360" s="45" t="s">
        <v>86</v>
      </c>
      <c r="G360" s="56">
        <f>SUM(G351:G359)</f>
        <v>0.95052950965164096</v>
      </c>
      <c r="H360" s="45"/>
      <c r="I360" s="28"/>
    </row>
    <row r="362" spans="1:9" x14ac:dyDescent="0.45">
      <c r="A362" s="30" t="s">
        <v>571</v>
      </c>
    </row>
    <row r="363" spans="1:9" ht="32" x14ac:dyDescent="0.45">
      <c r="A363" s="14" t="s">
        <v>1</v>
      </c>
      <c r="B363" s="5" t="s">
        <v>2</v>
      </c>
      <c r="C363" s="5" t="s">
        <v>119</v>
      </c>
      <c r="D363" s="5" t="s">
        <v>4</v>
      </c>
      <c r="E363" s="5"/>
      <c r="F363" s="10" t="s">
        <v>268</v>
      </c>
      <c r="G363" s="10" t="s">
        <v>82</v>
      </c>
      <c r="H363" s="10" t="s">
        <v>83</v>
      </c>
      <c r="I363" s="11" t="s">
        <v>84</v>
      </c>
    </row>
    <row r="364" spans="1:9" x14ac:dyDescent="0.45">
      <c r="A364" s="16" t="s">
        <v>572</v>
      </c>
      <c r="B364" s="109">
        <f>'[9]Weight%'!$B$8*'[9]Weight%'!$B$158/('[9]Weight%'!$B$30+'[9]Weight%'!$B$26)</f>
        <v>6.0920344942982764E-3</v>
      </c>
      <c r="C364" s="17" t="s">
        <v>803</v>
      </c>
      <c r="D364" s="66" t="s">
        <v>191</v>
      </c>
      <c r="E364" s="17"/>
      <c r="F364" s="41">
        <v>40</v>
      </c>
      <c r="G364" s="42">
        <f>[40]Tungsten_powder!$M$3</f>
        <v>7.4200071713727167E-2</v>
      </c>
      <c r="H364" s="24">
        <f>G364/$G$376</f>
        <v>8.0906175003381833E-2</v>
      </c>
      <c r="I364" s="25">
        <f>H364*$B$368</f>
        <v>2927267.8384377738</v>
      </c>
    </row>
    <row r="365" spans="1:9" x14ac:dyDescent="0.45">
      <c r="A365" s="16" t="s">
        <v>573</v>
      </c>
      <c r="B365" s="108">
        <f>'[9]Weight%'!$B$159*'[9]Weight%'!$B$8/'[9]Weight%'!$B$28+'[9]Weight%'!$B$9*'[9]Weight%'!$B$161/'[9]Weight%'!$B$28+'[9]Weight%'!$B$162/('[9]Weight%'!$B$77+'[9]Weight%'!$B$78*('[9]Weight%'!$B$41+'[9]Weight%'!$B$39))+'[9]Weight%'!$B$163/'[9]Weight%'!$B$79+'[9]Weight%'!$B$164*'[9]Weight%'!$B$13/'[9]Weight%'!$B$59+'[9]Weight%'!$B$14*'[9]Weight%'!$B$165/'[9]Weight%'!$B$59+'[9]Weight%'!$B$16*'[9]Weight%'!$B$166/'[9]Weight%'!$B$58+'[9]Weight%'!$B$17*'[9]Weight%'!$B$165/'[9]Weight%'!$B$58</f>
        <v>3.6711906988647409E-2</v>
      </c>
      <c r="C365" s="17" t="s">
        <v>803</v>
      </c>
      <c r="D365" s="66"/>
      <c r="E365" s="17"/>
      <c r="F365" s="41">
        <v>124</v>
      </c>
      <c r="G365" s="42">
        <f>[40]Tungsten_powder!$AM$3</f>
        <v>3.7834763904555389E-2</v>
      </c>
      <c r="H365" s="24">
        <f t="shared" ref="H365:H375" si="30">G365/$G$376</f>
        <v>4.1254219288137009E-2</v>
      </c>
      <c r="I365" s="25">
        <f t="shared" ref="I365:I375" si="31">H365*$B$368</f>
        <v>1492619.6834416525</v>
      </c>
    </row>
    <row r="366" spans="1:9" x14ac:dyDescent="0.45">
      <c r="A366" s="16" t="s">
        <v>576</v>
      </c>
      <c r="B366" s="23">
        <f>B364*data_2tier!B106</f>
        <v>547672.07207207207</v>
      </c>
      <c r="C366" s="17" t="s">
        <v>11</v>
      </c>
      <c r="D366" s="17"/>
      <c r="E366" s="17"/>
      <c r="F366" s="41">
        <v>156</v>
      </c>
      <c r="G366" s="42">
        <f>[40]Tungsten_powder!$AT$3</f>
        <v>0.38142074217172345</v>
      </c>
      <c r="H366" s="24">
        <f t="shared" si="30"/>
        <v>0.41589303895990987</v>
      </c>
      <c r="I366" s="25">
        <f t="shared" si="31"/>
        <v>15047433.859363692</v>
      </c>
    </row>
    <row r="367" spans="1:9" x14ac:dyDescent="0.45">
      <c r="A367" s="16" t="s">
        <v>577</v>
      </c>
      <c r="B367" s="23">
        <f>B365*data_3tier!B74</f>
        <v>35633346.723037392</v>
      </c>
      <c r="C367" s="17" t="s">
        <v>11</v>
      </c>
      <c r="D367" s="17"/>
      <c r="E367" s="17"/>
      <c r="F367" s="41">
        <v>203</v>
      </c>
      <c r="G367" s="42">
        <f>[40]Tungsten_powder!$BG$3</f>
        <v>9.4831056662122479E-2</v>
      </c>
      <c r="H367" s="24">
        <f t="shared" si="30"/>
        <v>0.10340176079158542</v>
      </c>
      <c r="I367" s="25">
        <f t="shared" si="31"/>
        <v>3741181.0506477649</v>
      </c>
    </row>
    <row r="368" spans="1:9" x14ac:dyDescent="0.45">
      <c r="A368" s="16" t="s">
        <v>578</v>
      </c>
      <c r="B368" s="23">
        <f>SUM(B366:B367)</f>
        <v>36181018.795109466</v>
      </c>
      <c r="C368" s="17" t="s">
        <v>11</v>
      </c>
      <c r="D368" s="17"/>
      <c r="E368" s="17"/>
      <c r="F368" s="41">
        <v>276</v>
      </c>
      <c r="G368" s="42">
        <f>[40]Tungsten_powder!$CE$3</f>
        <v>3.4658730231344304E-2</v>
      </c>
      <c r="H368" s="24">
        <f t="shared" si="30"/>
        <v>3.7791139937313263E-2</v>
      </c>
      <c r="I368" s="25">
        <f t="shared" si="31"/>
        <v>1367321.944360543</v>
      </c>
    </row>
    <row r="369" spans="1:9" x14ac:dyDescent="0.45">
      <c r="A369" s="16" t="s">
        <v>574</v>
      </c>
      <c r="B369" s="23">
        <f>B364*data_2tier!B107</f>
        <v>1369180.1801801801</v>
      </c>
      <c r="C369" s="17" t="s">
        <v>11</v>
      </c>
      <c r="D369" s="17"/>
      <c r="E369" s="17"/>
      <c r="F369" s="41">
        <v>344</v>
      </c>
      <c r="G369" s="42">
        <f>[40]Tungsten_powder!$CT$3</f>
        <v>9.1190474012051909E-2</v>
      </c>
      <c r="H369" s="24">
        <f t="shared" si="30"/>
        <v>9.9432147148390063E-2</v>
      </c>
      <c r="I369" s="25">
        <f t="shared" si="31"/>
        <v>3597556.3848139909</v>
      </c>
    </row>
    <row r="370" spans="1:9" x14ac:dyDescent="0.45">
      <c r="A370" s="16" t="s">
        <v>575</v>
      </c>
      <c r="B370" s="23">
        <f>B365*data_3tier!B81</f>
        <v>196578089.19514629</v>
      </c>
      <c r="C370" s="17" t="s">
        <v>11</v>
      </c>
      <c r="D370" s="17"/>
      <c r="E370" s="17"/>
      <c r="F370" s="41">
        <v>376</v>
      </c>
      <c r="G370" s="42">
        <f>[40]Tungsten_powder!$DA$3</f>
        <v>4.1553551986134765E-2</v>
      </c>
      <c r="H370" s="24">
        <f t="shared" si="30"/>
        <v>4.5309106465194676E-2</v>
      </c>
      <c r="I370" s="25">
        <f t="shared" si="31"/>
        <v>1639329.6326068244</v>
      </c>
    </row>
    <row r="371" spans="1:9" x14ac:dyDescent="0.45">
      <c r="A371" s="16" t="s">
        <v>579</v>
      </c>
      <c r="B371" s="23">
        <f>SUM(B369:B370)</f>
        <v>197947269.37532648</v>
      </c>
      <c r="C371" s="17" t="s">
        <v>11</v>
      </c>
      <c r="D371" s="17"/>
      <c r="E371" s="17"/>
      <c r="F371" s="41">
        <v>392</v>
      </c>
      <c r="G371" s="42">
        <f>[40]Tungsten_powder!$DE$3</f>
        <v>1.7045734274935442E-2</v>
      </c>
      <c r="H371" s="24">
        <f t="shared" si="30"/>
        <v>1.8586304951696341E-2</v>
      </c>
      <c r="I371" s="25">
        <f t="shared" si="31"/>
        <v>672471.4487889614</v>
      </c>
    </row>
    <row r="372" spans="1:9" x14ac:dyDescent="0.45">
      <c r="A372" s="15"/>
      <c r="B372" s="17"/>
      <c r="C372" s="17"/>
      <c r="D372" s="17"/>
      <c r="E372" s="17"/>
      <c r="F372" s="41">
        <v>410</v>
      </c>
      <c r="G372" s="42">
        <f>[40]Tungsten_powder!$DJ$3</f>
        <v>4.5366121232796437E-2</v>
      </c>
      <c r="H372" s="24">
        <f t="shared" si="30"/>
        <v>4.9466250623666629E-2</v>
      </c>
      <c r="I372" s="25">
        <f t="shared" si="31"/>
        <v>1789739.3435384776</v>
      </c>
    </row>
    <row r="373" spans="1:9" x14ac:dyDescent="0.45">
      <c r="A373" s="15"/>
      <c r="B373" s="17"/>
      <c r="C373" s="17"/>
      <c r="D373" s="17"/>
      <c r="E373" s="17"/>
      <c r="F373" s="41">
        <v>528</v>
      </c>
      <c r="G373" s="42">
        <f>[40]Tungsten_powder!$EO$3</f>
        <v>3.620464901881592E-2</v>
      </c>
      <c r="H373" s="24">
        <f t="shared" si="30"/>
        <v>3.9476776798187826E-2</v>
      </c>
      <c r="I373" s="25">
        <f t="shared" si="31"/>
        <v>1428310.0033055751</v>
      </c>
    </row>
    <row r="374" spans="1:9" x14ac:dyDescent="0.45">
      <c r="A374" s="15"/>
      <c r="B374" s="17"/>
      <c r="C374" s="17"/>
      <c r="D374" s="17"/>
      <c r="E374" s="17"/>
      <c r="F374" s="41">
        <v>616</v>
      </c>
      <c r="G374" s="42">
        <f>[40]Tungsten_powder!$FO$3</f>
        <v>1.3254840349820085E-2</v>
      </c>
      <c r="H374" s="24">
        <f t="shared" si="30"/>
        <v>1.4452795101356145E-2</v>
      </c>
      <c r="I374" s="25">
        <f t="shared" si="31"/>
        <v>522916.85120403272</v>
      </c>
    </row>
    <row r="375" spans="1:9" x14ac:dyDescent="0.45">
      <c r="A375" s="15"/>
      <c r="B375" s="17"/>
      <c r="C375" s="17"/>
      <c r="D375" s="17"/>
      <c r="E375" s="17"/>
      <c r="F375" s="41">
        <v>842</v>
      </c>
      <c r="G375" s="42">
        <f>[40]Tungsten_powder!$HT$3</f>
        <v>4.9551854557938896E-2</v>
      </c>
      <c r="H375" s="24">
        <f t="shared" si="30"/>
        <v>5.4030284931180804E-2</v>
      </c>
      <c r="I375" s="25">
        <f t="shared" si="31"/>
        <v>1954870.7546001724</v>
      </c>
    </row>
    <row r="376" spans="1:9" x14ac:dyDescent="0.45">
      <c r="A376" s="51"/>
      <c r="B376" s="45"/>
      <c r="C376" s="45"/>
      <c r="D376" s="45"/>
      <c r="E376" s="45"/>
      <c r="F376" s="45" t="s">
        <v>86</v>
      </c>
      <c r="G376" s="56">
        <f>SUM(G364:G375)</f>
        <v>0.91711259011596635</v>
      </c>
      <c r="H376" s="45"/>
      <c r="I376" s="28"/>
    </row>
    <row r="378" spans="1:9" x14ac:dyDescent="0.45">
      <c r="A378" s="30" t="s">
        <v>740</v>
      </c>
    </row>
    <row r="379" spans="1:9" ht="32" x14ac:dyDescent="0.45">
      <c r="A379" s="14" t="s">
        <v>1</v>
      </c>
      <c r="B379" s="5" t="s">
        <v>2</v>
      </c>
      <c r="C379" s="5" t="s">
        <v>119</v>
      </c>
      <c r="D379" s="5" t="s">
        <v>4</v>
      </c>
      <c r="E379" s="5"/>
      <c r="F379" s="10" t="s">
        <v>268</v>
      </c>
      <c r="G379" s="10" t="s">
        <v>82</v>
      </c>
      <c r="H379" s="10" t="s">
        <v>83</v>
      </c>
      <c r="I379" s="11" t="s">
        <v>84</v>
      </c>
    </row>
    <row r="380" spans="1:9" x14ac:dyDescent="0.45">
      <c r="A380" s="16" t="s">
        <v>723</v>
      </c>
      <c r="B380" s="109">
        <f>'[9]Weight%'!$B$169*'[9]Weight%'!$B$27</f>
        <v>2.5305904073970435E-2</v>
      </c>
      <c r="C380" s="17" t="s">
        <v>803</v>
      </c>
      <c r="D380" s="66" t="s">
        <v>191</v>
      </c>
      <c r="E380" s="17"/>
      <c r="F380" s="41">
        <v>100</v>
      </c>
      <c r="G380" s="42">
        <f>[41]Strontium_oxide!$AG$3</f>
        <v>1.5893012677406011E-2</v>
      </c>
      <c r="H380" s="24">
        <f>G380/$G$387</f>
        <v>1.6795894572586064E-2</v>
      </c>
      <c r="I380" s="25">
        <f>H380*$B$390</f>
        <v>818815.20131921826</v>
      </c>
    </row>
    <row r="381" spans="1:9" x14ac:dyDescent="0.45">
      <c r="A381" s="16" t="s">
        <v>724</v>
      </c>
      <c r="B381" s="109">
        <f>'[9]Weight%'!$B$170*'[9]Weight%'!$B$35</f>
        <v>3.7000000000000002E-3</v>
      </c>
      <c r="C381" s="17" t="s">
        <v>803</v>
      </c>
      <c r="D381" s="66"/>
      <c r="E381" s="17"/>
      <c r="F381" s="41">
        <v>156</v>
      </c>
      <c r="G381" s="42">
        <f>[41]Strontium_oxide!$AT$3</f>
        <v>0.8383315924269199</v>
      </c>
      <c r="H381" s="24">
        <f t="shared" ref="H381:H386" si="32">G381/$G$387</f>
        <v>0.88595720201545192</v>
      </c>
      <c r="I381" s="25">
        <f t="shared" ref="I381:I386" si="33">H381*$B$390</f>
        <v>43191222.807062328</v>
      </c>
    </row>
    <row r="382" spans="1:9" x14ac:dyDescent="0.45">
      <c r="A382" s="16" t="s">
        <v>725</v>
      </c>
      <c r="B382" s="109">
        <f>'[9]Weight%'!$B$170*'[9]Weight%'!$B$52</f>
        <v>2.9970000000000001E-3</v>
      </c>
      <c r="C382" s="17" t="s">
        <v>803</v>
      </c>
      <c r="D382" s="66"/>
      <c r="E382" s="17"/>
      <c r="F382" s="41">
        <v>251</v>
      </c>
      <c r="G382" s="42">
        <f>[41]Strontium_oxide!$BW$3</f>
        <v>1.2052400244067682E-2</v>
      </c>
      <c r="H382" s="24">
        <f t="shared" si="32"/>
        <v>1.2737096984371827E-2</v>
      </c>
      <c r="I382" s="25">
        <f t="shared" si="33"/>
        <v>620945.11170029466</v>
      </c>
    </row>
    <row r="383" spans="1:9" x14ac:dyDescent="0.45">
      <c r="A383" s="16" t="s">
        <v>726</v>
      </c>
      <c r="B383" s="109">
        <f>'[9]Weight%'!$B$51*'[9]Weight%'!$B$170</f>
        <v>4.2465069860279439E-3</v>
      </c>
      <c r="C383" s="17" t="s">
        <v>803</v>
      </c>
      <c r="D383" s="66"/>
      <c r="E383" s="17"/>
      <c r="F383" s="41">
        <v>276</v>
      </c>
      <c r="G383" s="42">
        <f>[41]Strontium_oxide!$CE$3</f>
        <v>3.6092805065277137E-2</v>
      </c>
      <c r="H383" s="24">
        <f t="shared" si="32"/>
        <v>3.8143236968979637E-2</v>
      </c>
      <c r="I383" s="25">
        <f t="shared" si="33"/>
        <v>1859517.6412156343</v>
      </c>
    </row>
    <row r="384" spans="1:9" x14ac:dyDescent="0.45">
      <c r="A384" s="16" t="s">
        <v>727</v>
      </c>
      <c r="B384" s="109">
        <f>'[9]Weight%'!$B$171*'[9]Weight%'!$B$67*'[9]Weight%'!$B$20+'[9]Weight%'!$B$171*'[9]Weight%'!$B$66*'[9]Weight%'!$B$19</f>
        <v>4.5907614031907136E-2</v>
      </c>
      <c r="C384" s="17" t="s">
        <v>803</v>
      </c>
      <c r="D384" s="66"/>
      <c r="E384" s="17"/>
      <c r="F384" s="41">
        <v>392</v>
      </c>
      <c r="G384" s="42">
        <f>[41]Strontium_oxide!$DE$3</f>
        <v>1.1308016256882481E-2</v>
      </c>
      <c r="H384" s="24">
        <f t="shared" si="32"/>
        <v>1.1950424550135494E-2</v>
      </c>
      <c r="I384" s="25">
        <f t="shared" si="33"/>
        <v>582594.11200642574</v>
      </c>
    </row>
    <row r="385" spans="1:9" x14ac:dyDescent="0.45">
      <c r="A385" s="16" t="s">
        <v>728</v>
      </c>
      <c r="B385" s="23">
        <f>B380*data_1tier!B11</f>
        <v>4566450.3901479645</v>
      </c>
      <c r="C385" s="17" t="s">
        <v>11</v>
      </c>
      <c r="D385" s="17"/>
      <c r="E385" s="17"/>
      <c r="F385" s="41">
        <v>826</v>
      </c>
      <c r="G385" s="42">
        <f>[41]Strontium_oxide!$HR$3</f>
        <v>1.1121873506213777E-2</v>
      </c>
      <c r="H385" s="24">
        <f t="shared" si="32"/>
        <v>1.1753707031616972E-2</v>
      </c>
      <c r="I385" s="25">
        <f t="shared" si="33"/>
        <v>573003.95330230612</v>
      </c>
    </row>
    <row r="386" spans="1:9" x14ac:dyDescent="0.45">
      <c r="A386" s="16" t="s">
        <v>729</v>
      </c>
      <c r="B386" s="23">
        <f>B381*data_1tier!B19</f>
        <v>1732110.6</v>
      </c>
      <c r="C386" s="17" t="s">
        <v>11</v>
      </c>
      <c r="D386" s="17"/>
      <c r="E386" s="17"/>
      <c r="F386" s="41">
        <v>842</v>
      </c>
      <c r="G386" s="42">
        <f>[41]Strontium_oxide!$HT$3</f>
        <v>2.1444193455804374E-2</v>
      </c>
      <c r="H386" s="24">
        <f t="shared" si="32"/>
        <v>2.2662437876857993E-2</v>
      </c>
      <c r="I386" s="25">
        <f t="shared" si="33"/>
        <v>1104814.5457409022</v>
      </c>
    </row>
    <row r="387" spans="1:9" x14ac:dyDescent="0.45">
      <c r="A387" s="16" t="s">
        <v>730</v>
      </c>
      <c r="B387" s="23">
        <f>B382*data_1tier!B52</f>
        <v>9760582.8258733526</v>
      </c>
      <c r="C387" s="17" t="s">
        <v>11</v>
      </c>
      <c r="D387" s="17"/>
      <c r="E387" s="17"/>
      <c r="F387" s="17" t="s">
        <v>86</v>
      </c>
      <c r="G387" s="42">
        <f>SUM(G380:G386)</f>
        <v>0.94624389363257144</v>
      </c>
      <c r="H387" s="17"/>
      <c r="I387" s="21"/>
    </row>
    <row r="388" spans="1:9" x14ac:dyDescent="0.45">
      <c r="A388" s="16" t="s">
        <v>731</v>
      </c>
      <c r="B388" s="23">
        <f>B383*data_1tier!B53</f>
        <v>32415149.807821136</v>
      </c>
      <c r="C388" s="17" t="s">
        <v>11</v>
      </c>
      <c r="D388" s="17"/>
      <c r="E388" s="17"/>
      <c r="F388" s="17"/>
      <c r="G388" s="17"/>
      <c r="H388" s="17"/>
      <c r="I388" s="21"/>
    </row>
    <row r="389" spans="1:9" x14ac:dyDescent="0.45">
      <c r="A389" s="16" t="s">
        <v>732</v>
      </c>
      <c r="B389" s="23">
        <f>B384*data_1tier!B86</f>
        <v>276619.74850465759</v>
      </c>
      <c r="C389" s="17" t="s">
        <v>11</v>
      </c>
      <c r="D389" s="17"/>
      <c r="E389" s="17"/>
      <c r="F389" s="17"/>
      <c r="G389" s="17"/>
      <c r="H389" s="17"/>
      <c r="I389" s="21"/>
    </row>
    <row r="390" spans="1:9" x14ac:dyDescent="0.45">
      <c r="A390" s="16" t="s">
        <v>733</v>
      </c>
      <c r="B390" s="23">
        <f>SUM(B385:B389)</f>
        <v>48750913.372347116</v>
      </c>
      <c r="C390" s="17" t="s">
        <v>11</v>
      </c>
      <c r="D390" s="17"/>
      <c r="E390" s="17"/>
      <c r="F390" s="17"/>
      <c r="G390" s="17"/>
      <c r="H390" s="17"/>
      <c r="I390" s="21"/>
    </row>
    <row r="391" spans="1:9" x14ac:dyDescent="0.45">
      <c r="A391" s="16" t="s">
        <v>734</v>
      </c>
      <c r="B391" s="23">
        <f>B380*data_1tier!B13</f>
        <v>11416125.975369912</v>
      </c>
      <c r="C391" s="17" t="s">
        <v>11</v>
      </c>
      <c r="D391" s="17"/>
      <c r="E391" s="17"/>
      <c r="F391" s="17"/>
      <c r="G391" s="17"/>
      <c r="H391" s="17"/>
      <c r="I391" s="21"/>
    </row>
    <row r="392" spans="1:9" x14ac:dyDescent="0.45">
      <c r="A392" s="16" t="s">
        <v>735</v>
      </c>
      <c r="B392" s="23">
        <f>B381*data_1tier!B21</f>
        <v>6537966.6000000006</v>
      </c>
      <c r="C392" s="17" t="s">
        <v>11</v>
      </c>
      <c r="D392" s="17"/>
      <c r="E392" s="17"/>
      <c r="F392" s="17"/>
      <c r="G392" s="17"/>
      <c r="H392" s="17"/>
      <c r="I392" s="21"/>
    </row>
    <row r="393" spans="1:9" x14ac:dyDescent="0.45">
      <c r="A393" s="16" t="s">
        <v>736</v>
      </c>
      <c r="B393" s="23">
        <f>B382*data_1tier!B56</f>
        <v>45720624.815933079</v>
      </c>
      <c r="C393" s="17" t="s">
        <v>11</v>
      </c>
      <c r="D393" s="17"/>
      <c r="E393" s="17"/>
      <c r="F393" s="17"/>
      <c r="G393" s="17"/>
      <c r="H393" s="17"/>
      <c r="I393" s="21"/>
    </row>
    <row r="394" spans="1:9" x14ac:dyDescent="0.45">
      <c r="A394" s="16" t="s">
        <v>737</v>
      </c>
      <c r="B394" s="23">
        <f>B383*data_1tier!B57</f>
        <v>171484931.27997246</v>
      </c>
      <c r="C394" s="17" t="s">
        <v>11</v>
      </c>
      <c r="D394" s="17"/>
      <c r="E394" s="17"/>
      <c r="F394" s="17"/>
      <c r="G394" s="17"/>
      <c r="H394" s="17"/>
      <c r="I394" s="21"/>
    </row>
    <row r="395" spans="1:9" x14ac:dyDescent="0.45">
      <c r="A395" s="16" t="s">
        <v>738</v>
      </c>
      <c r="B395" s="23">
        <f>B384*data_1tier!B87</f>
        <v>435676103.89483547</v>
      </c>
      <c r="C395" s="17" t="s">
        <v>11</v>
      </c>
      <c r="D395" s="17"/>
      <c r="E395" s="17"/>
      <c r="F395" s="17"/>
      <c r="G395" s="17"/>
      <c r="H395" s="17"/>
      <c r="I395" s="21"/>
    </row>
    <row r="396" spans="1:9" x14ac:dyDescent="0.45">
      <c r="A396" s="44" t="s">
        <v>739</v>
      </c>
      <c r="B396" s="26">
        <f>SUM(B391:B395)</f>
        <v>670835752.56611085</v>
      </c>
      <c r="C396" s="45" t="s">
        <v>11</v>
      </c>
      <c r="D396" s="45"/>
      <c r="E396" s="45"/>
      <c r="F396" s="45"/>
      <c r="G396" s="45"/>
      <c r="H396" s="45"/>
      <c r="I396" s="28"/>
    </row>
    <row r="398" spans="1:9" x14ac:dyDescent="0.45">
      <c r="A398" s="12" t="s">
        <v>792</v>
      </c>
    </row>
    <row r="399" spans="1:9" x14ac:dyDescent="0.45">
      <c r="A399" t="s">
        <v>800</v>
      </c>
    </row>
  </sheetData>
  <mergeCells count="16">
    <mergeCell ref="D328:D333"/>
    <mergeCell ref="D351:D352"/>
    <mergeCell ref="D364:D365"/>
    <mergeCell ref="D380:D384"/>
    <mergeCell ref="D148:D152"/>
    <mergeCell ref="D168:D171"/>
    <mergeCell ref="D197:D201"/>
    <mergeCell ref="D240:D242"/>
    <mergeCell ref="D257:D260"/>
    <mergeCell ref="D284:D291"/>
    <mergeCell ref="D5:D10"/>
    <mergeCell ref="D28:D33"/>
    <mergeCell ref="D51:D54"/>
    <mergeCell ref="D103:D106"/>
    <mergeCell ref="D120:D122"/>
    <mergeCell ref="D137:D13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A251" workbookViewId="0">
      <selection activeCell="C255" sqref="C255"/>
    </sheetView>
  </sheetViews>
  <sheetFormatPr baseColWidth="10" defaultRowHeight="16" x14ac:dyDescent="0.45"/>
  <cols>
    <col min="1" max="1" width="33" customWidth="1"/>
    <col min="2" max="2" width="18.7265625" customWidth="1"/>
    <col min="4" max="4" width="27" customWidth="1"/>
    <col min="6" max="6" width="23.26953125" customWidth="1"/>
    <col min="7" max="7" width="30.81640625" customWidth="1"/>
    <col min="8" max="8" width="18.54296875" customWidth="1"/>
    <col min="9" max="9" width="20.453125" customWidth="1"/>
  </cols>
  <sheetData>
    <row r="1" spans="1:9" x14ac:dyDescent="0.45">
      <c r="A1" s="1" t="s">
        <v>580</v>
      </c>
    </row>
    <row r="3" spans="1:9" x14ac:dyDescent="0.45">
      <c r="A3" s="30" t="s">
        <v>581</v>
      </c>
    </row>
    <row r="4" spans="1:9" ht="32" x14ac:dyDescent="0.45">
      <c r="A4" s="14" t="s">
        <v>1</v>
      </c>
      <c r="B4" s="5" t="s">
        <v>2</v>
      </c>
      <c r="C4" s="5" t="s">
        <v>119</v>
      </c>
      <c r="D4" s="5" t="s">
        <v>4</v>
      </c>
      <c r="E4" s="5"/>
      <c r="F4" s="10" t="s">
        <v>268</v>
      </c>
      <c r="G4" s="10" t="s">
        <v>82</v>
      </c>
      <c r="H4" s="10" t="s">
        <v>83</v>
      </c>
      <c r="I4" s="11" t="s">
        <v>84</v>
      </c>
    </row>
    <row r="5" spans="1:9" ht="48" x14ac:dyDescent="0.45">
      <c r="A5" s="16" t="s">
        <v>582</v>
      </c>
      <c r="B5" s="42">
        <f>'[9]Weight%'!$B$173</f>
        <v>0.8</v>
      </c>
      <c r="C5" s="17" t="s">
        <v>803</v>
      </c>
      <c r="D5" s="48" t="s">
        <v>191</v>
      </c>
      <c r="E5" s="17"/>
      <c r="F5" s="41">
        <v>56</v>
      </c>
      <c r="G5" s="42">
        <f>[23]Production!$S$6</f>
        <v>0.15565111109725258</v>
      </c>
      <c r="H5" s="24">
        <f>G5/$G$16</f>
        <v>0.16295672431304586</v>
      </c>
      <c r="I5" s="25">
        <f>H5*$B$6</f>
        <v>577667.75462189317</v>
      </c>
    </row>
    <row r="6" spans="1:9" ht="32" x14ac:dyDescent="0.45">
      <c r="A6" s="16" t="s">
        <v>583</v>
      </c>
      <c r="B6" s="23">
        <f>B5*data_rawmat!B17</f>
        <v>3544915.1120157042</v>
      </c>
      <c r="C6" s="17" t="s">
        <v>11</v>
      </c>
      <c r="D6" s="17"/>
      <c r="E6" s="17"/>
      <c r="F6" s="41">
        <v>68</v>
      </c>
      <c r="G6" s="42">
        <f>[23]Production!$V$6</f>
        <v>3.4147493751454497E-2</v>
      </c>
      <c r="H6" s="24">
        <f t="shared" ref="H6:H15" si="0">G6/$G$16</f>
        <v>3.5750234521361203E-2</v>
      </c>
      <c r="I6" s="25">
        <f t="shared" ref="I6:I15" si="1">H6*$B$6</f>
        <v>126731.54661287884</v>
      </c>
    </row>
    <row r="7" spans="1:9" ht="32" x14ac:dyDescent="0.45">
      <c r="A7" s="16" t="s">
        <v>584</v>
      </c>
      <c r="B7" s="23">
        <f>B5*data_rawmat!B24</f>
        <v>18971374.919134166</v>
      </c>
      <c r="C7" s="17" t="s">
        <v>11</v>
      </c>
      <c r="D7" s="17"/>
      <c r="E7" s="17"/>
      <c r="F7" s="41">
        <v>104</v>
      </c>
      <c r="G7" s="42">
        <f>[23]Production!$AH$6</f>
        <v>4.5934389686706267E-2</v>
      </c>
      <c r="H7" s="24">
        <f t="shared" si="0"/>
        <v>4.8090358134274411E-2</v>
      </c>
      <c r="I7" s="25">
        <f t="shared" si="1"/>
        <v>170476.23729243671</v>
      </c>
    </row>
    <row r="8" spans="1:9" x14ac:dyDescent="0.45">
      <c r="A8" s="15"/>
      <c r="B8" s="17"/>
      <c r="C8" s="17"/>
      <c r="D8" s="17"/>
      <c r="E8" s="17"/>
      <c r="F8" s="41">
        <v>156</v>
      </c>
      <c r="G8" s="42">
        <f>[23]Production!$AT$6</f>
        <v>0.46388400947731928</v>
      </c>
      <c r="H8" s="24">
        <f t="shared" si="0"/>
        <v>0.4856567878811639</v>
      </c>
      <c r="I8" s="25">
        <f t="shared" si="1"/>
        <v>1721612.0866129431</v>
      </c>
    </row>
    <row r="9" spans="1:9" x14ac:dyDescent="0.45">
      <c r="A9" s="15"/>
      <c r="B9" s="17"/>
      <c r="C9" s="17"/>
      <c r="D9" s="17"/>
      <c r="E9" s="17"/>
      <c r="F9" s="41">
        <v>251</v>
      </c>
      <c r="G9" s="42">
        <f>[23]Production!$BW$6</f>
        <v>0.10607534735783873</v>
      </c>
      <c r="H9" s="24">
        <f t="shared" si="0"/>
        <v>0.11105408123300584</v>
      </c>
      <c r="I9" s="25">
        <f t="shared" si="1"/>
        <v>393677.29081390199</v>
      </c>
    </row>
    <row r="10" spans="1:9" x14ac:dyDescent="0.45">
      <c r="A10" s="15"/>
      <c r="B10" s="17"/>
      <c r="C10" s="17"/>
      <c r="D10" s="17"/>
      <c r="E10" s="17"/>
      <c r="F10" s="41">
        <v>381</v>
      </c>
      <c r="G10" s="42">
        <f>[23]Production!$DB$6</f>
        <v>1.2127030482754585E-2</v>
      </c>
      <c r="H10" s="24">
        <f t="shared" si="0"/>
        <v>1.2696222655804891E-2</v>
      </c>
      <c r="I10" s="25">
        <f t="shared" si="1"/>
        <v>45007.031558078917</v>
      </c>
    </row>
    <row r="11" spans="1:9" x14ac:dyDescent="0.45">
      <c r="A11" s="15"/>
      <c r="B11" s="17"/>
      <c r="C11" s="17"/>
      <c r="D11" s="17"/>
      <c r="E11" s="17"/>
      <c r="F11" s="41">
        <v>392</v>
      </c>
      <c r="G11" s="42">
        <f>[23]Production!$DE$6</f>
        <v>2.5709893830670138E-2</v>
      </c>
      <c r="H11" s="24">
        <f t="shared" si="0"/>
        <v>2.6916608892463882E-2</v>
      </c>
      <c r="I11" s="25">
        <f t="shared" si="1"/>
        <v>95417.093627111506</v>
      </c>
    </row>
    <row r="12" spans="1:9" x14ac:dyDescent="0.45">
      <c r="A12" s="15"/>
      <c r="B12" s="17"/>
      <c r="C12" s="17"/>
      <c r="D12" s="17"/>
      <c r="E12" s="17"/>
      <c r="F12" s="41">
        <v>410</v>
      </c>
      <c r="G12" s="42">
        <f>[23]Production!$DJ$6</f>
        <v>2.1395587554600082E-2</v>
      </c>
      <c r="H12" s="24">
        <f t="shared" si="0"/>
        <v>2.2399807094677027E-2</v>
      </c>
      <c r="I12" s="25">
        <f t="shared" si="1"/>
        <v>79405.414676157176</v>
      </c>
    </row>
    <row r="13" spans="1:9" x14ac:dyDescent="0.45">
      <c r="A13" s="15"/>
      <c r="B13" s="17"/>
      <c r="C13" s="17"/>
      <c r="D13" s="17"/>
      <c r="E13" s="17"/>
      <c r="F13" s="41">
        <v>724</v>
      </c>
      <c r="G13" s="42">
        <f>[23]Production!$GS$6</f>
        <v>3.0384045442099709E-2</v>
      </c>
      <c r="H13" s="24">
        <f t="shared" si="0"/>
        <v>3.1810145663076453E-2</v>
      </c>
      <c r="I13" s="25">
        <f t="shared" si="1"/>
        <v>112764.26607646052</v>
      </c>
    </row>
    <row r="14" spans="1:9" x14ac:dyDescent="0.45">
      <c r="A14" s="15"/>
      <c r="B14" s="17"/>
      <c r="C14" s="17"/>
      <c r="D14" s="17"/>
      <c r="E14" s="17"/>
      <c r="F14" s="41">
        <v>764</v>
      </c>
      <c r="G14" s="42">
        <f>[23]Production!$HC$6</f>
        <v>3.2830102010452389E-2</v>
      </c>
      <c r="H14" s="24">
        <f t="shared" si="0"/>
        <v>3.4371009912957148E-2</v>
      </c>
      <c r="I14" s="25">
        <f t="shared" si="1"/>
        <v>121842.31245568336</v>
      </c>
    </row>
    <row r="15" spans="1:9" x14ac:dyDescent="0.45">
      <c r="A15" s="15"/>
      <c r="B15" s="17"/>
      <c r="C15" s="17"/>
      <c r="D15" s="17"/>
      <c r="E15" s="17"/>
      <c r="F15" s="41">
        <v>842</v>
      </c>
      <c r="G15" s="42">
        <f>[23]Production!$HT$6</f>
        <v>2.7029373758216839E-2</v>
      </c>
      <c r="H15" s="24">
        <f t="shared" si="0"/>
        <v>2.8298019698169467E-2</v>
      </c>
      <c r="I15" s="25">
        <f t="shared" si="1"/>
        <v>100314.07766815902</v>
      </c>
    </row>
    <row r="16" spans="1:9" x14ac:dyDescent="0.45">
      <c r="A16" s="51"/>
      <c r="B16" s="45"/>
      <c r="C16" s="45"/>
      <c r="D16" s="45"/>
      <c r="E16" s="45"/>
      <c r="F16" s="45" t="s">
        <v>86</v>
      </c>
      <c r="G16" s="56">
        <f>SUM(G5:G15)</f>
        <v>0.95516838444936503</v>
      </c>
      <c r="H16" s="45"/>
      <c r="I16" s="28"/>
    </row>
    <row r="18" spans="1:9" x14ac:dyDescent="0.45">
      <c r="A18" s="30" t="s">
        <v>585</v>
      </c>
    </row>
    <row r="19" spans="1:9" ht="32" x14ac:dyDescent="0.45">
      <c r="A19" s="14" t="s">
        <v>1</v>
      </c>
      <c r="B19" s="5" t="s">
        <v>2</v>
      </c>
      <c r="C19" s="5" t="s">
        <v>119</v>
      </c>
      <c r="D19" s="5" t="s">
        <v>4</v>
      </c>
      <c r="E19" s="5"/>
      <c r="F19" s="10" t="s">
        <v>268</v>
      </c>
      <c r="G19" s="10" t="s">
        <v>798</v>
      </c>
      <c r="H19" s="10" t="s">
        <v>83</v>
      </c>
      <c r="I19" s="11" t="s">
        <v>84</v>
      </c>
    </row>
    <row r="20" spans="1:9" ht="48" x14ac:dyDescent="0.45">
      <c r="A20" s="16" t="s">
        <v>586</v>
      </c>
      <c r="B20" s="104">
        <f>'[9]Weight%'!$B$175</f>
        <v>0.65</v>
      </c>
      <c r="C20" s="17" t="s">
        <v>803</v>
      </c>
      <c r="D20" s="48" t="s">
        <v>191</v>
      </c>
      <c r="E20" s="17"/>
      <c r="F20" s="41">
        <v>36</v>
      </c>
      <c r="G20" s="118">
        <v>20836304000</v>
      </c>
      <c r="H20" s="89">
        <f>G20/$G$46</f>
        <v>0.15472028316042205</v>
      </c>
      <c r="I20" s="69">
        <f>H20*$B$21</f>
        <v>124847324.38656832</v>
      </c>
    </row>
    <row r="21" spans="1:9" ht="32" x14ac:dyDescent="0.45">
      <c r="A21" s="16" t="s">
        <v>587</v>
      </c>
      <c r="B21" s="23">
        <f>B20*data_rawmat!B59</f>
        <v>806922801.82243538</v>
      </c>
      <c r="C21" s="17" t="s">
        <v>11</v>
      </c>
      <c r="D21" s="17"/>
      <c r="E21" s="17"/>
      <c r="F21" s="41">
        <v>70</v>
      </c>
      <c r="G21" s="118">
        <v>122241000</v>
      </c>
      <c r="H21" s="89">
        <f t="shared" ref="H21:H45" si="2">G21/$G$46</f>
        <v>9.0770235132935052E-4</v>
      </c>
      <c r="I21" s="69">
        <f t="shared" ref="I21:I45" si="3">H21*$B$21</f>
        <v>732445.72455549217</v>
      </c>
    </row>
    <row r="22" spans="1:9" ht="32" x14ac:dyDescent="0.45">
      <c r="A22" s="16" t="s">
        <v>588</v>
      </c>
      <c r="B22" s="23">
        <f>B20*data_rawmat!B64</f>
        <v>4931959769.637722</v>
      </c>
      <c r="C22" s="17" t="s">
        <v>11</v>
      </c>
      <c r="D22" s="17"/>
      <c r="E22" s="17"/>
      <c r="F22" s="41">
        <v>76</v>
      </c>
      <c r="G22" s="118">
        <v>10185000000</v>
      </c>
      <c r="H22" s="89">
        <f t="shared" si="2"/>
        <v>7.5628867959926988E-2</v>
      </c>
      <c r="I22" s="69">
        <f t="shared" si="3"/>
        <v>61026658.032883294</v>
      </c>
    </row>
    <row r="23" spans="1:9" x14ac:dyDescent="0.45">
      <c r="A23" s="15"/>
      <c r="B23" s="17"/>
      <c r="C23" s="17"/>
      <c r="D23" s="17"/>
      <c r="E23" s="17"/>
      <c r="F23" s="41">
        <v>124</v>
      </c>
      <c r="G23" s="118">
        <v>1518000000</v>
      </c>
      <c r="H23" s="89">
        <f t="shared" si="2"/>
        <v>1.1271931424955245E-2</v>
      </c>
      <c r="I23" s="69">
        <f t="shared" si="3"/>
        <v>9095578.4873752426</v>
      </c>
    </row>
    <row r="24" spans="1:9" x14ac:dyDescent="0.45">
      <c r="A24" s="15"/>
      <c r="B24" s="17"/>
      <c r="C24" s="17"/>
      <c r="D24" s="17"/>
      <c r="E24" s="17"/>
      <c r="F24" s="41">
        <v>156</v>
      </c>
      <c r="G24" s="118">
        <v>73131900000</v>
      </c>
      <c r="H24" s="89">
        <f t="shared" si="2"/>
        <v>0.54304200380545753</v>
      </c>
      <c r="I24" s="69">
        <f t="shared" si="3"/>
        <v>438192975.21796942</v>
      </c>
    </row>
    <row r="25" spans="1:9" x14ac:dyDescent="0.45">
      <c r="A25" s="15"/>
      <c r="B25" s="17"/>
      <c r="C25" s="17"/>
      <c r="D25" s="17"/>
      <c r="E25" s="17"/>
      <c r="F25" s="41">
        <v>251</v>
      </c>
      <c r="G25" s="118">
        <v>500000000</v>
      </c>
      <c r="H25" s="89">
        <f t="shared" si="2"/>
        <v>3.7127573863488948E-3</v>
      </c>
      <c r="I25" s="69">
        <f t="shared" si="3"/>
        <v>2995908.5926795923</v>
      </c>
    </row>
    <row r="26" spans="1:9" x14ac:dyDescent="0.45">
      <c r="A26" s="15"/>
      <c r="B26" s="17"/>
      <c r="C26" s="17"/>
      <c r="D26" s="17"/>
      <c r="E26" s="17"/>
      <c r="F26" s="41">
        <v>276</v>
      </c>
      <c r="G26" s="118">
        <v>1050000000</v>
      </c>
      <c r="H26" s="89">
        <f t="shared" si="2"/>
        <v>7.7967905113326798E-3</v>
      </c>
      <c r="I26" s="69">
        <f t="shared" si="3"/>
        <v>6291408.0446271449</v>
      </c>
    </row>
    <row r="27" spans="1:9" x14ac:dyDescent="0.45">
      <c r="A27" s="15"/>
      <c r="B27" s="17"/>
      <c r="C27" s="17"/>
      <c r="D27" s="17"/>
      <c r="E27" s="17"/>
      <c r="F27" s="41">
        <v>300</v>
      </c>
      <c r="G27" s="118">
        <v>680000000</v>
      </c>
      <c r="H27" s="89">
        <f t="shared" si="2"/>
        <v>5.0493500454344975E-3</v>
      </c>
      <c r="I27" s="69">
        <f t="shared" si="3"/>
        <v>4074435.686044246</v>
      </c>
    </row>
    <row r="28" spans="1:9" x14ac:dyDescent="0.45">
      <c r="A28" s="15"/>
      <c r="B28" s="17"/>
      <c r="C28" s="17"/>
      <c r="D28" s="17"/>
      <c r="E28" s="17"/>
      <c r="F28" s="41">
        <v>324</v>
      </c>
      <c r="G28" s="118">
        <v>453353000</v>
      </c>
      <c r="H28" s="89">
        <f t="shared" si="2"/>
        <v>3.3663793987468611E-3</v>
      </c>
      <c r="I28" s="69">
        <f t="shared" si="3"/>
        <v>2716408.2964341426</v>
      </c>
    </row>
    <row r="29" spans="1:9" x14ac:dyDescent="0.45">
      <c r="A29" s="15"/>
      <c r="B29" s="17"/>
      <c r="C29" s="17"/>
      <c r="D29" s="17"/>
      <c r="E29" s="17"/>
      <c r="F29" s="41">
        <v>360</v>
      </c>
      <c r="G29" s="118">
        <v>1162100000</v>
      </c>
      <c r="H29" s="89">
        <f t="shared" si="2"/>
        <v>8.6291907173521015E-3</v>
      </c>
      <c r="I29" s="69">
        <f t="shared" si="3"/>
        <v>6963090.7511059083</v>
      </c>
    </row>
    <row r="30" spans="1:9" x14ac:dyDescent="0.45">
      <c r="A30" s="15"/>
      <c r="B30" s="17"/>
      <c r="C30" s="17"/>
      <c r="D30" s="17"/>
      <c r="E30" s="17"/>
      <c r="F30" s="41">
        <v>364</v>
      </c>
      <c r="G30" s="118">
        <v>232000000</v>
      </c>
      <c r="H30" s="89">
        <f t="shared" si="2"/>
        <v>1.7227194272658873E-3</v>
      </c>
      <c r="I30" s="69">
        <f t="shared" si="3"/>
        <v>1390101.5870033309</v>
      </c>
    </row>
    <row r="31" spans="1:9" x14ac:dyDescent="0.45">
      <c r="A31" s="15"/>
      <c r="B31" s="17"/>
      <c r="C31" s="17"/>
      <c r="D31" s="17"/>
      <c r="E31" s="17"/>
      <c r="F31" s="41">
        <v>372</v>
      </c>
      <c r="G31" s="118">
        <v>1822368000</v>
      </c>
      <c r="H31" s="89">
        <f t="shared" si="2"/>
        <v>1.3532020505291726E-2</v>
      </c>
      <c r="I31" s="69">
        <f t="shared" si="3"/>
        <v>10919295.900448646</v>
      </c>
    </row>
    <row r="32" spans="1:9" x14ac:dyDescent="0.45">
      <c r="A32" s="15"/>
      <c r="B32" s="17"/>
      <c r="C32" s="17"/>
      <c r="D32" s="17"/>
      <c r="E32" s="17"/>
      <c r="F32" s="41">
        <v>388</v>
      </c>
      <c r="G32" s="118">
        <v>1620943000</v>
      </c>
      <c r="H32" s="89">
        <f t="shared" si="2"/>
        <v>1.2036336192201074E-2</v>
      </c>
      <c r="I32" s="69">
        <f t="shared" si="3"/>
        <v>9712394.1238876749</v>
      </c>
    </row>
    <row r="33" spans="1:9" x14ac:dyDescent="0.45">
      <c r="A33" s="15"/>
      <c r="B33" s="17"/>
      <c r="C33" s="17"/>
      <c r="D33" s="17"/>
      <c r="E33" s="17"/>
      <c r="F33" s="41">
        <v>392</v>
      </c>
      <c r="G33" s="118">
        <v>18000000</v>
      </c>
      <c r="H33" s="89">
        <f t="shared" si="2"/>
        <v>1.3365926590856023E-4</v>
      </c>
      <c r="I33" s="69">
        <f t="shared" si="3"/>
        <v>107852.70933646534</v>
      </c>
    </row>
    <row r="34" spans="1:9" x14ac:dyDescent="0.45">
      <c r="A34" s="15"/>
      <c r="B34" s="17"/>
      <c r="C34" s="17"/>
      <c r="D34" s="17"/>
      <c r="E34" s="17"/>
      <c r="F34" s="41">
        <v>398</v>
      </c>
      <c r="G34" s="118">
        <v>1399949000</v>
      </c>
      <c r="H34" s="89">
        <f t="shared" si="2"/>
        <v>1.0395341980523498E-2</v>
      </c>
      <c r="I34" s="69">
        <f t="shared" si="3"/>
        <v>8388238.4768264052</v>
      </c>
    </row>
    <row r="35" spans="1:9" x14ac:dyDescent="0.45">
      <c r="A35" s="15"/>
      <c r="B35" s="17"/>
      <c r="C35" s="17"/>
      <c r="D35" s="17"/>
      <c r="E35" s="17"/>
      <c r="F35" s="41">
        <v>642</v>
      </c>
      <c r="G35" s="118">
        <v>426393000</v>
      </c>
      <c r="H35" s="89">
        <f t="shared" si="2"/>
        <v>3.1661875204749288E-3</v>
      </c>
      <c r="I35" s="69">
        <f t="shared" si="3"/>
        <v>2554868.9051168589</v>
      </c>
    </row>
    <row r="36" spans="1:9" x14ac:dyDescent="0.45">
      <c r="A36" s="15"/>
      <c r="B36" s="17"/>
      <c r="C36" s="17"/>
      <c r="D36" s="17"/>
      <c r="E36" s="17"/>
      <c r="F36" s="41">
        <v>643</v>
      </c>
      <c r="G36" s="118">
        <v>2873000000</v>
      </c>
      <c r="H36" s="89">
        <f t="shared" si="2"/>
        <v>2.1333503941960749E-2</v>
      </c>
      <c r="I36" s="69">
        <f t="shared" si="3"/>
        <v>17214490.773536939</v>
      </c>
    </row>
    <row r="37" spans="1:9" x14ac:dyDescent="0.45">
      <c r="A37" s="15"/>
      <c r="B37" s="17"/>
      <c r="C37" s="17"/>
      <c r="D37" s="17"/>
      <c r="E37" s="17"/>
      <c r="F37" s="41">
        <v>682</v>
      </c>
      <c r="G37" s="118">
        <v>1782041000</v>
      </c>
      <c r="H37" s="89">
        <f t="shared" si="2"/>
        <v>1.3232571771053142E-2</v>
      </c>
      <c r="I37" s="69">
        <f t="shared" si="3"/>
        <v>10677663.888814667</v>
      </c>
    </row>
    <row r="38" spans="1:9" x14ac:dyDescent="0.45">
      <c r="A38" s="15"/>
      <c r="B38" s="17"/>
      <c r="C38" s="17"/>
      <c r="D38" s="17"/>
      <c r="E38" s="17"/>
      <c r="F38" s="41">
        <v>699</v>
      </c>
      <c r="G38" s="118">
        <v>6624500000</v>
      </c>
      <c r="H38" s="89">
        <f t="shared" si="2"/>
        <v>4.919032261173651E-2</v>
      </c>
      <c r="I38" s="69">
        <f t="shared" si="3"/>
        <v>39692792.944411919</v>
      </c>
    </row>
    <row r="39" spans="1:9" x14ac:dyDescent="0.45">
      <c r="A39" s="15"/>
      <c r="B39" s="17"/>
      <c r="C39" s="17"/>
      <c r="D39" s="17"/>
      <c r="E39" s="17"/>
      <c r="F39" s="41">
        <v>704</v>
      </c>
      <c r="G39" s="118">
        <v>1384706000</v>
      </c>
      <c r="H39" s="89">
        <f t="shared" si="2"/>
        <v>1.0282154858843266E-2</v>
      </c>
      <c r="I39" s="69">
        <f t="shared" si="3"/>
        <v>8296905.2074699756</v>
      </c>
    </row>
    <row r="40" spans="1:9" x14ac:dyDescent="0.45">
      <c r="A40" s="15"/>
      <c r="B40" s="17"/>
      <c r="C40" s="17"/>
      <c r="D40" s="17"/>
      <c r="E40" s="17"/>
      <c r="F40" s="41">
        <v>724</v>
      </c>
      <c r="G40" s="118">
        <v>1553000000</v>
      </c>
      <c r="H40" s="89">
        <f t="shared" si="2"/>
        <v>1.1531824441999667E-2</v>
      </c>
      <c r="I40" s="69">
        <f t="shared" si="3"/>
        <v>9305292.088862814</v>
      </c>
    </row>
    <row r="41" spans="1:9" x14ac:dyDescent="0.45">
      <c r="A41" s="15"/>
      <c r="B41" s="17"/>
      <c r="C41" s="17"/>
      <c r="D41" s="17"/>
      <c r="E41" s="17"/>
      <c r="F41" s="41">
        <v>784</v>
      </c>
      <c r="G41" s="118">
        <v>1920000000</v>
      </c>
      <c r="H41" s="89">
        <f t="shared" si="2"/>
        <v>1.4256988363579757E-2</v>
      </c>
      <c r="I41" s="69">
        <f t="shared" si="3"/>
        <v>11504288.995889636</v>
      </c>
    </row>
    <row r="42" spans="1:9" x14ac:dyDescent="0.45">
      <c r="A42" s="15"/>
      <c r="B42" s="17"/>
      <c r="C42" s="17"/>
      <c r="D42" s="17"/>
      <c r="E42" s="17"/>
      <c r="F42" s="41">
        <v>792</v>
      </c>
      <c r="G42" s="118">
        <v>260000000</v>
      </c>
      <c r="H42" s="89">
        <f t="shared" si="2"/>
        <v>1.9306338409014255E-3</v>
      </c>
      <c r="I42" s="69">
        <f t="shared" si="3"/>
        <v>1557872.4681933883</v>
      </c>
    </row>
    <row r="43" spans="1:9" x14ac:dyDescent="0.45">
      <c r="A43" s="15"/>
      <c r="B43" s="17"/>
      <c r="C43" s="17"/>
      <c r="D43" s="17"/>
      <c r="E43" s="17"/>
      <c r="F43" s="41">
        <v>804</v>
      </c>
      <c r="G43" s="118">
        <v>1725000000</v>
      </c>
      <c r="H43" s="89">
        <f t="shared" si="2"/>
        <v>1.2809012982903687E-2</v>
      </c>
      <c r="I43" s="69">
        <f t="shared" si="3"/>
        <v>10335884.644744594</v>
      </c>
    </row>
    <row r="44" spans="1:9" x14ac:dyDescent="0.45">
      <c r="A44" s="15"/>
      <c r="B44" s="17"/>
      <c r="C44" s="17"/>
      <c r="D44" s="17"/>
      <c r="E44" s="17"/>
      <c r="F44" s="41">
        <v>842</v>
      </c>
      <c r="G44" s="118">
        <v>1340000000</v>
      </c>
      <c r="H44" s="89">
        <f t="shared" si="2"/>
        <v>9.9501897954150393E-3</v>
      </c>
      <c r="I44" s="69">
        <f t="shared" si="3"/>
        <v>8029035.0283813085</v>
      </c>
    </row>
    <row r="45" spans="1:9" x14ac:dyDescent="0.45">
      <c r="A45" s="15"/>
      <c r="B45" s="17"/>
      <c r="C45" s="17"/>
      <c r="D45" s="17"/>
      <c r="E45" s="17"/>
      <c r="F45" s="41">
        <v>862</v>
      </c>
      <c r="G45" s="110">
        <v>50000000</v>
      </c>
      <c r="H45" s="24">
        <f t="shared" si="2"/>
        <v>3.7127573863488948E-4</v>
      </c>
      <c r="I45" s="25">
        <f t="shared" si="3"/>
        <v>299590.85926795925</v>
      </c>
    </row>
    <row r="46" spans="1:9" x14ac:dyDescent="0.45">
      <c r="A46" s="51"/>
      <c r="B46" s="45"/>
      <c r="C46" s="45"/>
      <c r="D46" s="45"/>
      <c r="E46" s="45"/>
      <c r="F46" s="102" t="s">
        <v>86</v>
      </c>
      <c r="G46" s="111">
        <f>SUM(G20:G45)</f>
        <v>134670798000</v>
      </c>
      <c r="H46" s="45"/>
      <c r="I46" s="28"/>
    </row>
    <row r="48" spans="1:9" x14ac:dyDescent="0.45">
      <c r="A48" s="30" t="s">
        <v>589</v>
      </c>
    </row>
    <row r="49" spans="1:9" ht="32" x14ac:dyDescent="0.45">
      <c r="A49" s="14" t="s">
        <v>1</v>
      </c>
      <c r="B49" s="5" t="s">
        <v>2</v>
      </c>
      <c r="C49" s="5" t="s">
        <v>119</v>
      </c>
      <c r="D49" s="5" t="s">
        <v>4</v>
      </c>
      <c r="E49" s="5"/>
      <c r="F49" s="10" t="s">
        <v>268</v>
      </c>
      <c r="G49" s="10" t="s">
        <v>82</v>
      </c>
      <c r="H49" s="10" t="s">
        <v>83</v>
      </c>
      <c r="I49" s="11" t="s">
        <v>84</v>
      </c>
    </row>
    <row r="50" spans="1:9" ht="48" x14ac:dyDescent="0.45">
      <c r="A50" s="16" t="s">
        <v>590</v>
      </c>
      <c r="B50" s="104">
        <f>'[9]Weight%'!$B$176</f>
        <v>0.35</v>
      </c>
      <c r="C50" s="17" t="s">
        <v>803</v>
      </c>
      <c r="D50" s="48" t="s">
        <v>191</v>
      </c>
      <c r="E50" s="17"/>
      <c r="F50" s="41">
        <v>36</v>
      </c>
      <c r="G50" s="42">
        <f>[42]Production!$L$11</f>
        <v>2.5532204241762578E-2</v>
      </c>
      <c r="H50" s="24">
        <f>G50/$G$72</f>
        <v>3.1300386876594283E-2</v>
      </c>
      <c r="I50" s="25">
        <f>H50*$B$51</f>
        <v>13599920.856624115</v>
      </c>
    </row>
    <row r="51" spans="1:9" ht="32" x14ac:dyDescent="0.45">
      <c r="A51" s="16" t="s">
        <v>591</v>
      </c>
      <c r="B51" s="17">
        <f>B50*data_rawmat!B59</f>
        <v>434496893.28900361</v>
      </c>
      <c r="C51" s="17" t="s">
        <v>11</v>
      </c>
      <c r="D51" s="17"/>
      <c r="E51" s="17"/>
      <c r="F51" s="41">
        <v>40</v>
      </c>
      <c r="G51" s="42">
        <f>[42]Production!$M$11</f>
        <v>1.7694640733066445E-2</v>
      </c>
      <c r="H51" s="24">
        <f t="shared" ref="H51:H71" si="4">G51/$G$72</f>
        <v>2.1692177273178882E-2</v>
      </c>
      <c r="I51" s="25">
        <f t="shared" ref="I51:I71" si="5">H51*$B$51</f>
        <v>9425183.6338705532</v>
      </c>
    </row>
    <row r="52" spans="1:9" ht="32" x14ac:dyDescent="0.45">
      <c r="A52" s="16" t="s">
        <v>592</v>
      </c>
      <c r="B52" s="17">
        <f>B50*data_rawmat!B64</f>
        <v>2655670645.1895423</v>
      </c>
      <c r="C52" s="17" t="s">
        <v>11</v>
      </c>
      <c r="D52" s="17"/>
      <c r="E52" s="17"/>
      <c r="F52" s="41">
        <v>56</v>
      </c>
      <c r="G52" s="42">
        <f>[42]Production!$S$11</f>
        <v>2.8929553924792743E-2</v>
      </c>
      <c r="H52" s="24">
        <f t="shared" si="4"/>
        <v>3.5465258754752899E-2</v>
      </c>
      <c r="I52" s="25">
        <f t="shared" si="5"/>
        <v>15409544.748630771</v>
      </c>
    </row>
    <row r="53" spans="1:9" x14ac:dyDescent="0.45">
      <c r="A53" s="15"/>
      <c r="B53" s="17"/>
      <c r="C53" s="17"/>
      <c r="D53" s="17"/>
      <c r="E53" s="17"/>
      <c r="F53" s="41">
        <v>124</v>
      </c>
      <c r="G53" s="42">
        <f>[42]Production!$AM$11</f>
        <v>5.2342653714016772E-2</v>
      </c>
      <c r="H53" s="24">
        <f t="shared" si="4"/>
        <v>6.4167797495388867E-2</v>
      </c>
      <c r="I53" s="25">
        <f t="shared" si="5"/>
        <v>27880708.660944369</v>
      </c>
    </row>
    <row r="54" spans="1:9" x14ac:dyDescent="0.45">
      <c r="A54" s="15"/>
      <c r="B54" s="17"/>
      <c r="C54" s="17"/>
      <c r="D54" s="17"/>
      <c r="E54" s="17"/>
      <c r="F54" s="41">
        <v>208</v>
      </c>
      <c r="G54" s="42">
        <f>[42]Production!$BI$11</f>
        <v>1.3432602565140214E-2</v>
      </c>
      <c r="H54" s="24">
        <f t="shared" si="4"/>
        <v>1.6467268280766213E-2</v>
      </c>
      <c r="I54" s="25">
        <f t="shared" si="5"/>
        <v>7154976.9089494711</v>
      </c>
    </row>
    <row r="55" spans="1:9" x14ac:dyDescent="0.45">
      <c r="A55" s="15"/>
      <c r="B55" s="17"/>
      <c r="C55" s="17"/>
      <c r="D55" s="17"/>
      <c r="E55" s="17"/>
      <c r="F55" s="41">
        <v>251</v>
      </c>
      <c r="G55" s="42">
        <f>[42]Production!$BW$11</f>
        <v>5.1023392662757107E-2</v>
      </c>
      <c r="H55" s="24">
        <f t="shared" si="4"/>
        <v>6.2550491723249252E-2</v>
      </c>
      <c r="I55" s="25">
        <f t="shared" si="5"/>
        <v>27177994.327451333</v>
      </c>
    </row>
    <row r="56" spans="1:9" x14ac:dyDescent="0.45">
      <c r="A56" s="15"/>
      <c r="B56" s="17"/>
      <c r="C56" s="17"/>
      <c r="D56" s="17"/>
      <c r="E56" s="17"/>
      <c r="F56" s="41">
        <v>276</v>
      </c>
      <c r="G56" s="42">
        <f>[42]Production!$CE$11</f>
        <v>0.11284180018185373</v>
      </c>
      <c r="H56" s="24">
        <f t="shared" si="4"/>
        <v>0.13833478567299534</v>
      </c>
      <c r="I56" s="25">
        <f t="shared" si="5"/>
        <v>60106034.608716644</v>
      </c>
    </row>
    <row r="57" spans="1:9" x14ac:dyDescent="0.45">
      <c r="A57" s="15"/>
      <c r="B57" s="17"/>
      <c r="C57" s="17"/>
      <c r="D57" s="17"/>
      <c r="E57" s="17"/>
      <c r="F57" s="41">
        <v>344</v>
      </c>
      <c r="G57" s="42">
        <f>[42]Production!$CT$11</f>
        <v>2.031875350631385E-2</v>
      </c>
      <c r="H57" s="24">
        <f t="shared" si="4"/>
        <v>2.490912416239844E-2</v>
      </c>
      <c r="I57" s="25">
        <f t="shared" si="5"/>
        <v>10822937.063112177</v>
      </c>
    </row>
    <row r="58" spans="1:9" x14ac:dyDescent="0.45">
      <c r="A58" s="15"/>
      <c r="B58" s="17"/>
      <c r="C58" s="17"/>
      <c r="D58" s="17"/>
      <c r="E58" s="17"/>
      <c r="F58" s="41">
        <v>381</v>
      </c>
      <c r="G58" s="42">
        <f>[42]Production!$DB$11</f>
        <v>1.405989900462443E-2</v>
      </c>
      <c r="H58" s="24">
        <f t="shared" si="4"/>
        <v>1.7236282231001269E-2</v>
      </c>
      <c r="I58" s="25">
        <f t="shared" si="5"/>
        <v>7489111.0812225072</v>
      </c>
    </row>
    <row r="59" spans="1:9" x14ac:dyDescent="0.45">
      <c r="A59" s="15"/>
      <c r="B59" s="17"/>
      <c r="C59" s="17"/>
      <c r="D59" s="17"/>
      <c r="E59" s="17"/>
      <c r="F59" s="41">
        <v>392</v>
      </c>
      <c r="G59" s="42">
        <f>[42]Production!$DE$11</f>
        <v>3.100149687836817E-2</v>
      </c>
      <c r="H59" s="24">
        <f t="shared" si="4"/>
        <v>3.8005290763703618E-2</v>
      </c>
      <c r="I59" s="25">
        <f t="shared" si="5"/>
        <v>16513180.765374485</v>
      </c>
    </row>
    <row r="60" spans="1:9" x14ac:dyDescent="0.45">
      <c r="A60" s="15"/>
      <c r="B60" s="17"/>
      <c r="C60" s="17"/>
      <c r="D60" s="17"/>
      <c r="E60" s="17"/>
      <c r="F60" s="41">
        <v>458</v>
      </c>
      <c r="G60" s="42">
        <f>[42]Production!$DX$11</f>
        <v>1.6334250021547276E-2</v>
      </c>
      <c r="H60" s="24">
        <f t="shared" si="4"/>
        <v>2.0024449913226668E-2</v>
      </c>
      <c r="I60" s="25">
        <f t="shared" si="5"/>
        <v>8700561.2771182451</v>
      </c>
    </row>
    <row r="61" spans="1:9" x14ac:dyDescent="0.45">
      <c r="A61" s="15"/>
      <c r="B61" s="17"/>
      <c r="C61" s="17"/>
      <c r="D61" s="17"/>
      <c r="E61" s="17"/>
      <c r="F61" s="41">
        <v>484</v>
      </c>
      <c r="G61" s="42">
        <f>[42]Production!$ED$11</f>
        <v>2.691285176538695E-2</v>
      </c>
      <c r="H61" s="24">
        <f t="shared" si="4"/>
        <v>3.2992947425634897E-2</v>
      </c>
      <c r="I61" s="25">
        <f t="shared" si="5"/>
        <v>14335333.156885792</v>
      </c>
    </row>
    <row r="62" spans="1:9" x14ac:dyDescent="0.45">
      <c r="A62" s="15"/>
      <c r="B62" s="17"/>
      <c r="C62" s="17"/>
      <c r="D62" s="17"/>
      <c r="E62" s="17"/>
      <c r="F62" s="41">
        <v>528</v>
      </c>
      <c r="G62" s="42">
        <f>[42]Production!$EO$11</f>
        <v>5.2216585317632985E-2</v>
      </c>
      <c r="H62" s="24">
        <f t="shared" si="4"/>
        <v>6.4013247988328678E-2</v>
      </c>
      <c r="I62" s="25">
        <f t="shared" si="5"/>
        <v>27813557.38026737</v>
      </c>
    </row>
    <row r="63" spans="1:9" x14ac:dyDescent="0.45">
      <c r="A63" s="15"/>
      <c r="B63" s="17"/>
      <c r="C63" s="17"/>
      <c r="D63" s="17"/>
      <c r="E63" s="17"/>
      <c r="F63" s="41">
        <v>616</v>
      </c>
      <c r="G63" s="42">
        <f>[42]Production!$FO$11</f>
        <v>2.5607197893740115E-2</v>
      </c>
      <c r="H63" s="24">
        <f t="shared" si="4"/>
        <v>3.1392322938908326E-2</v>
      </c>
      <c r="I63" s="25">
        <f t="shared" si="5"/>
        <v>13639866.790080791</v>
      </c>
    </row>
    <row r="64" spans="1:9" x14ac:dyDescent="0.45">
      <c r="A64" s="15"/>
      <c r="B64" s="17"/>
      <c r="C64" s="17"/>
      <c r="D64" s="17"/>
      <c r="E64" s="17"/>
      <c r="F64" s="41">
        <v>682</v>
      </c>
      <c r="G64" s="42">
        <f>[42]Production!$GF$11</f>
        <v>1.6696022102710876E-2</v>
      </c>
      <c r="H64" s="24">
        <f t="shared" si="4"/>
        <v>2.0467952792741065E-2</v>
      </c>
      <c r="I64" s="25">
        <f t="shared" si="5"/>
        <v>8893261.9004319776</v>
      </c>
    </row>
    <row r="65" spans="1:9" x14ac:dyDescent="0.45">
      <c r="A65" s="15"/>
      <c r="B65" s="17"/>
      <c r="C65" s="17"/>
      <c r="D65" s="17"/>
      <c r="E65" s="17"/>
      <c r="F65" s="41">
        <v>724</v>
      </c>
      <c r="G65" s="42">
        <f>[42]Production!$GS$11</f>
        <v>1.6162069600167861E-2</v>
      </c>
      <c r="H65" s="24">
        <f t="shared" si="4"/>
        <v>1.9813370848108761E-2</v>
      </c>
      <c r="I65" s="25">
        <f t="shared" si="5"/>
        <v>8608848.0790861677</v>
      </c>
    </row>
    <row r="66" spans="1:9" x14ac:dyDescent="0.45">
      <c r="A66" s="15"/>
      <c r="B66" s="17"/>
      <c r="C66" s="17"/>
      <c r="D66" s="17"/>
      <c r="E66" s="17"/>
      <c r="F66" s="41">
        <v>752</v>
      </c>
      <c r="G66" s="42">
        <f>[42]Production!$GY$11</f>
        <v>1.8024395276316101E-2</v>
      </c>
      <c r="H66" s="24">
        <f t="shared" si="4"/>
        <v>2.2096429279010257E-2</v>
      </c>
      <c r="I66" s="25">
        <f t="shared" si="5"/>
        <v>9600829.8745101336</v>
      </c>
    </row>
    <row r="67" spans="1:9" x14ac:dyDescent="0.45">
      <c r="A67" s="15"/>
      <c r="B67" s="17"/>
      <c r="C67" s="17"/>
      <c r="D67" s="17"/>
      <c r="E67" s="17"/>
      <c r="F67" s="41">
        <v>757</v>
      </c>
      <c r="G67" s="42">
        <f>[42]Production!$GZ$11</f>
        <v>1.5872864663093209E-2</v>
      </c>
      <c r="H67" s="24">
        <f t="shared" si="4"/>
        <v>1.9458829331389607E-2</v>
      </c>
      <c r="I67" s="25">
        <f t="shared" si="5"/>
        <v>8454800.891529724</v>
      </c>
    </row>
    <row r="68" spans="1:9" x14ac:dyDescent="0.45">
      <c r="A68" s="15"/>
      <c r="B68" s="17"/>
      <c r="C68" s="17"/>
      <c r="D68" s="17"/>
      <c r="E68" s="17"/>
      <c r="F68" s="41">
        <v>764</v>
      </c>
      <c r="G68" s="42">
        <f>[42]Production!$HC$11</f>
        <v>1.1863803280694354E-2</v>
      </c>
      <c r="H68" s="24">
        <f t="shared" si="4"/>
        <v>1.454404911527947E-2</v>
      </c>
      <c r="I68" s="25">
        <f t="shared" si="5"/>
        <v>6319344.1564316116</v>
      </c>
    </row>
    <row r="69" spans="1:9" x14ac:dyDescent="0.45">
      <c r="A69" s="15"/>
      <c r="B69" s="17"/>
      <c r="C69" s="17"/>
      <c r="D69" s="17"/>
      <c r="E69" s="17"/>
      <c r="F69" s="41">
        <v>784</v>
      </c>
      <c r="G69" s="42">
        <f>[42]Production!$HH$11</f>
        <v>2.0121966487574201E-2</v>
      </c>
      <c r="H69" s="24">
        <f t="shared" si="4"/>
        <v>2.466787942847266E-2</v>
      </c>
      <c r="I69" s="25">
        <f t="shared" si="5"/>
        <v>10718116.975699093</v>
      </c>
    </row>
    <row r="70" spans="1:9" x14ac:dyDescent="0.45">
      <c r="A70" s="15"/>
      <c r="B70" s="17"/>
      <c r="C70" s="17"/>
      <c r="D70" s="17"/>
      <c r="E70" s="17"/>
      <c r="F70" s="41">
        <v>826</v>
      </c>
      <c r="G70" s="42">
        <f>[42]Production!$HR$11</f>
        <v>4.8344665367637714E-2</v>
      </c>
      <c r="H70" s="24">
        <f t="shared" si="4"/>
        <v>5.9266591912633379E-2</v>
      </c>
      <c r="I70" s="25">
        <f t="shared" si="5"/>
        <v>25751150.061866391</v>
      </c>
    </row>
    <row r="71" spans="1:9" x14ac:dyDescent="0.45">
      <c r="A71" s="15"/>
      <c r="B71" s="17"/>
      <c r="C71" s="17"/>
      <c r="D71" s="17"/>
      <c r="E71" s="17"/>
      <c r="F71" s="41">
        <v>842</v>
      </c>
      <c r="G71" s="42">
        <f>[42]Production!$HT$11</f>
        <v>0.18038162348199213</v>
      </c>
      <c r="H71" s="24">
        <f t="shared" si="4"/>
        <v>0.22113306579223704</v>
      </c>
      <c r="I71" s="25">
        <f t="shared" si="5"/>
        <v>96081630.090199828</v>
      </c>
    </row>
    <row r="72" spans="1:9" x14ac:dyDescent="0.45">
      <c r="A72" s="51"/>
      <c r="B72" s="45"/>
      <c r="C72" s="45"/>
      <c r="D72" s="45"/>
      <c r="E72" s="45"/>
      <c r="F72" s="45" t="s">
        <v>86</v>
      </c>
      <c r="G72" s="56">
        <f>SUM(G50:G71)</f>
        <v>0.81571529267118992</v>
      </c>
      <c r="H72" s="45"/>
      <c r="I72" s="28"/>
    </row>
    <row r="74" spans="1:9" x14ac:dyDescent="0.45">
      <c r="A74" s="30" t="s">
        <v>593</v>
      </c>
    </row>
    <row r="75" spans="1:9" ht="32" x14ac:dyDescent="0.45">
      <c r="A75" s="14" t="s">
        <v>1</v>
      </c>
      <c r="B75" s="5" t="s">
        <v>2</v>
      </c>
      <c r="C75" s="5" t="s">
        <v>119</v>
      </c>
      <c r="D75" s="5" t="s">
        <v>4</v>
      </c>
      <c r="E75" s="5"/>
      <c r="F75" s="10" t="s">
        <v>268</v>
      </c>
      <c r="G75" s="10" t="s">
        <v>82</v>
      </c>
      <c r="H75" s="10" t="s">
        <v>83</v>
      </c>
      <c r="I75" s="11" t="s">
        <v>84</v>
      </c>
    </row>
    <row r="76" spans="1:9" ht="48" x14ac:dyDescent="0.45">
      <c r="A76" s="16" t="s">
        <v>594</v>
      </c>
      <c r="B76" s="104">
        <f>'[9]Weight%'!$B$177</f>
        <v>0.17499999999999999</v>
      </c>
      <c r="C76" s="17" t="s">
        <v>803</v>
      </c>
      <c r="D76" s="48" t="s">
        <v>191</v>
      </c>
      <c r="E76" s="17"/>
      <c r="F76" s="41">
        <v>70</v>
      </c>
      <c r="G76" s="42">
        <f>[25]Production!$W$6</f>
        <v>5.7849851643122396E-2</v>
      </c>
      <c r="H76" s="24">
        <f t="shared" ref="H76:H81" si="6">G76/$G$82</f>
        <v>5.8542112551932514E-2</v>
      </c>
      <c r="I76" s="25">
        <f t="shared" ref="I76:I81" si="7">$B$77*H76</f>
        <v>78278.265465742123</v>
      </c>
    </row>
    <row r="77" spans="1:9" ht="32" x14ac:dyDescent="0.45">
      <c r="A77" s="16" t="s">
        <v>595</v>
      </c>
      <c r="B77" s="23">
        <f>B76*data_rawmat!B97</f>
        <v>1337127.4464395479</v>
      </c>
      <c r="C77" s="17" t="s">
        <v>11</v>
      </c>
      <c r="D77" s="17"/>
      <c r="E77" s="17"/>
      <c r="F77" s="41">
        <v>442</v>
      </c>
      <c r="G77" s="42">
        <f>[25]Production!$DT$6</f>
        <v>6.7056064592780587E-2</v>
      </c>
      <c r="H77" s="24">
        <f t="shared" si="6"/>
        <v>6.7858491753745434E-2</v>
      </c>
      <c r="I77" s="25">
        <f t="shared" si="7"/>
        <v>90735.451797924747</v>
      </c>
    </row>
    <row r="78" spans="1:9" ht="32" x14ac:dyDescent="0.45">
      <c r="A78" s="16" t="s">
        <v>596</v>
      </c>
      <c r="B78" s="23">
        <f>B76*data_rawmat!B98</f>
        <v>7376516.1738663157</v>
      </c>
      <c r="C78" s="17" t="s">
        <v>11</v>
      </c>
      <c r="D78" s="17"/>
      <c r="E78" s="17"/>
      <c r="F78" s="41">
        <v>608</v>
      </c>
      <c r="G78" s="42">
        <f>[25]Production!$FM$6</f>
        <v>0.1052058646064655</v>
      </c>
      <c r="H78" s="24">
        <f t="shared" si="6"/>
        <v>0.10646481178396072</v>
      </c>
      <c r="I78" s="25">
        <f t="shared" si="7"/>
        <v>142357.02191635448</v>
      </c>
    </row>
    <row r="79" spans="1:9" x14ac:dyDescent="0.45">
      <c r="A79" s="15"/>
      <c r="B79" s="17"/>
      <c r="C79" s="17"/>
      <c r="D79" s="17"/>
      <c r="E79" s="17"/>
      <c r="F79" s="41">
        <v>757</v>
      </c>
      <c r="G79" s="42">
        <f>[25]Production!$GZ$6</f>
        <v>0.70302498740366137</v>
      </c>
      <c r="H79" s="24">
        <f t="shared" si="6"/>
        <v>0.71143774392546899</v>
      </c>
      <c r="I79" s="25">
        <f t="shared" si="7"/>
        <v>951282.93383577536</v>
      </c>
    </row>
    <row r="80" spans="1:9" x14ac:dyDescent="0.45">
      <c r="A80" s="15"/>
      <c r="B80" s="17"/>
      <c r="C80" s="17"/>
      <c r="D80" s="17"/>
      <c r="E80" s="17"/>
      <c r="F80" s="41">
        <v>764</v>
      </c>
      <c r="G80" s="42">
        <f>[25]Production!$HC$6</f>
        <v>2.9770902146664925E-2</v>
      </c>
      <c r="H80" s="24">
        <f t="shared" si="6"/>
        <v>3.0127155986403122E-2</v>
      </c>
      <c r="I80" s="25">
        <f t="shared" si="7"/>
        <v>40283.847152585149</v>
      </c>
    </row>
    <row r="81" spans="1:9" x14ac:dyDescent="0.45">
      <c r="A81" s="15"/>
      <c r="B81" s="17"/>
      <c r="C81" s="17"/>
      <c r="D81" s="17"/>
      <c r="E81" s="17"/>
      <c r="F81" s="41">
        <v>842</v>
      </c>
      <c r="G81" s="42">
        <f>[25]Production!$HT$6</f>
        <v>2.5267322298318622E-2</v>
      </c>
      <c r="H81" s="24">
        <f t="shared" si="6"/>
        <v>2.5569683998489235E-2</v>
      </c>
      <c r="I81" s="25">
        <f t="shared" si="7"/>
        <v>34189.926271166078</v>
      </c>
    </row>
    <row r="82" spans="1:9" x14ac:dyDescent="0.45">
      <c r="A82" s="51"/>
      <c r="B82" s="45"/>
      <c r="C82" s="45"/>
      <c r="D82" s="45"/>
      <c r="E82" s="45"/>
      <c r="F82" s="45" t="s">
        <v>86</v>
      </c>
      <c r="G82" s="56">
        <f>SUM(G76:G81)</f>
        <v>0.98817499269101339</v>
      </c>
      <c r="H82" s="45"/>
      <c r="I82" s="28"/>
    </row>
    <row r="84" spans="1:9" x14ac:dyDescent="0.45">
      <c r="A84" s="30" t="s">
        <v>597</v>
      </c>
    </row>
    <row r="85" spans="1:9" ht="32" x14ac:dyDescent="0.45">
      <c r="A85" s="14" t="s">
        <v>1</v>
      </c>
      <c r="B85" s="5" t="s">
        <v>2</v>
      </c>
      <c r="C85" s="5" t="s">
        <v>119</v>
      </c>
      <c r="D85" s="5" t="s">
        <v>4</v>
      </c>
      <c r="E85" s="5"/>
      <c r="F85" s="10" t="s">
        <v>268</v>
      </c>
      <c r="G85" s="10" t="s">
        <v>82</v>
      </c>
      <c r="H85" s="10" t="s">
        <v>83</v>
      </c>
      <c r="I85" s="11" t="s">
        <v>84</v>
      </c>
    </row>
    <row r="86" spans="1:9" x14ac:dyDescent="0.45">
      <c r="A86" s="16" t="s">
        <v>658</v>
      </c>
      <c r="B86" s="104">
        <f>'[9]Weight%'!$B$178</f>
        <v>1</v>
      </c>
      <c r="C86" s="17" t="s">
        <v>803</v>
      </c>
      <c r="D86" s="17" t="s">
        <v>191</v>
      </c>
      <c r="E86" s="17"/>
      <c r="F86" s="41">
        <v>32</v>
      </c>
      <c r="G86" s="42">
        <f>[26]Production!$K$8</f>
        <v>2.6431215030201689E-2</v>
      </c>
      <c r="H86" s="24">
        <f>G86/$G$94</f>
        <v>2.7905077994551282E-2</v>
      </c>
      <c r="I86" s="25">
        <f>H86*$B$87</f>
        <v>4200472.0902425256</v>
      </c>
    </row>
    <row r="87" spans="1:9" ht="32" x14ac:dyDescent="0.45">
      <c r="A87" s="16" t="s">
        <v>659</v>
      </c>
      <c r="B87" s="23">
        <f>B86*data_rawmat!B111</f>
        <v>150527158.21337986</v>
      </c>
      <c r="C87" s="17" t="s">
        <v>11</v>
      </c>
      <c r="D87" s="17"/>
      <c r="E87" s="17"/>
      <c r="F87" s="41">
        <v>152</v>
      </c>
      <c r="G87" s="42">
        <f>[26]Production!$AS$8</f>
        <v>0.13312753392016688</v>
      </c>
      <c r="H87" s="24">
        <f t="shared" ref="H87:H93" si="8">G87/$G$94</f>
        <v>0.14055101942985404</v>
      </c>
      <c r="I87" s="25">
        <f t="shared" ref="I87:I93" si="9">H87*$B$87</f>
        <v>21156745.538769465</v>
      </c>
    </row>
    <row r="88" spans="1:9" x14ac:dyDescent="0.45">
      <c r="A88" s="16" t="s">
        <v>660</v>
      </c>
      <c r="B88" s="23">
        <f>B86*data_rawmat!B116</f>
        <v>761364904.35665679</v>
      </c>
      <c r="C88" s="17" t="s">
        <v>11</v>
      </c>
      <c r="D88" s="17"/>
      <c r="E88" s="17"/>
      <c r="F88" s="41">
        <v>442</v>
      </c>
      <c r="G88" s="42">
        <f>[26]Production!$DT$8</f>
        <v>2.6784077332891509E-2</v>
      </c>
      <c r="H88" s="24">
        <f t="shared" si="8"/>
        <v>2.8277616679081866E-2</v>
      </c>
      <c r="I88" s="25">
        <f t="shared" si="9"/>
        <v>4256549.2797494652</v>
      </c>
    </row>
    <row r="89" spans="1:9" x14ac:dyDescent="0.45">
      <c r="A89" s="15"/>
      <c r="B89" s="17"/>
      <c r="C89" s="17"/>
      <c r="D89" s="17"/>
      <c r="E89" s="17"/>
      <c r="F89" s="41">
        <v>528</v>
      </c>
      <c r="G89" s="42">
        <f>[26]Production!$EO$8</f>
        <v>2.2245827373682702E-2</v>
      </c>
      <c r="H89" s="24">
        <f t="shared" si="8"/>
        <v>2.3486303872395333E-2</v>
      </c>
      <c r="I89" s="25">
        <f t="shared" si="9"/>
        <v>3535326.5788475685</v>
      </c>
    </row>
    <row r="90" spans="1:9" x14ac:dyDescent="0.45">
      <c r="A90" s="15"/>
      <c r="B90" s="17"/>
      <c r="C90" s="17"/>
      <c r="D90" s="17"/>
      <c r="E90" s="17"/>
      <c r="F90" s="41">
        <v>604</v>
      </c>
      <c r="G90" s="42">
        <f>[26]Production!$FL$8</f>
        <v>4.2798235092148022E-2</v>
      </c>
      <c r="H90" s="24">
        <f t="shared" si="8"/>
        <v>4.5184759267058894E-2</v>
      </c>
      <c r="I90" s="25">
        <f t="shared" si="9"/>
        <v>6801533.4070260562</v>
      </c>
    </row>
    <row r="91" spans="1:9" x14ac:dyDescent="0.45">
      <c r="A91" s="15"/>
      <c r="B91" s="17"/>
      <c r="C91" s="17"/>
      <c r="D91" s="17"/>
      <c r="E91" s="17"/>
      <c r="F91" s="41">
        <v>643</v>
      </c>
      <c r="G91" s="42">
        <f>[26]Production!$FU$8</f>
        <v>0.11145165105755893</v>
      </c>
      <c r="H91" s="24">
        <f t="shared" si="8"/>
        <v>0.11766644143407597</v>
      </c>
      <c r="I91" s="25">
        <f t="shared" si="9"/>
        <v>17711995.046152547</v>
      </c>
    </row>
    <row r="92" spans="1:9" x14ac:dyDescent="0.45">
      <c r="A92" s="15"/>
      <c r="B92" s="17"/>
      <c r="C92" s="17"/>
      <c r="D92" s="17"/>
      <c r="E92" s="17"/>
      <c r="F92" s="41">
        <v>792</v>
      </c>
      <c r="G92" s="42">
        <f>[26]Production!$HJ$8</f>
        <v>0.31529253847055727</v>
      </c>
      <c r="H92" s="24">
        <f t="shared" si="8"/>
        <v>0.33287394722745833</v>
      </c>
      <c r="I92" s="25">
        <f t="shared" si="9"/>
        <v>50106569.319419876</v>
      </c>
    </row>
    <row r="93" spans="1:9" x14ac:dyDescent="0.45">
      <c r="A93" s="15"/>
      <c r="B93" s="17"/>
      <c r="C93" s="17"/>
      <c r="D93" s="17"/>
      <c r="E93" s="17"/>
      <c r="F93" s="41">
        <v>842</v>
      </c>
      <c r="G93" s="42">
        <f>[26]Production!$HT$8</f>
        <v>0.26905190524151401</v>
      </c>
      <c r="H93" s="24">
        <f t="shared" si="8"/>
        <v>0.28405483409552429</v>
      </c>
      <c r="I93" s="25">
        <f t="shared" si="9"/>
        <v>42757966.953172356</v>
      </c>
    </row>
    <row r="94" spans="1:9" x14ac:dyDescent="0.45">
      <c r="A94" s="51"/>
      <c r="B94" s="45"/>
      <c r="C94" s="45"/>
      <c r="D94" s="45"/>
      <c r="E94" s="45"/>
      <c r="F94" s="45" t="s">
        <v>86</v>
      </c>
      <c r="G94" s="56">
        <f>SUM(G86:G93)</f>
        <v>0.94718298351872099</v>
      </c>
      <c r="H94" s="45"/>
      <c r="I94" s="28"/>
    </row>
    <row r="96" spans="1:9" x14ac:dyDescent="0.45">
      <c r="A96" s="30" t="s">
        <v>598</v>
      </c>
    </row>
    <row r="97" spans="1:9" ht="32" x14ac:dyDescent="0.45">
      <c r="A97" s="14" t="s">
        <v>1</v>
      </c>
      <c r="B97" s="5" t="s">
        <v>2</v>
      </c>
      <c r="C97" s="5" t="s">
        <v>119</v>
      </c>
      <c r="D97" s="5" t="s">
        <v>4</v>
      </c>
      <c r="E97" s="5"/>
      <c r="F97" s="10" t="s">
        <v>388</v>
      </c>
      <c r="G97" s="10" t="s">
        <v>798</v>
      </c>
      <c r="H97" s="10" t="s">
        <v>83</v>
      </c>
      <c r="I97" s="11" t="s">
        <v>84</v>
      </c>
    </row>
    <row r="98" spans="1:9" ht="48" x14ac:dyDescent="0.45">
      <c r="A98" s="16" t="s">
        <v>599</v>
      </c>
      <c r="B98" s="104">
        <f>'[9]Weight%'!$B$179</f>
        <v>0.67999999999999994</v>
      </c>
      <c r="C98" s="17" t="s">
        <v>803</v>
      </c>
      <c r="D98" s="48" t="s">
        <v>191</v>
      </c>
      <c r="E98" s="17"/>
      <c r="F98" s="41">
        <v>36</v>
      </c>
      <c r="G98" s="119">
        <v>3300000</v>
      </c>
      <c r="H98" s="89">
        <f>G98/$G$110</f>
        <v>2.5091050098463363E-2</v>
      </c>
      <c r="I98" s="25">
        <f>H98*$B$99</f>
        <v>108401.50001195549</v>
      </c>
    </row>
    <row r="99" spans="1:9" ht="32" x14ac:dyDescent="0.45">
      <c r="A99" s="16" t="s">
        <v>600</v>
      </c>
      <c r="B99" s="23">
        <f>B98*data_rawmat!B126</f>
        <v>4320325.3585067876</v>
      </c>
      <c r="C99" s="17" t="s">
        <v>11</v>
      </c>
      <c r="D99" s="17"/>
      <c r="E99" s="17"/>
      <c r="F99" s="41">
        <v>56</v>
      </c>
      <c r="G99" s="119">
        <v>6500000</v>
      </c>
      <c r="H99" s="89">
        <f t="shared" ref="H99:H109" si="10">G99/$G$110</f>
        <v>4.9421765345458141E-2</v>
      </c>
      <c r="I99" s="25">
        <f t="shared" ref="I99:I109" si="11">H99*$B$99</f>
        <v>213518.10608415477</v>
      </c>
    </row>
    <row r="100" spans="1:9" ht="32" x14ac:dyDescent="0.45">
      <c r="A100" s="16" t="s">
        <v>601</v>
      </c>
      <c r="B100" s="23">
        <f>B98*data_rawmat!B130</f>
        <v>14777042.268266968</v>
      </c>
      <c r="C100" s="17" t="s">
        <v>11</v>
      </c>
      <c r="D100" s="17"/>
      <c r="E100" s="17"/>
      <c r="F100" s="41">
        <v>124</v>
      </c>
      <c r="G100" s="119">
        <v>5965000</v>
      </c>
      <c r="H100" s="89">
        <f t="shared" si="10"/>
        <v>4.53539738901012E-2</v>
      </c>
      <c r="I100" s="25">
        <f t="shared" si="11"/>
        <v>195943.92350645896</v>
      </c>
    </row>
    <row r="101" spans="1:9" x14ac:dyDescent="0.45">
      <c r="A101" s="15"/>
      <c r="B101" s="17"/>
      <c r="C101" s="17"/>
      <c r="D101" s="17"/>
      <c r="E101" s="17"/>
      <c r="F101" s="41">
        <v>156</v>
      </c>
      <c r="G101" s="119">
        <v>86000000</v>
      </c>
      <c r="H101" s="89">
        <f t="shared" si="10"/>
        <v>0.65388797226298467</v>
      </c>
      <c r="I101" s="25">
        <f t="shared" si="11"/>
        <v>2825008.7881903555</v>
      </c>
    </row>
    <row r="102" spans="1:9" x14ac:dyDescent="0.45">
      <c r="A102" s="15"/>
      <c r="B102" s="17"/>
      <c r="C102" s="17"/>
      <c r="D102" s="17"/>
      <c r="E102" s="17"/>
      <c r="F102" s="41">
        <v>246</v>
      </c>
      <c r="G102" s="119">
        <v>15148000</v>
      </c>
      <c r="H102" s="89">
        <f t="shared" si="10"/>
        <v>0.11517552330046152</v>
      </c>
      <c r="I102" s="25">
        <f t="shared" si="11"/>
        <v>497595.73399427329</v>
      </c>
    </row>
    <row r="103" spans="1:9" x14ac:dyDescent="0.45">
      <c r="A103" s="15"/>
      <c r="B103" s="17"/>
      <c r="C103" s="17"/>
      <c r="D103" s="17"/>
      <c r="E103" s="17"/>
      <c r="F103" s="41">
        <v>392</v>
      </c>
      <c r="G103" s="119">
        <v>3467000</v>
      </c>
      <c r="H103" s="89">
        <f t="shared" si="10"/>
        <v>2.6360809300415903E-2</v>
      </c>
      <c r="I103" s="25">
        <f t="shared" si="11"/>
        <v>113887.2728913484</v>
      </c>
    </row>
    <row r="104" spans="1:9" x14ac:dyDescent="0.45">
      <c r="A104" s="15"/>
      <c r="B104" s="17"/>
      <c r="C104" s="17"/>
      <c r="D104" s="17"/>
      <c r="E104" s="17"/>
      <c r="F104" s="41">
        <v>450</v>
      </c>
      <c r="G104" s="119">
        <v>963000</v>
      </c>
      <c r="H104" s="89">
        <f t="shared" si="10"/>
        <v>7.3220246196424909E-3</v>
      </c>
      <c r="I104" s="25">
        <f t="shared" si="11"/>
        <v>31633.528639852469</v>
      </c>
    </row>
    <row r="105" spans="1:9" x14ac:dyDescent="0.45">
      <c r="A105" s="15"/>
      <c r="B105" s="17"/>
      <c r="C105" s="17"/>
      <c r="D105" s="17"/>
      <c r="E105" s="17"/>
      <c r="F105" s="41">
        <v>504</v>
      </c>
      <c r="G105" s="119">
        <v>2416000</v>
      </c>
      <c r="H105" s="89">
        <f t="shared" si="10"/>
        <v>1.8369690011481057E-2</v>
      </c>
      <c r="I105" s="25">
        <f t="shared" si="11"/>
        <v>79363.037584510457</v>
      </c>
    </row>
    <row r="106" spans="1:9" x14ac:dyDescent="0.45">
      <c r="A106" s="15"/>
      <c r="B106" s="17"/>
      <c r="C106" s="17"/>
      <c r="D106" s="17"/>
      <c r="E106" s="17"/>
      <c r="F106" s="41">
        <v>540</v>
      </c>
      <c r="G106" s="119">
        <v>681000</v>
      </c>
      <c r="H106" s="89">
        <f t="shared" si="10"/>
        <v>5.1778803385010763E-3</v>
      </c>
      <c r="I106" s="25">
        <f t="shared" si="11"/>
        <v>22370.12772973991</v>
      </c>
    </row>
    <row r="107" spans="1:9" x14ac:dyDescent="0.45">
      <c r="A107" s="15"/>
      <c r="B107" s="17"/>
      <c r="C107" s="17"/>
      <c r="D107" s="17"/>
      <c r="E107" s="17"/>
      <c r="F107" s="41">
        <v>579</v>
      </c>
      <c r="G107" s="119">
        <v>4384000</v>
      </c>
      <c r="H107" s="89">
        <f t="shared" si="10"/>
        <v>3.3333079888382841E-2</v>
      </c>
      <c r="I107" s="25">
        <f t="shared" si="11"/>
        <v>144009.75031891299</v>
      </c>
    </row>
    <row r="108" spans="1:9" x14ac:dyDescent="0.45">
      <c r="A108" s="15"/>
      <c r="B108" s="17"/>
      <c r="C108" s="17"/>
      <c r="D108" s="17"/>
      <c r="E108" s="17"/>
      <c r="F108" s="41">
        <v>643</v>
      </c>
      <c r="G108" s="119">
        <v>1800000</v>
      </c>
      <c r="H108" s="89">
        <f t="shared" si="10"/>
        <v>1.3686027326434562E-2</v>
      </c>
      <c r="I108" s="25">
        <f t="shared" si="11"/>
        <v>59128.090915612091</v>
      </c>
    </row>
    <row r="109" spans="1:9" x14ac:dyDescent="0.45">
      <c r="A109" s="15"/>
      <c r="B109" s="17"/>
      <c r="C109" s="17"/>
      <c r="D109" s="17"/>
      <c r="E109" s="17"/>
      <c r="F109" s="41">
        <v>710</v>
      </c>
      <c r="G109" s="119">
        <v>897000</v>
      </c>
      <c r="H109" s="89">
        <f t="shared" si="10"/>
        <v>6.8202036176732237E-3</v>
      </c>
      <c r="I109" s="25">
        <f t="shared" si="11"/>
        <v>29465.498639613361</v>
      </c>
    </row>
    <row r="110" spans="1:9" x14ac:dyDescent="0.45">
      <c r="A110" s="51"/>
      <c r="B110" s="45"/>
      <c r="C110" s="45"/>
      <c r="D110" s="45"/>
      <c r="E110" s="45"/>
      <c r="F110" s="102" t="s">
        <v>86</v>
      </c>
      <c r="G110" s="120">
        <f>SUM(G98:G109)</f>
        <v>131521000</v>
      </c>
      <c r="H110" s="72"/>
      <c r="I110" s="28"/>
    </row>
    <row r="112" spans="1:9" x14ac:dyDescent="0.45">
      <c r="A112" s="30" t="s">
        <v>602</v>
      </c>
    </row>
    <row r="113" spans="1:9" ht="32" x14ac:dyDescent="0.45">
      <c r="A113" s="14" t="s">
        <v>1</v>
      </c>
      <c r="B113" s="5" t="s">
        <v>2</v>
      </c>
      <c r="C113" s="5" t="s">
        <v>119</v>
      </c>
      <c r="D113" s="5" t="s">
        <v>4</v>
      </c>
      <c r="E113" s="5"/>
      <c r="F113" s="10" t="s">
        <v>268</v>
      </c>
      <c r="G113" s="10" t="s">
        <v>82</v>
      </c>
      <c r="H113" s="10" t="s">
        <v>83</v>
      </c>
      <c r="I113" s="11" t="s">
        <v>84</v>
      </c>
    </row>
    <row r="114" spans="1:9" ht="48" x14ac:dyDescent="0.45">
      <c r="A114" s="16" t="s">
        <v>603</v>
      </c>
      <c r="B114" s="104">
        <f>'[9]Weight%'!$B$180</f>
        <v>0.32</v>
      </c>
      <c r="C114" s="17" t="s">
        <v>803</v>
      </c>
      <c r="D114" s="48" t="s">
        <v>191</v>
      </c>
      <c r="E114" s="17"/>
      <c r="F114" s="41">
        <v>40</v>
      </c>
      <c r="G114" s="42">
        <f>[27]Production!$M$12</f>
        <v>1.8156550443914295E-2</v>
      </c>
      <c r="H114" s="24">
        <f>G114/$G$129</f>
        <v>1.9642328876528063E-2</v>
      </c>
      <c r="I114" s="25">
        <f>H114*$B$115</f>
        <v>39934.706609597328</v>
      </c>
    </row>
    <row r="115" spans="1:9" ht="32" x14ac:dyDescent="0.45">
      <c r="A115" s="16" t="s">
        <v>604</v>
      </c>
      <c r="B115" s="23">
        <f>B114*data_rawmat!B126</f>
        <v>2033094.2863561353</v>
      </c>
      <c r="C115" s="17" t="s">
        <v>11</v>
      </c>
      <c r="D115" s="17"/>
      <c r="E115" s="17"/>
      <c r="F115" s="41">
        <v>124</v>
      </c>
      <c r="G115" s="42">
        <f>[27]Production!$AM$12</f>
        <v>1.7441288483740186E-2</v>
      </c>
      <c r="H115" s="24">
        <f t="shared" ref="H115:H128" si="12">G115/$G$129</f>
        <v>1.8868535930670387E-2</v>
      </c>
      <c r="I115" s="25">
        <f t="shared" ref="I115:I128" si="13">H115*$B$115</f>
        <v>38361.512592551408</v>
      </c>
    </row>
    <row r="116" spans="1:9" ht="32" x14ac:dyDescent="0.45">
      <c r="A116" s="16" t="s">
        <v>605</v>
      </c>
      <c r="B116" s="23">
        <f>B114*data_rawmat!B130</f>
        <v>6953902.2438903395</v>
      </c>
      <c r="C116" s="17" t="s">
        <v>11</v>
      </c>
      <c r="D116" s="17"/>
      <c r="E116" s="17"/>
      <c r="F116" s="41">
        <v>251</v>
      </c>
      <c r="G116" s="42">
        <f>[27]Production!$BW$12</f>
        <v>4.9971376610727328E-2</v>
      </c>
      <c r="H116" s="24">
        <f t="shared" si="12"/>
        <v>5.406061117351426E-2</v>
      </c>
      <c r="I116" s="25">
        <f t="shared" si="13"/>
        <v>109910.31969379248</v>
      </c>
    </row>
    <row r="117" spans="1:9" x14ac:dyDescent="0.45">
      <c r="A117" s="15"/>
      <c r="B117" s="17"/>
      <c r="C117" s="17"/>
      <c r="D117" s="17"/>
      <c r="E117" s="17"/>
      <c r="F117" s="41">
        <v>276</v>
      </c>
      <c r="G117" s="42">
        <f>[27]Production!$CE$12</f>
        <v>0.16917714146719595</v>
      </c>
      <c r="H117" s="24">
        <f t="shared" si="12"/>
        <v>0.18302116700826226</v>
      </c>
      <c r="I117" s="25">
        <f t="shared" si="13"/>
        <v>372099.28892672999</v>
      </c>
    </row>
    <row r="118" spans="1:9" x14ac:dyDescent="0.45">
      <c r="A118" s="15"/>
      <c r="B118" s="17"/>
      <c r="C118" s="17"/>
      <c r="D118" s="17"/>
      <c r="E118" s="17"/>
      <c r="F118" s="41">
        <v>360</v>
      </c>
      <c r="G118" s="42">
        <f>[27]Production!$CW$12</f>
        <v>3.2956017586664832E-2</v>
      </c>
      <c r="H118" s="24">
        <f t="shared" si="12"/>
        <v>3.5652859164934943E-2</v>
      </c>
      <c r="I118" s="25">
        <f t="shared" si="13"/>
        <v>72485.624260489203</v>
      </c>
    </row>
    <row r="119" spans="1:9" x14ac:dyDescent="0.45">
      <c r="A119" s="15"/>
      <c r="B119" s="17"/>
      <c r="C119" s="17"/>
      <c r="D119" s="17"/>
      <c r="E119" s="17"/>
      <c r="F119" s="41">
        <v>372</v>
      </c>
      <c r="G119" s="42">
        <f>[27]Production!$CZ$12</f>
        <v>4.4077953741401041E-2</v>
      </c>
      <c r="H119" s="24">
        <f t="shared" si="12"/>
        <v>4.7684920451571036E-2</v>
      </c>
      <c r="I119" s="25">
        <f t="shared" si="13"/>
        <v>96947.939315435899</v>
      </c>
    </row>
    <row r="120" spans="1:9" x14ac:dyDescent="0.45">
      <c r="A120" s="15"/>
      <c r="B120" s="17"/>
      <c r="C120" s="17"/>
      <c r="D120" s="17"/>
      <c r="E120" s="17"/>
      <c r="F120" s="41">
        <v>381</v>
      </c>
      <c r="G120" s="42">
        <f>[27]Production!$DB$12</f>
        <v>1.0377882964035235E-2</v>
      </c>
      <c r="H120" s="24">
        <f t="shared" si="12"/>
        <v>1.1227121079600387E-2</v>
      </c>
      <c r="I120" s="25">
        <f t="shared" si="13"/>
        <v>22825.795719164071</v>
      </c>
    </row>
    <row r="121" spans="1:9" x14ac:dyDescent="0.45">
      <c r="A121" s="15"/>
      <c r="B121" s="17"/>
      <c r="C121" s="17"/>
      <c r="D121" s="17"/>
      <c r="E121" s="17"/>
      <c r="F121" s="41">
        <v>392</v>
      </c>
      <c r="G121" s="42">
        <f>[27]Production!$DE$12</f>
        <v>0.13916505947906724</v>
      </c>
      <c r="H121" s="24">
        <f t="shared" si="12"/>
        <v>0.1505531502172347</v>
      </c>
      <c r="I121" s="25">
        <f t="shared" si="13"/>
        <v>306088.74949957681</v>
      </c>
    </row>
    <row r="122" spans="1:9" x14ac:dyDescent="0.45">
      <c r="A122" s="15"/>
      <c r="B122" s="17"/>
      <c r="C122" s="17"/>
      <c r="D122" s="17"/>
      <c r="E122" s="17"/>
      <c r="F122" s="41">
        <v>410</v>
      </c>
      <c r="G122" s="42">
        <f>[27]Production!$DJ$12</f>
        <v>0.11263465064617592</v>
      </c>
      <c r="H122" s="24">
        <f t="shared" si="12"/>
        <v>0.12185171724767714</v>
      </c>
      <c r="I122" s="25">
        <f t="shared" si="13"/>
        <v>247736.03011893574</v>
      </c>
    </row>
    <row r="123" spans="1:9" x14ac:dyDescent="0.45">
      <c r="A123" s="15"/>
      <c r="B123" s="17"/>
      <c r="C123" s="17"/>
      <c r="D123" s="17"/>
      <c r="E123" s="17"/>
      <c r="F123" s="41">
        <v>528</v>
      </c>
      <c r="G123" s="42">
        <f>[27]Production!$EO$12</f>
        <v>2.0221514305110096E-2</v>
      </c>
      <c r="H123" s="24">
        <f t="shared" si="12"/>
        <v>2.1876271904695526E-2</v>
      </c>
      <c r="I123" s="25">
        <f t="shared" si="13"/>
        <v>44476.523416209726</v>
      </c>
    </row>
    <row r="124" spans="1:9" x14ac:dyDescent="0.45">
      <c r="A124" s="15"/>
      <c r="B124" s="17"/>
      <c r="C124" s="17"/>
      <c r="D124" s="17"/>
      <c r="E124" s="17"/>
      <c r="F124" s="41">
        <v>643</v>
      </c>
      <c r="G124" s="42">
        <f>[27]Production!$FU$12</f>
        <v>1.0669410311701866E-2</v>
      </c>
      <c r="H124" s="24">
        <f t="shared" si="12"/>
        <v>1.1542504558255015E-2</v>
      </c>
      <c r="I124" s="25">
        <f t="shared" si="13"/>
        <v>23467.00006762792</v>
      </c>
    </row>
    <row r="125" spans="1:9" x14ac:dyDescent="0.45">
      <c r="A125" s="15"/>
      <c r="B125" s="17"/>
      <c r="C125" s="17"/>
      <c r="D125" s="17"/>
      <c r="E125" s="17"/>
      <c r="F125" s="41">
        <v>702</v>
      </c>
      <c r="G125" s="42">
        <f>[27]Production!$GL$12</f>
        <v>1.773539800454824E-2</v>
      </c>
      <c r="H125" s="24">
        <f t="shared" si="12"/>
        <v>1.9186712885663849E-2</v>
      </c>
      <c r="I125" s="25">
        <f t="shared" si="13"/>
        <v>39008.396341798805</v>
      </c>
    </row>
    <row r="126" spans="1:9" x14ac:dyDescent="0.45">
      <c r="A126" s="15"/>
      <c r="B126" s="17"/>
      <c r="C126" s="17"/>
      <c r="D126" s="17"/>
      <c r="E126" s="17"/>
      <c r="F126" s="41">
        <v>788</v>
      </c>
      <c r="G126" s="42">
        <f>[27]Production!$HI$12</f>
        <v>1.0906066480113264E-2</v>
      </c>
      <c r="H126" s="24">
        <f t="shared" si="12"/>
        <v>1.1798526664709369E-2</v>
      </c>
      <c r="I126" s="25">
        <f t="shared" si="13"/>
        <v>23987.51714944113</v>
      </c>
    </row>
    <row r="127" spans="1:9" x14ac:dyDescent="0.45">
      <c r="A127" s="15"/>
      <c r="B127" s="17"/>
      <c r="C127" s="17"/>
      <c r="D127" s="17"/>
      <c r="E127" s="17"/>
      <c r="F127" s="41">
        <v>826</v>
      </c>
      <c r="G127" s="42">
        <f>[27]Production!$HR$12</f>
        <v>0.10611079020437125</v>
      </c>
      <c r="H127" s="24">
        <f t="shared" si="12"/>
        <v>0.114793999277607</v>
      </c>
      <c r="I127" s="25">
        <f t="shared" si="13"/>
        <v>233387.02403927312</v>
      </c>
    </row>
    <row r="128" spans="1:9" x14ac:dyDescent="0.45">
      <c r="A128" s="15"/>
      <c r="B128" s="17"/>
      <c r="C128" s="17"/>
      <c r="D128" s="17"/>
      <c r="E128" s="17"/>
      <c r="F128" s="41">
        <v>842</v>
      </c>
      <c r="G128" s="42">
        <f>[27]Production!$HT$12</f>
        <v>0.16475723570102258</v>
      </c>
      <c r="H128" s="24">
        <f t="shared" si="12"/>
        <v>0.17823957355907602</v>
      </c>
      <c r="I128" s="25">
        <f t="shared" si="13"/>
        <v>362377.85860551154</v>
      </c>
    </row>
    <row r="129" spans="1:9" x14ac:dyDescent="0.45">
      <c r="A129" s="51"/>
      <c r="B129" s="45"/>
      <c r="C129" s="45"/>
      <c r="D129" s="45"/>
      <c r="E129" s="45"/>
      <c r="F129" s="45" t="s">
        <v>86</v>
      </c>
      <c r="G129" s="56">
        <f>SUM(G114:G128)</f>
        <v>0.92435833642978937</v>
      </c>
      <c r="H129" s="45"/>
      <c r="I129" s="28"/>
    </row>
    <row r="131" spans="1:9" x14ac:dyDescent="0.45">
      <c r="A131" s="30" t="s">
        <v>606</v>
      </c>
    </row>
    <row r="132" spans="1:9" ht="32" x14ac:dyDescent="0.45">
      <c r="A132" s="14" t="s">
        <v>1</v>
      </c>
      <c r="B132" s="5" t="s">
        <v>2</v>
      </c>
      <c r="C132" s="5" t="s">
        <v>119</v>
      </c>
      <c r="D132" s="5" t="s">
        <v>4</v>
      </c>
      <c r="E132" s="5"/>
      <c r="F132" s="10" t="s">
        <v>388</v>
      </c>
      <c r="G132" s="10" t="s">
        <v>798</v>
      </c>
      <c r="H132" s="10" t="s">
        <v>83</v>
      </c>
      <c r="I132" s="11" t="s">
        <v>84</v>
      </c>
    </row>
    <row r="133" spans="1:9" ht="48" x14ac:dyDescent="0.45">
      <c r="A133" s="16" t="s">
        <v>607</v>
      </c>
      <c r="B133" s="104">
        <f>'[9]Weight%'!$B$181</f>
        <v>0.66999999999999993</v>
      </c>
      <c r="C133" s="17" t="s">
        <v>803</v>
      </c>
      <c r="D133" s="48" t="s">
        <v>191</v>
      </c>
      <c r="E133" s="17"/>
      <c r="F133" s="41">
        <v>76</v>
      </c>
      <c r="G133" s="121">
        <v>20000000</v>
      </c>
      <c r="H133" s="89">
        <f t="shared" ref="H133:H138" si="14">G133/$G$139</f>
        <v>2.1146231477222867E-2</v>
      </c>
      <c r="I133" s="25">
        <f t="shared" ref="I133:I138" si="15">H133*$B$134</f>
        <v>276591.13956832589</v>
      </c>
    </row>
    <row r="134" spans="1:9" ht="32" x14ac:dyDescent="0.45">
      <c r="A134" s="16" t="s">
        <v>608</v>
      </c>
      <c r="B134" s="23">
        <f>B133*data_rawmat!B209</f>
        <v>13079925.842401238</v>
      </c>
      <c r="C134" s="17" t="s">
        <v>11</v>
      </c>
      <c r="D134" s="17"/>
      <c r="E134" s="17"/>
      <c r="F134" s="41">
        <v>156</v>
      </c>
      <c r="G134" s="110">
        <v>858000000</v>
      </c>
      <c r="H134" s="89">
        <f t="shared" si="14"/>
        <v>0.90717333037286096</v>
      </c>
      <c r="I134" s="25">
        <f t="shared" si="15"/>
        <v>11865759.887481181</v>
      </c>
    </row>
    <row r="135" spans="1:9" ht="32" x14ac:dyDescent="0.45">
      <c r="A135" s="16" t="s">
        <v>609</v>
      </c>
      <c r="B135" s="23">
        <f>B133*data_rawmat!B216</f>
        <v>72624320.748021036</v>
      </c>
      <c r="C135" s="17" t="s">
        <v>11</v>
      </c>
      <c r="D135" s="17"/>
      <c r="E135" s="17"/>
      <c r="F135" s="41">
        <v>376</v>
      </c>
      <c r="G135" s="110">
        <v>18500000</v>
      </c>
      <c r="H135" s="89">
        <f t="shared" si="14"/>
        <v>1.956026411643115E-2</v>
      </c>
      <c r="I135" s="25">
        <f t="shared" si="15"/>
        <v>255846.80410070141</v>
      </c>
    </row>
    <row r="136" spans="1:9" x14ac:dyDescent="0.45">
      <c r="A136" s="15"/>
      <c r="B136" s="17"/>
      <c r="C136" s="17"/>
      <c r="D136" s="17"/>
      <c r="E136" s="17"/>
      <c r="F136" s="41">
        <v>643</v>
      </c>
      <c r="G136" s="110">
        <v>12795000</v>
      </c>
      <c r="H136" s="89">
        <f t="shared" si="14"/>
        <v>1.3528301587553328E-2</v>
      </c>
      <c r="I136" s="25">
        <f t="shared" si="15"/>
        <v>176949.18153883648</v>
      </c>
    </row>
    <row r="137" spans="1:9" x14ac:dyDescent="0.45">
      <c r="A137" s="15"/>
      <c r="B137" s="17"/>
      <c r="C137" s="17"/>
      <c r="D137" s="17"/>
      <c r="E137" s="17"/>
      <c r="F137" s="41">
        <v>792</v>
      </c>
      <c r="G137" s="110">
        <v>4500000</v>
      </c>
      <c r="H137" s="89">
        <f t="shared" si="14"/>
        <v>4.7579020823751445E-3</v>
      </c>
      <c r="I137" s="25">
        <f t="shared" si="15"/>
        <v>62233.006402873318</v>
      </c>
    </row>
    <row r="138" spans="1:9" x14ac:dyDescent="0.45">
      <c r="A138" s="15"/>
      <c r="B138" s="17"/>
      <c r="C138" s="17"/>
      <c r="D138" s="17"/>
      <c r="E138" s="17"/>
      <c r="F138" s="41">
        <v>842</v>
      </c>
      <c r="G138" s="110">
        <v>32000000</v>
      </c>
      <c r="H138" s="89">
        <f t="shared" si="14"/>
        <v>3.3833970363556586E-2</v>
      </c>
      <c r="I138" s="25">
        <f t="shared" si="15"/>
        <v>442545.82330932142</v>
      </c>
    </row>
    <row r="139" spans="1:9" x14ac:dyDescent="0.45">
      <c r="A139" s="51"/>
      <c r="B139" s="45"/>
      <c r="C139" s="45"/>
      <c r="D139" s="45"/>
      <c r="E139" s="45"/>
      <c r="F139" s="102" t="s">
        <v>86</v>
      </c>
      <c r="G139" s="122">
        <f>SUM(G133:G138)</f>
        <v>945795000</v>
      </c>
      <c r="H139" s="72"/>
      <c r="I139" s="28"/>
    </row>
    <row r="140" spans="1:9" x14ac:dyDescent="0.45">
      <c r="H140" s="65"/>
    </row>
    <row r="141" spans="1:9" x14ac:dyDescent="0.45">
      <c r="A141" s="30" t="s">
        <v>610</v>
      </c>
    </row>
    <row r="142" spans="1:9" ht="32" x14ac:dyDescent="0.45">
      <c r="A142" s="14" t="s">
        <v>1</v>
      </c>
      <c r="B142" s="5" t="s">
        <v>2</v>
      </c>
      <c r="C142" s="5" t="s">
        <v>119</v>
      </c>
      <c r="D142" s="5" t="s">
        <v>4</v>
      </c>
      <c r="E142" s="5"/>
      <c r="F142" s="10" t="s">
        <v>268</v>
      </c>
      <c r="G142" s="10" t="s">
        <v>82</v>
      </c>
      <c r="H142" s="10" t="s">
        <v>83</v>
      </c>
      <c r="I142" s="11" t="s">
        <v>84</v>
      </c>
    </row>
    <row r="143" spans="1:9" ht="48" x14ac:dyDescent="0.45">
      <c r="A143" s="16" t="s">
        <v>611</v>
      </c>
      <c r="B143" s="104">
        <f>'[9]Weight%'!$B$182</f>
        <v>0.33</v>
      </c>
      <c r="C143" s="17" t="s">
        <v>803</v>
      </c>
      <c r="D143" s="48" t="s">
        <v>191</v>
      </c>
      <c r="E143" s="17"/>
      <c r="F143" s="41">
        <v>40</v>
      </c>
      <c r="G143" s="42">
        <f>[32]Production!$M$11</f>
        <v>4.3291342081859814E-2</v>
      </c>
      <c r="H143" s="24">
        <f>G143/$G$158</f>
        <v>4.8204987735168972E-2</v>
      </c>
      <c r="I143" s="25">
        <f>H143*$B$144</f>
        <v>310553.4766973994</v>
      </c>
    </row>
    <row r="144" spans="1:9" ht="32" x14ac:dyDescent="0.45">
      <c r="A144" s="16" t="s">
        <v>612</v>
      </c>
      <c r="B144" s="23">
        <f>B143*data_rawmat!B209</f>
        <v>6442351.5343170287</v>
      </c>
      <c r="C144" s="17" t="s">
        <v>11</v>
      </c>
      <c r="D144" s="17"/>
      <c r="E144" s="17"/>
      <c r="F144" s="41">
        <v>124</v>
      </c>
      <c r="G144" s="42">
        <f>[32]Production!$AM$11</f>
        <v>0.12172224382110139</v>
      </c>
      <c r="H144" s="24">
        <f t="shared" ref="H144:H157" si="16">G144/$G$158</f>
        <v>0.13553793872683201</v>
      </c>
      <c r="I144" s="25">
        <f t="shared" ref="I144:I157" si="17">H144*$B$144</f>
        <v>873183.04751497356</v>
      </c>
    </row>
    <row r="145" spans="1:9" ht="32" x14ac:dyDescent="0.45">
      <c r="A145" s="16" t="s">
        <v>613</v>
      </c>
      <c r="B145" s="23">
        <f>B143*data_rawmat!B216</f>
        <v>35770187.831114843</v>
      </c>
      <c r="C145" s="17" t="s">
        <v>11</v>
      </c>
      <c r="D145" s="17"/>
      <c r="E145" s="17"/>
      <c r="F145" s="41">
        <v>156</v>
      </c>
      <c r="G145" s="42">
        <f>[32]Production!$AT$11</f>
        <v>7.7634986013017437E-2</v>
      </c>
      <c r="H145" s="24">
        <f t="shared" si="16"/>
        <v>8.6446697390462277E-2</v>
      </c>
      <c r="I145" s="25">
        <f t="shared" si="17"/>
        <v>556920.01357008459</v>
      </c>
    </row>
    <row r="146" spans="1:9" x14ac:dyDescent="0.45">
      <c r="A146" s="15"/>
      <c r="B146" s="17"/>
      <c r="C146" s="17"/>
      <c r="D146" s="17"/>
      <c r="E146" s="17"/>
      <c r="F146" s="41">
        <v>276</v>
      </c>
      <c r="G146" s="42">
        <f>[32]Production!$CE$11</f>
        <v>7.1219089463745874E-2</v>
      </c>
      <c r="H146" s="24">
        <f t="shared" si="16"/>
        <v>7.9302584974567825E-2</v>
      </c>
      <c r="I146" s="25">
        <f t="shared" si="17"/>
        <v>510895.12998621358</v>
      </c>
    </row>
    <row r="147" spans="1:9" x14ac:dyDescent="0.45">
      <c r="A147" s="15"/>
      <c r="B147" s="17"/>
      <c r="C147" s="17"/>
      <c r="D147" s="17"/>
      <c r="E147" s="17"/>
      <c r="F147" s="41">
        <v>381</v>
      </c>
      <c r="G147" s="42">
        <f>[32]Production!$DB$11</f>
        <v>1.791939423076409E-2</v>
      </c>
      <c r="H147" s="24">
        <f t="shared" si="16"/>
        <v>1.9953277897512833E-2</v>
      </c>
      <c r="I147" s="25">
        <f t="shared" si="17"/>
        <v>128546.03047769587</v>
      </c>
    </row>
    <row r="148" spans="1:9" x14ac:dyDescent="0.45">
      <c r="A148" s="15"/>
      <c r="B148" s="17"/>
      <c r="C148" s="17"/>
      <c r="D148" s="17"/>
      <c r="E148" s="17"/>
      <c r="F148" s="41">
        <v>410</v>
      </c>
      <c r="G148" s="42">
        <f>[32]Production!$DJ$11</f>
        <v>1.0279322528427184E-2</v>
      </c>
      <c r="H148" s="24">
        <f t="shared" si="16"/>
        <v>1.1446044233780222E-2</v>
      </c>
      <c r="I148" s="25">
        <f t="shared" si="17"/>
        <v>73739.440631354591</v>
      </c>
    </row>
    <row r="149" spans="1:9" x14ac:dyDescent="0.45">
      <c r="A149" s="15"/>
      <c r="B149" s="17"/>
      <c r="C149" s="17"/>
      <c r="D149" s="17"/>
      <c r="E149" s="17"/>
      <c r="F149" s="41">
        <v>484</v>
      </c>
      <c r="G149" s="42">
        <f>[32]Production!$ED$11</f>
        <v>5.7595177525852255E-2</v>
      </c>
      <c r="H149" s="24">
        <f t="shared" si="16"/>
        <v>6.4132334381981668E-2</v>
      </c>
      <c r="I149" s="25">
        <f t="shared" si="17"/>
        <v>413163.04280509235</v>
      </c>
    </row>
    <row r="150" spans="1:9" x14ac:dyDescent="0.45">
      <c r="A150" s="15"/>
      <c r="B150" s="17"/>
      <c r="C150" s="17"/>
      <c r="D150" s="17"/>
      <c r="E150" s="17"/>
      <c r="F150" s="41">
        <v>528</v>
      </c>
      <c r="G150" s="42">
        <f>[32]Production!$EO$11</f>
        <v>1.7202210429887808E-2</v>
      </c>
      <c r="H150" s="24">
        <f t="shared" si="16"/>
        <v>1.9154692437636563E-2</v>
      </c>
      <c r="I150" s="25">
        <f t="shared" si="17"/>
        <v>123401.26221497871</v>
      </c>
    </row>
    <row r="151" spans="1:9" x14ac:dyDescent="0.45">
      <c r="A151" s="15"/>
      <c r="B151" s="17"/>
      <c r="C151" s="17"/>
      <c r="D151" s="17"/>
      <c r="E151" s="17"/>
      <c r="F151" s="41">
        <v>554</v>
      </c>
      <c r="G151" s="42">
        <f>[32]Production!$EV$11</f>
        <v>0.35071243769228422</v>
      </c>
      <c r="H151" s="24">
        <f t="shared" si="16"/>
        <v>0.39051893391431403</v>
      </c>
      <c r="I151" s="25">
        <f t="shared" si="17"/>
        <v>2515860.2530827313</v>
      </c>
    </row>
    <row r="152" spans="1:9" x14ac:dyDescent="0.45">
      <c r="A152" s="15"/>
      <c r="B152" s="17"/>
      <c r="C152" s="17"/>
      <c r="D152" s="17"/>
      <c r="E152" s="17"/>
      <c r="F152" s="41">
        <v>616</v>
      </c>
      <c r="G152" s="42">
        <f>[32]Production!$FO$11</f>
        <v>2.3496539752603407E-2</v>
      </c>
      <c r="H152" s="24">
        <f t="shared" si="16"/>
        <v>2.6163439526809384E-2</v>
      </c>
      <c r="I152" s="25">
        <f t="shared" si="17"/>
        <v>168554.07477855124</v>
      </c>
    </row>
    <row r="153" spans="1:9" x14ac:dyDescent="0.45">
      <c r="A153" s="15"/>
      <c r="B153" s="17"/>
      <c r="C153" s="17"/>
      <c r="D153" s="17"/>
      <c r="E153" s="17"/>
      <c r="F153" s="41">
        <v>642</v>
      </c>
      <c r="G153" s="42">
        <f>[32]Production!$FT$11</f>
        <v>1.0691351600815635E-2</v>
      </c>
      <c r="H153" s="24">
        <f t="shared" si="16"/>
        <v>1.1904839351368893E-2</v>
      </c>
      <c r="I153" s="25">
        <f t="shared" si="17"/>
        <v>76695.160061089133</v>
      </c>
    </row>
    <row r="154" spans="1:9" x14ac:dyDescent="0.45">
      <c r="A154" s="15"/>
      <c r="B154" s="17"/>
      <c r="C154" s="17"/>
      <c r="D154" s="17"/>
      <c r="E154" s="17"/>
      <c r="F154" s="41">
        <v>699</v>
      </c>
      <c r="G154" s="42">
        <f>[32]Production!$GK$11</f>
        <v>1.3811430019898896E-2</v>
      </c>
      <c r="H154" s="24">
        <f t="shared" si="16"/>
        <v>1.5379052316175472E-2</v>
      </c>
      <c r="I154" s="25">
        <f t="shared" si="17"/>
        <v>99077.261285454908</v>
      </c>
    </row>
    <row r="155" spans="1:9" x14ac:dyDescent="0.45">
      <c r="A155" s="15"/>
      <c r="B155" s="17"/>
      <c r="C155" s="17"/>
      <c r="D155" s="17"/>
      <c r="E155" s="17"/>
      <c r="F155" s="41">
        <v>724</v>
      </c>
      <c r="G155" s="42">
        <f>[32]Production!$GS$11</f>
        <v>2.6161205655971031E-2</v>
      </c>
      <c r="H155" s="24">
        <f t="shared" si="16"/>
        <v>2.9130549831388811E-2</v>
      </c>
      <c r="I155" s="25">
        <f t="shared" si="17"/>
        <v>187669.24240174636</v>
      </c>
    </row>
    <row r="156" spans="1:9" x14ac:dyDescent="0.45">
      <c r="A156" s="15"/>
      <c r="B156" s="17"/>
      <c r="C156" s="17"/>
      <c r="D156" s="17"/>
      <c r="E156" s="17"/>
      <c r="F156" s="41">
        <v>757</v>
      </c>
      <c r="G156" s="42">
        <f>[32]Production!$GZ$11</f>
        <v>3.014745557776051E-2</v>
      </c>
      <c r="H156" s="24">
        <f t="shared" si="16"/>
        <v>3.3569246331622719E-2</v>
      </c>
      <c r="I156" s="25">
        <f t="shared" si="17"/>
        <v>216264.88561039593</v>
      </c>
    </row>
    <row r="157" spans="1:9" x14ac:dyDescent="0.45">
      <c r="A157" s="15"/>
      <c r="B157" s="17"/>
      <c r="C157" s="17"/>
      <c r="D157" s="17"/>
      <c r="E157" s="17"/>
      <c r="F157" s="41">
        <v>842</v>
      </c>
      <c r="G157" s="42">
        <f>[32]Production!$HT$11</f>
        <v>2.6183505681693604E-2</v>
      </c>
      <c r="H157" s="24">
        <f t="shared" si="16"/>
        <v>2.915538095037833E-2</v>
      </c>
      <c r="I157" s="25">
        <f t="shared" si="17"/>
        <v>187829.21319926731</v>
      </c>
    </row>
    <row r="158" spans="1:9" x14ac:dyDescent="0.45">
      <c r="A158" s="51"/>
      <c r="B158" s="45"/>
      <c r="C158" s="45"/>
      <c r="D158" s="45"/>
      <c r="E158" s="45"/>
      <c r="F158" s="45" t="s">
        <v>86</v>
      </c>
      <c r="G158" s="56">
        <f>SUM(G143:G157)</f>
        <v>0.89806769207568315</v>
      </c>
      <c r="H158" s="45"/>
      <c r="I158" s="28"/>
    </row>
    <row r="160" spans="1:9" x14ac:dyDescent="0.45">
      <c r="A160" s="30" t="s">
        <v>614</v>
      </c>
    </row>
    <row r="161" spans="1:9" ht="32" x14ac:dyDescent="0.45">
      <c r="A161" s="14" t="s">
        <v>1</v>
      </c>
      <c r="B161" s="5" t="s">
        <v>2</v>
      </c>
      <c r="C161" s="5" t="s">
        <v>119</v>
      </c>
      <c r="D161" s="5" t="s">
        <v>4</v>
      </c>
      <c r="E161" s="5"/>
      <c r="F161" s="10" t="s">
        <v>268</v>
      </c>
      <c r="G161" s="10" t="s">
        <v>82</v>
      </c>
      <c r="H161" s="10" t="s">
        <v>83</v>
      </c>
      <c r="I161" s="11" t="s">
        <v>84</v>
      </c>
    </row>
    <row r="162" spans="1:9" ht="48" x14ac:dyDescent="0.45">
      <c r="A162" s="16" t="s">
        <v>615</v>
      </c>
      <c r="B162" s="104">
        <f>'[9]Weight%'!$B$183</f>
        <v>0.2</v>
      </c>
      <c r="C162" s="17" t="s">
        <v>803</v>
      </c>
      <c r="D162" s="48" t="s">
        <v>191</v>
      </c>
      <c r="E162" s="17"/>
      <c r="F162" s="41">
        <v>40</v>
      </c>
      <c r="G162" s="42">
        <f>[37]Production!$M$6</f>
        <v>1.8249132279213265E-2</v>
      </c>
      <c r="H162" s="24">
        <f>G162/$G$178</f>
        <v>1.9484075515203918E-2</v>
      </c>
      <c r="I162" s="25">
        <f>H162*$B$163</f>
        <v>9882.1553031302865</v>
      </c>
    </row>
    <row r="163" spans="1:9" ht="32" x14ac:dyDescent="0.45">
      <c r="A163" s="16" t="s">
        <v>616</v>
      </c>
      <c r="B163" s="23">
        <f>B162*data_rawmat!B314</f>
        <v>507191.38793210848</v>
      </c>
      <c r="C163" s="17" t="s">
        <v>11</v>
      </c>
      <c r="D163" s="17"/>
      <c r="E163" s="17"/>
      <c r="F163" s="41">
        <v>156</v>
      </c>
      <c r="G163" s="42">
        <f>[37]Production!$AT$6</f>
        <v>0.14236887774778248</v>
      </c>
      <c r="H163" s="24">
        <f t="shared" ref="H163:H177" si="18">G163/$G$178</f>
        <v>0.15200317048566075</v>
      </c>
      <c r="I163" s="25">
        <f t="shared" ref="I163:I177" si="19">H163*$B$163</f>
        <v>77094.699008703188</v>
      </c>
    </row>
    <row r="164" spans="1:9" ht="32" x14ac:dyDescent="0.45">
      <c r="A164" s="16" t="s">
        <v>617</v>
      </c>
      <c r="B164" s="23">
        <f>B162*data_rawmat!B315</f>
        <v>2798017.1121975761</v>
      </c>
      <c r="C164" s="17" t="s">
        <v>11</v>
      </c>
      <c r="D164" s="17"/>
      <c r="E164" s="17"/>
      <c r="F164" s="41">
        <v>222</v>
      </c>
      <c r="G164" s="42">
        <f>[37]Production!$BM$6</f>
        <v>4.5196683378326261E-2</v>
      </c>
      <c r="H164" s="24">
        <f t="shared" si="18"/>
        <v>4.8255203508121791E-2</v>
      </c>
      <c r="I164" s="25">
        <f t="shared" si="19"/>
        <v>24474.623642230643</v>
      </c>
    </row>
    <row r="165" spans="1:9" x14ac:dyDescent="0.45">
      <c r="A165" s="15"/>
      <c r="B165" s="17"/>
      <c r="C165" s="17"/>
      <c r="D165" s="17"/>
      <c r="E165" s="17"/>
      <c r="F165" s="41">
        <v>233</v>
      </c>
      <c r="G165" s="42">
        <f>[37]Production!$BQ$6</f>
        <v>3.4650019282684151E-2</v>
      </c>
      <c r="H165" s="24">
        <f t="shared" si="18"/>
        <v>3.6994832520124352E-2</v>
      </c>
      <c r="I165" s="25">
        <f t="shared" si="19"/>
        <v>18763.460452197771</v>
      </c>
    </row>
    <row r="166" spans="1:9" x14ac:dyDescent="0.45">
      <c r="A166" s="15"/>
      <c r="B166" s="17"/>
      <c r="C166" s="17"/>
      <c r="D166" s="17"/>
      <c r="E166" s="17"/>
      <c r="F166" s="41">
        <v>251</v>
      </c>
      <c r="G166" s="42">
        <f>[37]Production!$BW$6</f>
        <v>3.8905707674508294E-2</v>
      </c>
      <c r="H166" s="24">
        <f t="shared" si="18"/>
        <v>4.153850904823668E-2</v>
      </c>
      <c r="I166" s="25">
        <f t="shared" si="19"/>
        <v>21067.974056805608</v>
      </c>
    </row>
    <row r="167" spans="1:9" x14ac:dyDescent="0.45">
      <c r="A167" s="15"/>
      <c r="B167" s="17"/>
      <c r="C167" s="17"/>
      <c r="D167" s="17"/>
      <c r="E167" s="17"/>
      <c r="F167" s="41">
        <v>276</v>
      </c>
      <c r="G167" s="42">
        <f>[37]Production!$CE$6</f>
        <v>1.7182799845738526E-2</v>
      </c>
      <c r="H167" s="24">
        <f t="shared" si="18"/>
        <v>1.8345582937022625E-2</v>
      </c>
      <c r="I167" s="25">
        <f t="shared" si="19"/>
        <v>9304.7216722521116</v>
      </c>
    </row>
    <row r="168" spans="1:9" x14ac:dyDescent="0.45">
      <c r="A168" s="15"/>
      <c r="B168" s="17"/>
      <c r="C168" s="17"/>
      <c r="D168" s="17"/>
      <c r="E168" s="17"/>
      <c r="F168" s="41">
        <v>360</v>
      </c>
      <c r="G168" s="42">
        <f>[37]Production!$CW$6</f>
        <v>0.19502506748939452</v>
      </c>
      <c r="H168" s="24">
        <f t="shared" si="18"/>
        <v>0.20822267514874518</v>
      </c>
      <c r="I168" s="25">
        <f t="shared" si="19"/>
        <v>105608.74760762863</v>
      </c>
    </row>
    <row r="169" spans="1:9" x14ac:dyDescent="0.45">
      <c r="A169" s="15"/>
      <c r="B169" s="17"/>
      <c r="C169" s="17"/>
      <c r="D169" s="17"/>
      <c r="E169" s="17"/>
      <c r="F169" s="41">
        <v>392</v>
      </c>
      <c r="G169" s="42">
        <f>[37]Production!$DE$6</f>
        <v>0.10396644812957964</v>
      </c>
      <c r="H169" s="24">
        <f t="shared" si="18"/>
        <v>0.1110019969942149</v>
      </c>
      <c r="I169" s="25">
        <f t="shared" si="19"/>
        <v>56299.256918731589</v>
      </c>
    </row>
    <row r="170" spans="1:9" x14ac:dyDescent="0.45">
      <c r="A170" s="15"/>
      <c r="B170" s="17"/>
      <c r="C170" s="17"/>
      <c r="D170" s="17"/>
      <c r="E170" s="17"/>
      <c r="F170" s="41">
        <v>410</v>
      </c>
      <c r="G170" s="42">
        <f>[37]Production!$DJ$6</f>
        <v>5.8174893945237179E-2</v>
      </c>
      <c r="H170" s="24">
        <f t="shared" si="18"/>
        <v>6.2111666975480206E-2</v>
      </c>
      <c r="I170" s="25">
        <f t="shared" si="19"/>
        <v>31502.502580070712</v>
      </c>
    </row>
    <row r="171" spans="1:9" x14ac:dyDescent="0.45">
      <c r="A171" s="15"/>
      <c r="B171" s="17"/>
      <c r="C171" s="17"/>
      <c r="D171" s="17"/>
      <c r="E171" s="17"/>
      <c r="F171" s="41">
        <v>458</v>
      </c>
      <c r="G171" s="42">
        <f>[37]Production!$DX$6</f>
        <v>2.8593328191284226E-2</v>
      </c>
      <c r="H171" s="24">
        <f t="shared" si="18"/>
        <v>3.0528277026331499E-2</v>
      </c>
      <c r="I171" s="25">
        <f t="shared" si="19"/>
        <v>15483.679196160974</v>
      </c>
    </row>
    <row r="172" spans="1:9" x14ac:dyDescent="0.45">
      <c r="A172" s="15"/>
      <c r="B172" s="17"/>
      <c r="C172" s="17"/>
      <c r="D172" s="17"/>
      <c r="E172" s="17"/>
      <c r="F172" s="41">
        <v>484</v>
      </c>
      <c r="G172" s="42">
        <f>[37]Production!$ED$6</f>
        <v>3.8632857693790976E-2</v>
      </c>
      <c r="H172" s="24">
        <f t="shared" si="18"/>
        <v>4.1247194943693E-2</v>
      </c>
      <c r="I172" s="25">
        <f t="shared" si="19"/>
        <v>20920.2220517979</v>
      </c>
    </row>
    <row r="173" spans="1:9" x14ac:dyDescent="0.45">
      <c r="A173" s="15"/>
      <c r="B173" s="17"/>
      <c r="C173" s="17"/>
      <c r="D173" s="17"/>
      <c r="E173" s="17"/>
      <c r="F173" s="41">
        <v>512</v>
      </c>
      <c r="G173" s="42">
        <f>[37]Production!$EK$6</f>
        <v>1.591785576552256E-2</v>
      </c>
      <c r="H173" s="24">
        <f t="shared" si="18"/>
        <v>1.6995038395816606E-2</v>
      </c>
      <c r="I173" s="25">
        <f t="shared" si="19"/>
        <v>8619.7371119336985</v>
      </c>
    </row>
    <row r="174" spans="1:9" x14ac:dyDescent="0.45">
      <c r="A174" s="15"/>
      <c r="B174" s="17"/>
      <c r="C174" s="17"/>
      <c r="D174" s="17"/>
      <c r="E174" s="17"/>
      <c r="F174" s="41">
        <v>528</v>
      </c>
      <c r="G174" s="42">
        <f>[37]Production!$EO$6</f>
        <v>1.6035480138835326E-2</v>
      </c>
      <c r="H174" s="24">
        <f t="shared" si="18"/>
        <v>1.7120622568093387E-2</v>
      </c>
      <c r="I174" s="25">
        <f t="shared" si="19"/>
        <v>8683.4323225730641</v>
      </c>
    </row>
    <row r="175" spans="1:9" x14ac:dyDescent="0.45">
      <c r="A175" s="15"/>
      <c r="B175" s="17"/>
      <c r="C175" s="17"/>
      <c r="D175" s="17"/>
      <c r="E175" s="17"/>
      <c r="F175" s="41">
        <v>764</v>
      </c>
      <c r="G175" s="42">
        <f>[37]Production!$HC$6</f>
        <v>3.3229849595063636E-2</v>
      </c>
      <c r="H175" s="24">
        <f t="shared" si="18"/>
        <v>3.5478558046651433E-2</v>
      </c>
      <c r="I175" s="25">
        <f t="shared" si="19"/>
        <v>17994.419097511014</v>
      </c>
    </row>
    <row r="176" spans="1:9" x14ac:dyDescent="0.45">
      <c r="A176" s="15"/>
      <c r="B176" s="17"/>
      <c r="C176" s="17"/>
      <c r="D176" s="17"/>
      <c r="E176" s="17"/>
      <c r="F176" s="41">
        <v>826</v>
      </c>
      <c r="G176" s="42">
        <f>[37]Production!$HR$6</f>
        <v>1.6264944080215966E-2</v>
      </c>
      <c r="H176" s="24">
        <f t="shared" si="18"/>
        <v>1.7365614641879232E-2</v>
      </c>
      <c r="I176" s="25">
        <f t="shared" si="19"/>
        <v>8807.6901925088732</v>
      </c>
    </row>
    <row r="177" spans="1:9" x14ac:dyDescent="0.45">
      <c r="A177" s="15"/>
      <c r="B177" s="17"/>
      <c r="C177" s="17"/>
      <c r="D177" s="17"/>
      <c r="E177" s="17"/>
      <c r="F177" s="41">
        <v>842</v>
      </c>
      <c r="G177" s="42">
        <f>[37]Production!$HT$6</f>
        <v>0.13422387196297725</v>
      </c>
      <c r="H177" s="24">
        <f t="shared" si="18"/>
        <v>0.14330698124472444</v>
      </c>
      <c r="I177" s="25">
        <f t="shared" si="19"/>
        <v>72684.066717872425</v>
      </c>
    </row>
    <row r="178" spans="1:9" x14ac:dyDescent="0.45">
      <c r="A178" s="51"/>
      <c r="B178" s="45"/>
      <c r="C178" s="45"/>
      <c r="D178" s="45"/>
      <c r="E178" s="45"/>
      <c r="F178" s="45" t="s">
        <v>86</v>
      </c>
      <c r="G178" s="56">
        <f>SUM(G162:G177)</f>
        <v>0.93661781720015425</v>
      </c>
      <c r="H178" s="45"/>
      <c r="I178" s="28"/>
    </row>
    <row r="180" spans="1:9" x14ac:dyDescent="0.45">
      <c r="A180" s="30" t="s">
        <v>618</v>
      </c>
    </row>
    <row r="181" spans="1:9" ht="32" x14ac:dyDescent="0.45">
      <c r="A181" s="14" t="s">
        <v>1</v>
      </c>
      <c r="B181" s="5" t="s">
        <v>2</v>
      </c>
      <c r="C181" s="5" t="s">
        <v>119</v>
      </c>
      <c r="D181" s="5" t="s">
        <v>4</v>
      </c>
      <c r="E181" s="5"/>
      <c r="F181" s="10" t="s">
        <v>268</v>
      </c>
      <c r="G181" s="10" t="s">
        <v>82</v>
      </c>
      <c r="H181" s="10" t="s">
        <v>83</v>
      </c>
      <c r="I181" s="11" t="s">
        <v>84</v>
      </c>
    </row>
    <row r="182" spans="1:9" ht="32" x14ac:dyDescent="0.45">
      <c r="A182" s="16" t="s">
        <v>619</v>
      </c>
      <c r="B182" s="104">
        <f>'[9]Weight%'!$B$184</f>
        <v>0.48</v>
      </c>
      <c r="C182" s="17" t="s">
        <v>803</v>
      </c>
      <c r="D182" s="66" t="s">
        <v>191</v>
      </c>
      <c r="E182" s="17"/>
      <c r="F182" s="41">
        <v>36</v>
      </c>
      <c r="G182" s="42">
        <f>[38]Production!$L$6</f>
        <v>1.2457546172480056E-2</v>
      </c>
      <c r="H182" s="24">
        <f>G182/$G$197</f>
        <v>1.3418068196185124E-2</v>
      </c>
      <c r="I182" s="25">
        <f>H182*$B$186</f>
        <v>477259.43317486852</v>
      </c>
    </row>
    <row r="183" spans="1:9" x14ac:dyDescent="0.45">
      <c r="A183" s="16" t="s">
        <v>620</v>
      </c>
      <c r="B183" s="104">
        <f>'[9]Weight%'!$B$154</f>
        <v>0.03</v>
      </c>
      <c r="C183" s="17" t="s">
        <v>803</v>
      </c>
      <c r="D183" s="66"/>
      <c r="E183" s="17"/>
      <c r="F183" s="41">
        <v>56</v>
      </c>
      <c r="G183" s="42">
        <f>[38]Production!$S$6</f>
        <v>2.8764036922467262E-2</v>
      </c>
      <c r="H183" s="24">
        <f t="shared" ref="H183:H196" si="20">G183/$G$197</f>
        <v>3.0981848566282767E-2</v>
      </c>
      <c r="I183" s="25">
        <f t="shared" ref="I183:I196" si="21">H183*$B$186</f>
        <v>1101975.282079549</v>
      </c>
    </row>
    <row r="184" spans="1:9" ht="32" x14ac:dyDescent="0.45">
      <c r="A184" s="16" t="s">
        <v>621</v>
      </c>
      <c r="B184" s="23">
        <f>B182*data_rawmat!B340</f>
        <v>6449787.0633646958</v>
      </c>
      <c r="C184" s="17" t="s">
        <v>11</v>
      </c>
      <c r="D184" s="17"/>
      <c r="E184" s="17"/>
      <c r="F184" s="41">
        <v>124</v>
      </c>
      <c r="G184" s="42">
        <f>[38]Production!$AM$6</f>
        <v>2.5129739846842608E-2</v>
      </c>
      <c r="H184" s="24">
        <f t="shared" si="20"/>
        <v>2.7067333995696226E-2</v>
      </c>
      <c r="I184" s="25">
        <f t="shared" si="21"/>
        <v>962742.198911582</v>
      </c>
    </row>
    <row r="185" spans="1:9" ht="32" x14ac:dyDescent="0.45">
      <c r="A185" s="16" t="s">
        <v>622</v>
      </c>
      <c r="B185" s="23">
        <f>B183*data_3tier!B74</f>
        <v>29118629.060094692</v>
      </c>
      <c r="C185" s="17" t="s">
        <v>11</v>
      </c>
      <c r="D185" s="17"/>
      <c r="E185" s="17"/>
      <c r="F185" s="41">
        <v>156</v>
      </c>
      <c r="G185" s="42">
        <f>[38]Production!$AT$6</f>
        <v>0.41862088881756837</v>
      </c>
      <c r="H185" s="24">
        <f t="shared" si="20"/>
        <v>0.45089807870112114</v>
      </c>
      <c r="I185" s="25">
        <f t="shared" si="21"/>
        <v>16037730.492509816</v>
      </c>
    </row>
    <row r="186" spans="1:9" ht="32" x14ac:dyDescent="0.45">
      <c r="A186" s="16" t="s">
        <v>709</v>
      </c>
      <c r="B186" s="23">
        <f>SUM(B184:B185)</f>
        <v>35568416.123459384</v>
      </c>
      <c r="C186" s="17" t="s">
        <v>11</v>
      </c>
      <c r="D186" s="17"/>
      <c r="E186" s="17"/>
      <c r="F186" s="41">
        <v>203</v>
      </c>
      <c r="G186" s="42">
        <f>[38]Production!$BG$6</f>
        <v>2.1058293097808135E-2</v>
      </c>
      <c r="H186" s="24">
        <f t="shared" si="20"/>
        <v>2.2681963925275304E-2</v>
      </c>
      <c r="I186" s="25">
        <f t="shared" si="21"/>
        <v>806761.53139148618</v>
      </c>
    </row>
    <row r="187" spans="1:9" ht="32" x14ac:dyDescent="0.45">
      <c r="A187" s="16" t="s">
        <v>623</v>
      </c>
      <c r="B187" s="23">
        <f>B182*data_rawmat!B347</f>
        <v>39725282.559322856</v>
      </c>
      <c r="C187" s="17" t="s">
        <v>11</v>
      </c>
      <c r="D187" s="17"/>
      <c r="E187" s="17"/>
      <c r="F187" s="41">
        <v>251</v>
      </c>
      <c r="G187" s="42">
        <f>[38]Production!$BW$6</f>
        <v>7.8600070493052537E-2</v>
      </c>
      <c r="H187" s="24">
        <f t="shared" si="20"/>
        <v>8.4660421201615696E-2</v>
      </c>
      <c r="I187" s="25">
        <f t="shared" si="21"/>
        <v>3011237.0904864105</v>
      </c>
    </row>
    <row r="188" spans="1:9" x14ac:dyDescent="0.45">
      <c r="A188" s="16" t="s">
        <v>624</v>
      </c>
      <c r="B188" s="23">
        <f>B183*data_3tier!B81</f>
        <v>160638418.42043373</v>
      </c>
      <c r="C188" s="17" t="s">
        <v>11</v>
      </c>
      <c r="D188" s="17"/>
      <c r="E188" s="17"/>
      <c r="F188" s="41">
        <v>276</v>
      </c>
      <c r="G188" s="42">
        <f>[38]Production!$CE$6</f>
        <v>0.10481710441847793</v>
      </c>
      <c r="H188" s="24">
        <f t="shared" si="20"/>
        <v>0.1128988835956125</v>
      </c>
      <c r="I188" s="25">
        <f t="shared" si="21"/>
        <v>4015634.4716027477</v>
      </c>
    </row>
    <row r="189" spans="1:9" ht="32" x14ac:dyDescent="0.45">
      <c r="A189" s="16" t="s">
        <v>710</v>
      </c>
      <c r="B189" s="23">
        <f>SUM(B187:B188)</f>
        <v>200363700.97975659</v>
      </c>
      <c r="C189" s="17" t="s">
        <v>11</v>
      </c>
      <c r="D189" s="17"/>
      <c r="E189" s="17"/>
      <c r="F189" s="41">
        <v>392</v>
      </c>
      <c r="G189" s="42">
        <f>[38]Production!$DE$6</f>
        <v>4.1096389769985184E-2</v>
      </c>
      <c r="H189" s="24">
        <f t="shared" si="20"/>
        <v>4.4265070577770613E-2</v>
      </c>
      <c r="I189" s="25">
        <f t="shared" si="21"/>
        <v>1574438.4500444438</v>
      </c>
    </row>
    <row r="190" spans="1:9" x14ac:dyDescent="0.45">
      <c r="A190" s="15"/>
      <c r="B190" s="17"/>
      <c r="C190" s="17"/>
      <c r="D190" s="17"/>
      <c r="E190" s="17"/>
      <c r="F190" s="41">
        <v>410</v>
      </c>
      <c r="G190" s="42">
        <f>[38]Production!$DJ$6</f>
        <v>7.625076206943604E-2</v>
      </c>
      <c r="H190" s="24">
        <f t="shared" si="20"/>
        <v>8.2129972571885063E-2</v>
      </c>
      <c r="I190" s="25">
        <f t="shared" si="21"/>
        <v>2921233.0406451137</v>
      </c>
    </row>
    <row r="191" spans="1:9" x14ac:dyDescent="0.45">
      <c r="A191" s="15"/>
      <c r="B191" s="17"/>
      <c r="C191" s="17"/>
      <c r="D191" s="17"/>
      <c r="E191" s="17"/>
      <c r="F191" s="41">
        <v>528</v>
      </c>
      <c r="G191" s="42">
        <f>[38]Production!$EO$6</f>
        <v>1.4143484018390903E-2</v>
      </c>
      <c r="H191" s="24">
        <f t="shared" si="20"/>
        <v>1.5233997969011129E-2</v>
      </c>
      <c r="I191" s="25">
        <f t="shared" si="21"/>
        <v>541849.17898572295</v>
      </c>
    </row>
    <row r="192" spans="1:9" x14ac:dyDescent="0.45">
      <c r="A192" s="15"/>
      <c r="B192" s="17"/>
      <c r="C192" s="17"/>
      <c r="D192" s="17"/>
      <c r="E192" s="17"/>
      <c r="F192" s="41">
        <v>579</v>
      </c>
      <c r="G192" s="42">
        <f>[38]Production!$FB$6</f>
        <v>1.5972811706888471E-2</v>
      </c>
      <c r="H192" s="24">
        <f t="shared" si="20"/>
        <v>1.7204373461710862E-2</v>
      </c>
      <c r="I192" s="25">
        <f t="shared" si="21"/>
        <v>611932.31442953332</v>
      </c>
    </row>
    <row r="193" spans="1:9" x14ac:dyDescent="0.45">
      <c r="A193" s="15"/>
      <c r="B193" s="17"/>
      <c r="C193" s="17"/>
      <c r="D193" s="17"/>
      <c r="E193" s="17"/>
      <c r="F193" s="41">
        <v>699</v>
      </c>
      <c r="G193" s="42">
        <f>[38]Production!$GK$6</f>
        <v>2.2784214341241976E-2</v>
      </c>
      <c r="H193" s="24">
        <f t="shared" si="20"/>
        <v>2.4540959960690317E-2</v>
      </c>
      <c r="I193" s="25">
        <f t="shared" si="21"/>
        <v>872883.07595098857</v>
      </c>
    </row>
    <row r="194" spans="1:9" x14ac:dyDescent="0.45">
      <c r="A194" s="15"/>
      <c r="B194" s="17"/>
      <c r="C194" s="17"/>
      <c r="D194" s="17"/>
      <c r="E194" s="17"/>
      <c r="F194" s="41">
        <v>704</v>
      </c>
      <c r="G194" s="42">
        <f>[38]Production!$GN$6</f>
        <v>1.6551349445483188E-2</v>
      </c>
      <c r="H194" s="24">
        <f t="shared" si="20"/>
        <v>1.7827518559714157E-2</v>
      </c>
      <c r="I194" s="25">
        <f t="shared" si="21"/>
        <v>634096.59858060849</v>
      </c>
    </row>
    <row r="195" spans="1:9" x14ac:dyDescent="0.45">
      <c r="A195" s="15"/>
      <c r="B195" s="17"/>
      <c r="C195" s="17"/>
      <c r="D195" s="17"/>
      <c r="E195" s="17"/>
      <c r="F195" s="41">
        <v>826</v>
      </c>
      <c r="G195" s="42">
        <f>[38]Production!$HR$6</f>
        <v>2.3859469674368101E-2</v>
      </c>
      <c r="H195" s="24">
        <f t="shared" si="20"/>
        <v>2.5699121382565727E-2</v>
      </c>
      <c r="I195" s="25">
        <f t="shared" si="21"/>
        <v>914077.04334239068</v>
      </c>
    </row>
    <row r="196" spans="1:9" x14ac:dyDescent="0.45">
      <c r="A196" s="15"/>
      <c r="B196" s="17"/>
      <c r="C196" s="17"/>
      <c r="D196" s="17"/>
      <c r="E196" s="17"/>
      <c r="F196" s="41">
        <v>842</v>
      </c>
      <c r="G196" s="42">
        <f>[38]Production!$HT$6</f>
        <v>2.8309613394363557E-2</v>
      </c>
      <c r="H196" s="24">
        <f t="shared" si="20"/>
        <v>3.0492387334863331E-2</v>
      </c>
      <c r="I196" s="25">
        <f t="shared" si="21"/>
        <v>1084565.9213241215</v>
      </c>
    </row>
    <row r="197" spans="1:9" x14ac:dyDescent="0.45">
      <c r="A197" s="51"/>
      <c r="B197" s="45"/>
      <c r="C197" s="45"/>
      <c r="D197" s="45"/>
      <c r="E197" s="45"/>
      <c r="F197" s="45" t="s">
        <v>86</v>
      </c>
      <c r="G197" s="56">
        <f>SUM(G182:G196)</f>
        <v>0.92841577418885435</v>
      </c>
      <c r="H197" s="45"/>
      <c r="I197" s="28"/>
    </row>
    <row r="199" spans="1:9" x14ac:dyDescent="0.45">
      <c r="A199" s="30" t="s">
        <v>625</v>
      </c>
    </row>
    <row r="200" spans="1:9" ht="32" x14ac:dyDescent="0.45">
      <c r="A200" s="14" t="s">
        <v>1</v>
      </c>
      <c r="B200" s="5" t="s">
        <v>2</v>
      </c>
      <c r="C200" s="5" t="s">
        <v>119</v>
      </c>
      <c r="D200" s="5" t="s">
        <v>4</v>
      </c>
      <c r="E200" s="5"/>
      <c r="F200" s="10" t="s">
        <v>268</v>
      </c>
      <c r="G200" s="10" t="s">
        <v>82</v>
      </c>
      <c r="H200" s="10" t="s">
        <v>83</v>
      </c>
      <c r="I200" s="11" t="s">
        <v>84</v>
      </c>
    </row>
    <row r="201" spans="1:9" ht="48" x14ac:dyDescent="0.45">
      <c r="A201" s="16" t="s">
        <v>626</v>
      </c>
      <c r="B201" s="104">
        <f>'[9]Weight%'!$B$185</f>
        <v>0.52</v>
      </c>
      <c r="C201" s="17" t="s">
        <v>803</v>
      </c>
      <c r="D201" s="48" t="s">
        <v>191</v>
      </c>
      <c r="E201" s="17"/>
      <c r="F201" s="41">
        <v>56</v>
      </c>
      <c r="G201" s="42">
        <f>[38]Production!$S$9</f>
        <v>1.1101754357089185E-2</v>
      </c>
      <c r="H201" s="24">
        <f>G201/$G$221</f>
        <v>1.2086139825123188E-2</v>
      </c>
      <c r="I201" s="25">
        <f>H201*$B$202</f>
        <v>84449.113980937764</v>
      </c>
    </row>
    <row r="202" spans="1:9" ht="32" x14ac:dyDescent="0.45">
      <c r="A202" s="16" t="s">
        <v>627</v>
      </c>
      <c r="B202" s="23">
        <f>B201*data_rawmat!B340</f>
        <v>6987269.318645088</v>
      </c>
      <c r="C202" s="6" t="s">
        <v>11</v>
      </c>
      <c r="D202" s="17"/>
      <c r="E202" s="17"/>
      <c r="F202" s="41">
        <v>124</v>
      </c>
      <c r="G202" s="42">
        <f>[38]Production!$AM$9</f>
        <v>2.6410202276808972E-2</v>
      </c>
      <c r="H202" s="24">
        <f t="shared" ref="H202:H220" si="22">G202/$G$221</f>
        <v>2.875197804421532E-2</v>
      </c>
      <c r="I202" s="25">
        <f t="shared" ref="I202:I220" si="23">H202*$B$202</f>
        <v>200897.8140387029</v>
      </c>
    </row>
    <row r="203" spans="1:9" ht="32" x14ac:dyDescent="0.45">
      <c r="A203" s="16" t="s">
        <v>628</v>
      </c>
      <c r="B203" s="23">
        <f>B201*data_rawmat!B347</f>
        <v>43035722.772599764</v>
      </c>
      <c r="C203" s="6" t="s">
        <v>11</v>
      </c>
      <c r="D203" s="17"/>
      <c r="E203" s="17"/>
      <c r="F203" s="41">
        <v>233</v>
      </c>
      <c r="G203" s="42">
        <f>[38]Production!$BQ$9</f>
        <v>4.973230117486787E-2</v>
      </c>
      <c r="H203" s="24">
        <f t="shared" si="22"/>
        <v>5.4142032555491409E-2</v>
      </c>
      <c r="I203" s="25">
        <f t="shared" si="23"/>
        <v>378304.96292406862</v>
      </c>
    </row>
    <row r="204" spans="1:9" x14ac:dyDescent="0.45">
      <c r="A204" s="15"/>
      <c r="B204" s="17"/>
      <c r="C204" s="17"/>
      <c r="D204" s="17"/>
      <c r="E204" s="17"/>
      <c r="F204" s="41">
        <v>251</v>
      </c>
      <c r="G204" s="42">
        <f>[38]Production!$BW$9</f>
        <v>6.977434168087325E-2</v>
      </c>
      <c r="H204" s="24">
        <f t="shared" si="22"/>
        <v>7.596118799209893E-2</v>
      </c>
      <c r="I204" s="25">
        <f t="shared" si="23"/>
        <v>530761.27826502454</v>
      </c>
    </row>
    <row r="205" spans="1:9" x14ac:dyDescent="0.45">
      <c r="A205" s="15"/>
      <c r="B205" s="17"/>
      <c r="C205" s="17"/>
      <c r="D205" s="17"/>
      <c r="E205" s="17"/>
      <c r="F205" s="41">
        <v>276</v>
      </c>
      <c r="G205" s="42">
        <f>[38]Production!$CE$9</f>
        <v>0.13131512844162727</v>
      </c>
      <c r="H205" s="24">
        <f t="shared" si="22"/>
        <v>0.14295875700817112</v>
      </c>
      <c r="I205" s="25">
        <f t="shared" si="23"/>
        <v>998891.33667483251</v>
      </c>
    </row>
    <row r="206" spans="1:9" x14ac:dyDescent="0.45">
      <c r="A206" s="15"/>
      <c r="B206" s="17"/>
      <c r="C206" s="17"/>
      <c r="D206" s="17"/>
      <c r="E206" s="17"/>
      <c r="F206" s="41">
        <v>376</v>
      </c>
      <c r="G206" s="42">
        <f>[38]Production!$DA$9</f>
        <v>1.3668925159543118E-2</v>
      </c>
      <c r="H206" s="24">
        <f t="shared" si="22"/>
        <v>1.4880940022951298E-2</v>
      </c>
      <c r="I206" s="25">
        <f t="shared" si="23"/>
        <v>103977.13565496533</v>
      </c>
    </row>
    <row r="207" spans="1:9" x14ac:dyDescent="0.45">
      <c r="A207" s="15"/>
      <c r="B207" s="17"/>
      <c r="C207" s="17"/>
      <c r="D207" s="17"/>
      <c r="E207" s="17"/>
      <c r="F207" s="41">
        <v>381</v>
      </c>
      <c r="G207" s="42">
        <f>[38]Production!$DB$9</f>
        <v>3.7902149630270179E-2</v>
      </c>
      <c r="H207" s="24">
        <f t="shared" si="22"/>
        <v>4.1262909029478406E-2</v>
      </c>
      <c r="I207" s="25">
        <f t="shared" si="23"/>
        <v>288315.05825971783</v>
      </c>
    </row>
    <row r="208" spans="1:9" x14ac:dyDescent="0.45">
      <c r="A208" s="15"/>
      <c r="B208" s="17"/>
      <c r="C208" s="17"/>
      <c r="D208" s="17"/>
      <c r="E208" s="17"/>
      <c r="F208" s="41">
        <v>392</v>
      </c>
      <c r="G208" s="42">
        <f>[38]Production!$DE$9</f>
        <v>8.8039520354606382E-2</v>
      </c>
      <c r="H208" s="24">
        <f t="shared" si="22"/>
        <v>9.5845928392667257E-2</v>
      </c>
      <c r="I208" s="25">
        <f t="shared" si="23"/>
        <v>669701.31477513805</v>
      </c>
    </row>
    <row r="209" spans="1:9" x14ac:dyDescent="0.45">
      <c r="A209" s="15"/>
      <c r="B209" s="17"/>
      <c r="C209" s="17"/>
      <c r="D209" s="17"/>
      <c r="E209" s="17"/>
      <c r="F209" s="41">
        <v>410</v>
      </c>
      <c r="G209" s="42">
        <f>[38]Production!$DJ$9</f>
        <v>2.8423680433914238E-2</v>
      </c>
      <c r="H209" s="24">
        <f t="shared" si="22"/>
        <v>3.0943990023481104E-2</v>
      </c>
      <c r="I209" s="25">
        <f t="shared" si="23"/>
        <v>216213.99208752922</v>
      </c>
    </row>
    <row r="210" spans="1:9" x14ac:dyDescent="0.45">
      <c r="A210" s="15"/>
      <c r="B210" s="17"/>
      <c r="C210" s="17"/>
      <c r="D210" s="17"/>
      <c r="E210" s="17"/>
      <c r="F210" s="41">
        <v>484</v>
      </c>
      <c r="G210" s="42">
        <f>[38]Production!$ED$9</f>
        <v>1.2909350515013608E-2</v>
      </c>
      <c r="H210" s="24">
        <f t="shared" si="22"/>
        <v>1.4054014379839795E-2</v>
      </c>
      <c r="I210" s="25">
        <f t="shared" si="23"/>
        <v>98199.183480051477</v>
      </c>
    </row>
    <row r="211" spans="1:9" x14ac:dyDescent="0.45">
      <c r="A211" s="15"/>
      <c r="B211" s="17"/>
      <c r="C211" s="17"/>
      <c r="D211" s="17"/>
      <c r="E211" s="17"/>
      <c r="F211" s="41">
        <v>528</v>
      </c>
      <c r="G211" s="42">
        <f>[38]Production!$EO$9</f>
        <v>1.2154935185706862E-2</v>
      </c>
      <c r="H211" s="24">
        <f t="shared" si="22"/>
        <v>1.323270552513655E-2</v>
      </c>
      <c r="I211" s="25">
        <f t="shared" si="23"/>
        <v>92460.477318451958</v>
      </c>
    </row>
    <row r="212" spans="1:9" x14ac:dyDescent="0.45">
      <c r="A212" s="15"/>
      <c r="B212" s="17"/>
      <c r="C212" s="17"/>
      <c r="D212" s="17"/>
      <c r="E212" s="17"/>
      <c r="F212" s="41">
        <v>616</v>
      </c>
      <c r="G212" s="42">
        <f>[38]Production!$FO$9</f>
        <v>2.7713594067610453E-2</v>
      </c>
      <c r="H212" s="24">
        <f t="shared" si="22"/>
        <v>3.017094075261691E-2</v>
      </c>
      <c r="I212" s="25">
        <f t="shared" si="23"/>
        <v>210812.48863541888</v>
      </c>
    </row>
    <row r="213" spans="1:9" x14ac:dyDescent="0.45">
      <c r="A213" s="15"/>
      <c r="B213" s="17"/>
      <c r="C213" s="17"/>
      <c r="D213" s="17"/>
      <c r="E213" s="17"/>
      <c r="F213" s="41">
        <v>643</v>
      </c>
      <c r="G213" s="42">
        <f>[38]Production!$FU$9</f>
        <v>1.2374997388690148E-2</v>
      </c>
      <c r="H213" s="24">
        <f t="shared" si="22"/>
        <v>1.3472280503102283E-2</v>
      </c>
      <c r="I213" s="25">
        <f t="shared" si="23"/>
        <v>94134.452211506999</v>
      </c>
    </row>
    <row r="214" spans="1:9" x14ac:dyDescent="0.45">
      <c r="A214" s="15"/>
      <c r="B214" s="17"/>
      <c r="C214" s="17"/>
      <c r="D214" s="17"/>
      <c r="E214" s="17"/>
      <c r="F214" s="41">
        <v>702</v>
      </c>
      <c r="G214" s="42">
        <f>[38]Production!$GL$9</f>
        <v>2.208110949966037E-2</v>
      </c>
      <c r="H214" s="24">
        <f t="shared" si="22"/>
        <v>2.4039027375554751E-2</v>
      </c>
      <c r="I214" s="25">
        <f t="shared" si="23"/>
        <v>167967.15843128305</v>
      </c>
    </row>
    <row r="215" spans="1:9" x14ac:dyDescent="0.45">
      <c r="A215" s="15"/>
      <c r="B215" s="17"/>
      <c r="C215" s="17"/>
      <c r="D215" s="17"/>
      <c r="E215" s="17"/>
      <c r="F215" s="41">
        <v>703</v>
      </c>
      <c r="G215" s="42">
        <f>[38]Production!$GM$9</f>
        <v>1.3307329962580721E-2</v>
      </c>
      <c r="H215" s="24">
        <f t="shared" si="22"/>
        <v>1.448728241082896E-2</v>
      </c>
      <c r="I215" s="25">
        <f t="shared" si="23"/>
        <v>101226.54389973184</v>
      </c>
    </row>
    <row r="216" spans="1:9" x14ac:dyDescent="0.45">
      <c r="A216" s="15"/>
      <c r="B216" s="17"/>
      <c r="C216" s="17"/>
      <c r="D216" s="17"/>
      <c r="E216" s="17"/>
      <c r="F216" s="41">
        <v>724</v>
      </c>
      <c r="G216" s="42">
        <f>[38]Production!$GS$9</f>
        <v>2.2675950057828645E-2</v>
      </c>
      <c r="H216" s="24">
        <f t="shared" si="22"/>
        <v>2.4686612066084787E-2</v>
      </c>
      <c r="I216" s="25">
        <f t="shared" si="23"/>
        <v>172492.00707064787</v>
      </c>
    </row>
    <row r="217" spans="1:9" x14ac:dyDescent="0.45">
      <c r="A217" s="15"/>
      <c r="B217" s="17"/>
      <c r="C217" s="17"/>
      <c r="D217" s="17"/>
      <c r="E217" s="17"/>
      <c r="F217" s="41">
        <v>752</v>
      </c>
      <c r="G217" s="42">
        <f>[38]Production!$GY$9</f>
        <v>1.0399422789739862E-2</v>
      </c>
      <c r="H217" s="24">
        <f t="shared" si="22"/>
        <v>1.1321532966283675E-2</v>
      </c>
      <c r="I217" s="25">
        <f t="shared" si="23"/>
        <v>79106.599935342834</v>
      </c>
    </row>
    <row r="218" spans="1:9" x14ac:dyDescent="0.45">
      <c r="A218" s="15"/>
      <c r="B218" s="17"/>
      <c r="C218" s="17"/>
      <c r="D218" s="17"/>
      <c r="E218" s="17"/>
      <c r="F218" s="41">
        <v>757</v>
      </c>
      <c r="G218" s="42">
        <f>[38]Production!$GZ$9</f>
        <v>1.9706463450841222E-2</v>
      </c>
      <c r="H218" s="24">
        <f t="shared" si="22"/>
        <v>2.1453822978298606E-2</v>
      </c>
      <c r="I218" s="25">
        <f t="shared" si="23"/>
        <v>149903.63906390883</v>
      </c>
    </row>
    <row r="219" spans="1:9" x14ac:dyDescent="0.45">
      <c r="A219" s="15"/>
      <c r="B219" s="17"/>
      <c r="C219" s="17"/>
      <c r="D219" s="17"/>
      <c r="E219" s="17"/>
      <c r="F219" s="41">
        <v>826</v>
      </c>
      <c r="G219" s="42">
        <f>[38]Production!$HR$9</f>
        <v>6.9885077044718913E-2</v>
      </c>
      <c r="H219" s="24">
        <f t="shared" si="22"/>
        <v>7.6081742189928928E-2</v>
      </c>
      <c r="I219" s="25">
        <f t="shared" si="23"/>
        <v>531603.62291275593</v>
      </c>
    </row>
    <row r="220" spans="1:9" x14ac:dyDescent="0.45">
      <c r="A220" s="15"/>
      <c r="B220" s="17"/>
      <c r="C220" s="17"/>
      <c r="D220" s="17"/>
      <c r="E220" s="17"/>
      <c r="F220" s="41">
        <v>842</v>
      </c>
      <c r="G220" s="42">
        <f>[38]Production!$HT$9</f>
        <v>0.23897630006830553</v>
      </c>
      <c r="H220" s="24">
        <f t="shared" si="22"/>
        <v>0.26016617595864661</v>
      </c>
      <c r="I220" s="25">
        <f t="shared" si="23"/>
        <v>1817851.1390250707</v>
      </c>
    </row>
    <row r="221" spans="1:9" x14ac:dyDescent="0.45">
      <c r="A221" s="51"/>
      <c r="B221" s="45"/>
      <c r="C221" s="45"/>
      <c r="D221" s="45"/>
      <c r="E221" s="45"/>
      <c r="F221" s="45" t="s">
        <v>86</v>
      </c>
      <c r="G221" s="56">
        <f>SUM(G201:G220)</f>
        <v>0.91855253354029687</v>
      </c>
      <c r="H221" s="45"/>
      <c r="I221" s="28"/>
    </row>
    <row r="223" spans="1:9" x14ac:dyDescent="0.45">
      <c r="A223" s="30" t="s">
        <v>629</v>
      </c>
    </row>
    <row r="224" spans="1:9" ht="32" x14ac:dyDescent="0.45">
      <c r="A224" s="14" t="s">
        <v>1</v>
      </c>
      <c r="B224" s="5" t="s">
        <v>2</v>
      </c>
      <c r="C224" s="5" t="s">
        <v>119</v>
      </c>
      <c r="D224" s="5" t="s">
        <v>4</v>
      </c>
      <c r="E224" s="5"/>
      <c r="F224" s="10" t="s">
        <v>268</v>
      </c>
      <c r="G224" s="10" t="s">
        <v>82</v>
      </c>
      <c r="H224" s="10" t="s">
        <v>83</v>
      </c>
      <c r="I224" s="11" t="s">
        <v>84</v>
      </c>
    </row>
    <row r="225" spans="1:9" ht="48" x14ac:dyDescent="0.45">
      <c r="A225" s="16" t="s">
        <v>630</v>
      </c>
      <c r="B225" s="104">
        <f>'[9]Weight%'!$B$186</f>
        <v>1</v>
      </c>
      <c r="C225" s="17" t="s">
        <v>803</v>
      </c>
      <c r="D225" s="48" t="s">
        <v>191</v>
      </c>
      <c r="E225" s="17"/>
      <c r="F225" s="41">
        <v>40</v>
      </c>
      <c r="G225" s="42">
        <f>[39]Production!$M$6</f>
        <v>1.6641100918404421E-2</v>
      </c>
      <c r="H225" s="24">
        <f>G225/$G$234</f>
        <v>1.7489150336299369E-2</v>
      </c>
      <c r="I225" s="25">
        <f>H225*$B$226</f>
        <v>74247.956930501285</v>
      </c>
    </row>
    <row r="226" spans="1:9" ht="32" x14ac:dyDescent="0.45">
      <c r="A226" s="16" t="s">
        <v>631</v>
      </c>
      <c r="B226" s="23">
        <f>B225*data_rawmat!B355</f>
        <v>4245372.445360993</v>
      </c>
      <c r="C226" s="6" t="s">
        <v>11</v>
      </c>
      <c r="D226" s="17"/>
      <c r="E226" s="17"/>
      <c r="F226" s="41">
        <v>76</v>
      </c>
      <c r="G226" s="42">
        <f>[39]Production!$Z$6</f>
        <v>0.30253912434660152</v>
      </c>
      <c r="H226" s="24">
        <f t="shared" ref="H226:H233" si="24">G226/$G$234</f>
        <v>0.31795686200414003</v>
      </c>
      <c r="I226" s="25">
        <f t="shared" ref="I226:I233" si="25">H226*$B$226</f>
        <v>1349845.3007658238</v>
      </c>
    </row>
    <row r="227" spans="1:9" ht="32" x14ac:dyDescent="0.45">
      <c r="A227" s="16" t="s">
        <v>632</v>
      </c>
      <c r="B227" s="23">
        <f>B225*data_rawmat!B358</f>
        <v>14940503.709402483</v>
      </c>
      <c r="C227" s="6" t="s">
        <v>11</v>
      </c>
      <c r="D227" s="17"/>
      <c r="E227" s="17"/>
      <c r="F227" s="41">
        <v>156</v>
      </c>
      <c r="G227" s="42">
        <f>[39]Production!$AT$6</f>
        <v>0.12270739682868032</v>
      </c>
      <c r="H227" s="24">
        <f t="shared" si="24"/>
        <v>0.12896070524632702</v>
      </c>
      <c r="I227" s="25">
        <f t="shared" si="25"/>
        <v>547486.22458707762</v>
      </c>
    </row>
    <row r="228" spans="1:9" x14ac:dyDescent="0.45">
      <c r="A228" s="15"/>
      <c r="B228" s="17"/>
      <c r="C228" s="17"/>
      <c r="D228" s="17"/>
      <c r="E228" s="17"/>
      <c r="F228" s="41">
        <v>276</v>
      </c>
      <c r="G228" s="42">
        <f>[39]Production!$CE$6</f>
        <v>3.2834589078333559E-2</v>
      </c>
      <c r="H228" s="24">
        <f t="shared" si="24"/>
        <v>3.4507877059172895E-2</v>
      </c>
      <c r="I228" s="25">
        <f t="shared" si="25"/>
        <v>146498.79041491734</v>
      </c>
    </row>
    <row r="229" spans="1:9" x14ac:dyDescent="0.45">
      <c r="A229" s="15"/>
      <c r="B229" s="17"/>
      <c r="C229" s="17"/>
      <c r="D229" s="17"/>
      <c r="E229" s="17"/>
      <c r="F229" s="41">
        <v>410</v>
      </c>
      <c r="G229" s="42">
        <f>[39]Production!$DJ$6</f>
        <v>2.3458960874327375E-2</v>
      </c>
      <c r="H229" s="24">
        <f t="shared" si="24"/>
        <v>2.4654456185090816E-2</v>
      </c>
      <c r="I229" s="25">
        <f t="shared" si="25"/>
        <v>104667.34894354445</v>
      </c>
    </row>
    <row r="230" spans="1:9" x14ac:dyDescent="0.45">
      <c r="A230" s="15"/>
      <c r="B230" s="17"/>
      <c r="C230" s="17"/>
      <c r="D230" s="17"/>
      <c r="E230" s="17"/>
      <c r="F230" s="41">
        <v>528</v>
      </c>
      <c r="G230" s="42">
        <f>[39]Production!$EO$6</f>
        <v>1.9643193384730036E-2</v>
      </c>
      <c r="H230" s="24">
        <f t="shared" si="24"/>
        <v>2.0644232847034757E-2</v>
      </c>
      <c r="I230" s="25">
        <f t="shared" si="25"/>
        <v>87642.457284417687</v>
      </c>
    </row>
    <row r="231" spans="1:9" x14ac:dyDescent="0.45">
      <c r="A231" s="15"/>
      <c r="B231" s="17"/>
      <c r="C231" s="17"/>
      <c r="D231" s="17"/>
      <c r="E231" s="17"/>
      <c r="F231" s="41">
        <v>643</v>
      </c>
      <c r="G231" s="42">
        <f>[39]Production!$FU$6</f>
        <v>0.288493159040701</v>
      </c>
      <c r="H231" s="24">
        <f t="shared" si="24"/>
        <v>0.3031950983409164</v>
      </c>
      <c r="I231" s="25">
        <f t="shared" si="25"/>
        <v>1287176.116065043</v>
      </c>
    </row>
    <row r="232" spans="1:9" x14ac:dyDescent="0.45">
      <c r="A232" s="15"/>
      <c r="B232" s="17"/>
      <c r="C232" s="17"/>
      <c r="D232" s="17"/>
      <c r="E232" s="17"/>
      <c r="F232" s="41">
        <v>699</v>
      </c>
      <c r="G232" s="42">
        <f>[39]Production!$GK$6</f>
        <v>1.0298753271964929E-2</v>
      </c>
      <c r="H232" s="24">
        <f t="shared" si="24"/>
        <v>1.0823589444773317E-2</v>
      </c>
      <c r="I232" s="25">
        <f t="shared" si="25"/>
        <v>45950.168388740727</v>
      </c>
    </row>
    <row r="233" spans="1:9" x14ac:dyDescent="0.45">
      <c r="A233" s="15"/>
      <c r="B233" s="17"/>
      <c r="C233" s="17"/>
      <c r="D233" s="17"/>
      <c r="E233" s="17"/>
      <c r="F233" s="41">
        <v>710</v>
      </c>
      <c r="G233" s="42">
        <f>[39]Production!$GQ$6</f>
        <v>0.13489369263287426</v>
      </c>
      <c r="H233" s="24">
        <f t="shared" si="24"/>
        <v>0.14176802853624534</v>
      </c>
      <c r="I233" s="25">
        <f t="shared" si="25"/>
        <v>601858.08198092692</v>
      </c>
    </row>
    <row r="234" spans="1:9" x14ac:dyDescent="0.45">
      <c r="A234" s="51"/>
      <c r="B234" s="45"/>
      <c r="C234" s="45"/>
      <c r="D234" s="45"/>
      <c r="E234" s="45"/>
      <c r="F234" s="45" t="s">
        <v>86</v>
      </c>
      <c r="G234" s="56">
        <f>SUM(G225:G233)</f>
        <v>0.95150997037661744</v>
      </c>
      <c r="H234" s="45"/>
      <c r="I234" s="28"/>
    </row>
    <row r="236" spans="1:9" x14ac:dyDescent="0.45">
      <c r="A236" s="30" t="s">
        <v>633</v>
      </c>
    </row>
    <row r="237" spans="1:9" ht="32" x14ac:dyDescent="0.45">
      <c r="A237" s="14" t="s">
        <v>1</v>
      </c>
      <c r="B237" s="5" t="s">
        <v>2</v>
      </c>
      <c r="C237" s="5" t="s">
        <v>119</v>
      </c>
      <c r="D237" s="5" t="s">
        <v>4</v>
      </c>
      <c r="E237" s="5"/>
      <c r="F237" s="10" t="s">
        <v>268</v>
      </c>
      <c r="G237" s="10" t="s">
        <v>82</v>
      </c>
      <c r="H237" s="10" t="s">
        <v>83</v>
      </c>
      <c r="I237" s="11" t="s">
        <v>84</v>
      </c>
    </row>
    <row r="238" spans="1:9" ht="48" x14ac:dyDescent="0.45">
      <c r="A238" s="16" t="s">
        <v>634</v>
      </c>
      <c r="B238" s="104">
        <f>'[9]Weight%'!$B$188</f>
        <v>0.54</v>
      </c>
      <c r="C238" s="17" t="s">
        <v>803</v>
      </c>
      <c r="D238" s="48" t="s">
        <v>191</v>
      </c>
      <c r="E238" s="17"/>
      <c r="F238" s="41">
        <v>56</v>
      </c>
      <c r="G238" s="42">
        <f>[40]Ferro_tungsten!$S$3</f>
        <v>4.30062867592899E-2</v>
      </c>
      <c r="H238" s="24">
        <f>G238/$G$251</f>
        <v>4.5342741681585384E-2</v>
      </c>
      <c r="I238" s="25">
        <f>H238*$B$239</f>
        <v>885895.15806174662</v>
      </c>
    </row>
    <row r="239" spans="1:9" ht="32" x14ac:dyDescent="0.45">
      <c r="A239" s="16" t="s">
        <v>635</v>
      </c>
      <c r="B239" s="23">
        <f>B238*data_rawmat!B368</f>
        <v>19537750.149359114</v>
      </c>
      <c r="C239" s="6" t="s">
        <v>11</v>
      </c>
      <c r="D239" s="17"/>
      <c r="E239" s="17"/>
      <c r="F239" s="41">
        <v>76</v>
      </c>
      <c r="G239" s="42">
        <f>[40]Ferro_tungsten!$Z$3</f>
        <v>1.3747426967580053E-2</v>
      </c>
      <c r="H239" s="24">
        <f t="shared" ref="H239:H250" si="26">G239/$G$251</f>
        <v>1.4494300176771073E-2</v>
      </c>
      <c r="I239" s="25">
        <f t="shared" ref="I239:I250" si="27">H239*$B$239</f>
        <v>283186.01544356486</v>
      </c>
    </row>
    <row r="240" spans="1:9" ht="32" x14ac:dyDescent="0.45">
      <c r="A240" s="16" t="s">
        <v>636</v>
      </c>
      <c r="B240" s="23">
        <f>B238*data_rawmat!B371</f>
        <v>106891525.4626763</v>
      </c>
      <c r="C240" s="6" t="s">
        <v>11</v>
      </c>
      <c r="D240" s="17"/>
      <c r="E240" s="17"/>
      <c r="F240" s="41">
        <v>156</v>
      </c>
      <c r="G240" s="42">
        <f>[40]Ferro_tungsten!$AT$3</f>
        <v>0.28300328597954816</v>
      </c>
      <c r="H240" s="24">
        <f t="shared" si="26"/>
        <v>0.29837835019408138</v>
      </c>
      <c r="I240" s="25">
        <f t="shared" si="27"/>
        <v>5829641.65606994</v>
      </c>
    </row>
    <row r="241" spans="1:9" x14ac:dyDescent="0.45">
      <c r="A241" s="15"/>
      <c r="B241" s="17"/>
      <c r="C241" s="17"/>
      <c r="D241" s="17"/>
      <c r="E241" s="17"/>
      <c r="F241" s="41">
        <v>233</v>
      </c>
      <c r="G241" s="42">
        <f>[40]Ferro_tungsten!$BQ$3</f>
        <v>3.3547963126452064E-2</v>
      </c>
      <c r="H241" s="24">
        <f t="shared" si="26"/>
        <v>3.5370564180537599E-2</v>
      </c>
      <c r="I241" s="25">
        <f t="shared" si="27"/>
        <v>691061.24560121458</v>
      </c>
    </row>
    <row r="242" spans="1:9" x14ac:dyDescent="0.45">
      <c r="A242" s="15"/>
      <c r="B242" s="17"/>
      <c r="C242" s="17"/>
      <c r="D242" s="17"/>
      <c r="E242" s="17"/>
      <c r="F242" s="41">
        <v>251</v>
      </c>
      <c r="G242" s="42">
        <f>[40]Ferro_tungsten!$BW$3</f>
        <v>1.0228425975772056E-2</v>
      </c>
      <c r="H242" s="24">
        <f t="shared" si="26"/>
        <v>1.0784118131948859E-2</v>
      </c>
      <c r="I242" s="25">
        <f t="shared" si="27"/>
        <v>210697.40564319014</v>
      </c>
    </row>
    <row r="243" spans="1:9" x14ac:dyDescent="0.45">
      <c r="A243" s="15"/>
      <c r="B243" s="17"/>
      <c r="C243" s="17"/>
      <c r="D243" s="17"/>
      <c r="E243" s="17"/>
      <c r="F243" s="41">
        <v>276</v>
      </c>
      <c r="G243" s="42">
        <f>[40]Ferro_tungsten!$CE$3</f>
        <v>2.1587383146137343E-2</v>
      </c>
      <c r="H243" s="24">
        <f t="shared" si="26"/>
        <v>2.2760187203683092E-2</v>
      </c>
      <c r="I243" s="25">
        <f t="shared" si="27"/>
        <v>444682.85093820072</v>
      </c>
    </row>
    <row r="244" spans="1:9" x14ac:dyDescent="0.45">
      <c r="A244" s="15"/>
      <c r="B244" s="17"/>
      <c r="C244" s="17"/>
      <c r="D244" s="17"/>
      <c r="E244" s="17"/>
      <c r="F244" s="41">
        <v>381</v>
      </c>
      <c r="G244" s="42">
        <f>[40]Ferro_tungsten!$DB$3</f>
        <v>1.2397285635464356E-2</v>
      </c>
      <c r="H244" s="24">
        <f t="shared" si="26"/>
        <v>1.3070808072037582E-2</v>
      </c>
      <c r="I244" s="25">
        <f t="shared" si="27"/>
        <v>255374.18236169658</v>
      </c>
    </row>
    <row r="245" spans="1:9" x14ac:dyDescent="0.45">
      <c r="A245" s="15"/>
      <c r="B245" s="17"/>
      <c r="C245" s="17"/>
      <c r="D245" s="17"/>
      <c r="E245" s="17"/>
      <c r="F245" s="41">
        <v>410</v>
      </c>
      <c r="G245" s="42">
        <f>[40]Ferro_tungsten!$DJ$3</f>
        <v>2.4710121952778372E-2</v>
      </c>
      <c r="H245" s="24">
        <f t="shared" si="26"/>
        <v>2.6052578844958665E-2</v>
      </c>
      <c r="I245" s="25">
        <f t="shared" si="27"/>
        <v>509008.77621928125</v>
      </c>
    </row>
    <row r="246" spans="1:9" x14ac:dyDescent="0.45">
      <c r="A246" s="15"/>
      <c r="B246" s="17"/>
      <c r="C246" s="17"/>
      <c r="D246" s="17"/>
      <c r="E246" s="17"/>
      <c r="F246" s="41">
        <v>528</v>
      </c>
      <c r="G246" s="42">
        <f>[40]Ferro_tungsten!$EO$3</f>
        <v>7.1018942841222912E-2</v>
      </c>
      <c r="H246" s="24">
        <f t="shared" si="26"/>
        <v>7.4877275449809572E-2</v>
      </c>
      <c r="I246" s="25">
        <f t="shared" si="27"/>
        <v>1462933.4996031206</v>
      </c>
    </row>
    <row r="247" spans="1:9" x14ac:dyDescent="0.45">
      <c r="A247" s="15"/>
      <c r="B247" s="17"/>
      <c r="C247" s="17"/>
      <c r="D247" s="17"/>
      <c r="E247" s="17"/>
      <c r="F247" s="41">
        <v>643</v>
      </c>
      <c r="G247" s="42">
        <f>[40]Ferro_tungsten!$FU$3</f>
        <v>0.39033354966049488</v>
      </c>
      <c r="H247" s="24">
        <f t="shared" si="26"/>
        <v>0.41153967583795031</v>
      </c>
      <c r="I247" s="25">
        <f t="shared" si="27"/>
        <v>8040559.3630701154</v>
      </c>
    </row>
    <row r="248" spans="1:9" x14ac:dyDescent="0.45">
      <c r="A248" s="15"/>
      <c r="B248" s="17"/>
      <c r="C248" s="17"/>
      <c r="D248" s="17"/>
      <c r="E248" s="17"/>
      <c r="F248" s="41">
        <v>704</v>
      </c>
      <c r="G248" s="42">
        <f>[40]Ferro_tungsten!$GN$3</f>
        <v>1.4219546852921768E-2</v>
      </c>
      <c r="H248" s="24">
        <f t="shared" si="26"/>
        <v>1.49920694941643E-2</v>
      </c>
      <c r="I248" s="25">
        <f t="shared" si="27"/>
        <v>292911.30799881078</v>
      </c>
    </row>
    <row r="249" spans="1:9" x14ac:dyDescent="0.45">
      <c r="A249" s="15"/>
      <c r="B249" s="17"/>
      <c r="C249" s="17"/>
      <c r="D249" s="17"/>
      <c r="E249" s="17"/>
      <c r="F249" s="41">
        <v>724</v>
      </c>
      <c r="G249" s="42">
        <f>[40]Ferro_tungsten!$GS$3</f>
        <v>1.0046535136679021E-2</v>
      </c>
      <c r="H249" s="24">
        <f t="shared" si="26"/>
        <v>1.0592345487697939E-2</v>
      </c>
      <c r="I249" s="25">
        <f t="shared" si="27"/>
        <v>206950.59963433375</v>
      </c>
    </row>
    <row r="250" spans="1:9" x14ac:dyDescent="0.45">
      <c r="A250" s="15"/>
      <c r="B250" s="17"/>
      <c r="C250" s="17"/>
      <c r="D250" s="17"/>
      <c r="E250" s="17"/>
      <c r="F250" s="41">
        <v>826</v>
      </c>
      <c r="G250" s="42">
        <f>[40]Ferro_tungsten!$HR$3</f>
        <v>2.062449327789714E-2</v>
      </c>
      <c r="H250" s="24">
        <f t="shared" si="26"/>
        <v>2.174498524477414E-2</v>
      </c>
      <c r="I250" s="25">
        <f t="shared" si="27"/>
        <v>424848.08871389768</v>
      </c>
    </row>
    <row r="251" spans="1:9" x14ac:dyDescent="0.45">
      <c r="A251" s="51"/>
      <c r="B251" s="45"/>
      <c r="C251" s="45"/>
      <c r="D251" s="45"/>
      <c r="E251" s="45"/>
      <c r="F251" s="45" t="s">
        <v>86</v>
      </c>
      <c r="G251" s="56">
        <f>SUM(G238:G250)</f>
        <v>0.94847124731223809</v>
      </c>
      <c r="H251" s="45"/>
      <c r="I251" s="28"/>
    </row>
    <row r="253" spans="1:9" x14ac:dyDescent="0.45">
      <c r="A253" s="30" t="s">
        <v>637</v>
      </c>
    </row>
    <row r="254" spans="1:9" ht="32" x14ac:dyDescent="0.45">
      <c r="A254" s="14" t="s">
        <v>1</v>
      </c>
      <c r="B254" s="5" t="s">
        <v>2</v>
      </c>
      <c r="C254" s="5" t="s">
        <v>119</v>
      </c>
      <c r="D254" s="5" t="s">
        <v>4</v>
      </c>
      <c r="E254" s="5"/>
      <c r="F254" s="10" t="s">
        <v>268</v>
      </c>
      <c r="G254" s="10" t="s">
        <v>82</v>
      </c>
      <c r="H254" s="10" t="s">
        <v>83</v>
      </c>
      <c r="I254" s="11" t="s">
        <v>84</v>
      </c>
    </row>
    <row r="255" spans="1:9" ht="48" x14ac:dyDescent="0.45">
      <c r="A255" s="16" t="s">
        <v>638</v>
      </c>
      <c r="B255" s="104">
        <f>'[9]Weight%'!$B$189</f>
        <v>0.46</v>
      </c>
      <c r="C255" s="17" t="s">
        <v>803</v>
      </c>
      <c r="D255" s="48" t="s">
        <v>191</v>
      </c>
      <c r="E255" s="17"/>
      <c r="F255" s="41">
        <v>40</v>
      </c>
      <c r="G255" s="42">
        <f>[40]Tungsten_scrap!$M$3</f>
        <v>2.871647077158683E-2</v>
      </c>
      <c r="H255" s="24">
        <f>G255/$G$277</f>
        <v>3.2690508449118777E-2</v>
      </c>
      <c r="I255" s="25">
        <f>H255*$B$256</f>
        <v>544076.91428485559</v>
      </c>
    </row>
    <row r="256" spans="1:9" ht="32" x14ac:dyDescent="0.45">
      <c r="A256" s="16" t="s">
        <v>639</v>
      </c>
      <c r="B256" s="23">
        <f>B255*data_rawmat!B368</f>
        <v>16643268.645750355</v>
      </c>
      <c r="C256" s="6" t="s">
        <v>11</v>
      </c>
      <c r="D256" s="17"/>
      <c r="E256" s="17"/>
      <c r="F256" s="41">
        <v>56</v>
      </c>
      <c r="G256" s="42">
        <f>[40]Tungsten_scrap!$S$3</f>
        <v>1.0314518346688889E-2</v>
      </c>
      <c r="H256" s="24">
        <f t="shared" ref="H256:H276" si="28">G256/$G$277</f>
        <v>1.174193207246934E-2</v>
      </c>
      <c r="I256" s="25">
        <f t="shared" ref="I256:I276" si="29">H256*$B$256</f>
        <v>195424.12990225945</v>
      </c>
    </row>
    <row r="257" spans="1:9" ht="32" x14ac:dyDescent="0.45">
      <c r="A257" s="16" t="s">
        <v>640</v>
      </c>
      <c r="B257" s="23">
        <f>B255*data_rawmat!B371</f>
        <v>91055743.912650183</v>
      </c>
      <c r="C257" s="6" t="s">
        <v>11</v>
      </c>
      <c r="D257" s="17"/>
      <c r="E257" s="17"/>
      <c r="F257" s="41">
        <v>96</v>
      </c>
      <c r="G257" s="42">
        <f>[40]Tungsten_scrap!$AF$3</f>
        <v>8.0511686406442087E-2</v>
      </c>
      <c r="H257" s="24">
        <f t="shared" si="28"/>
        <v>9.1653601365484144E-2</v>
      </c>
      <c r="I257" s="25">
        <f t="shared" si="29"/>
        <v>1525415.5098762643</v>
      </c>
    </row>
    <row r="258" spans="1:9" x14ac:dyDescent="0.45">
      <c r="A258" s="15"/>
      <c r="B258" s="17"/>
      <c r="C258" s="17"/>
      <c r="D258" s="17"/>
      <c r="E258" s="17"/>
      <c r="F258" s="41">
        <v>156</v>
      </c>
      <c r="G258" s="42">
        <f>[40]Tungsten_scrap!$AT$3</f>
        <v>2.5702333932471098E-2</v>
      </c>
      <c r="H258" s="24">
        <f t="shared" si="28"/>
        <v>2.9259248856334623E-2</v>
      </c>
      <c r="I258" s="25">
        <f t="shared" si="29"/>
        <v>486969.53908884095</v>
      </c>
    </row>
    <row r="259" spans="1:9" x14ac:dyDescent="0.45">
      <c r="A259" s="15"/>
      <c r="B259" s="17"/>
      <c r="C259" s="17"/>
      <c r="D259" s="17"/>
      <c r="E259" s="17"/>
      <c r="F259" s="41">
        <v>203</v>
      </c>
      <c r="G259" s="42">
        <f>[40]Tungsten_scrap!$BG$3</f>
        <v>1.4754317559330416E-2</v>
      </c>
      <c r="H259" s="24">
        <f t="shared" si="28"/>
        <v>1.6796149731306966E-2</v>
      </c>
      <c r="I259" s="25">
        <f t="shared" si="29"/>
        <v>279542.83219238947</v>
      </c>
    </row>
    <row r="260" spans="1:9" x14ac:dyDescent="0.45">
      <c r="A260" s="15"/>
      <c r="B260" s="17"/>
      <c r="C260" s="17"/>
      <c r="D260" s="17"/>
      <c r="E260" s="17"/>
      <c r="F260" s="41">
        <v>251</v>
      </c>
      <c r="G260" s="42">
        <f>[40]Tungsten_scrap!$BW$3</f>
        <v>4.8573146220312252E-2</v>
      </c>
      <c r="H260" s="24">
        <f t="shared" si="28"/>
        <v>5.5295125210390032E-2</v>
      </c>
      <c r="I260" s="25">
        <f t="shared" si="29"/>
        <v>920291.62367692438</v>
      </c>
    </row>
    <row r="261" spans="1:9" x14ac:dyDescent="0.45">
      <c r="A261" s="15"/>
      <c r="B261" s="17"/>
      <c r="C261" s="17"/>
      <c r="D261" s="17"/>
      <c r="E261" s="17"/>
      <c r="F261" s="41">
        <v>276</v>
      </c>
      <c r="G261" s="42">
        <f>[40]Tungsten_scrap!$CE$3</f>
        <v>0.12514848301795417</v>
      </c>
      <c r="H261" s="24">
        <f t="shared" si="28"/>
        <v>0.14246763030298226</v>
      </c>
      <c r="I261" s="25">
        <f>H261*$B$256</f>
        <v>2371127.0444559776</v>
      </c>
    </row>
    <row r="262" spans="1:9" x14ac:dyDescent="0.45">
      <c r="A262" s="15"/>
      <c r="B262" s="17"/>
      <c r="C262" s="17"/>
      <c r="D262" s="17"/>
      <c r="E262" s="17"/>
      <c r="F262" s="41">
        <v>344</v>
      </c>
      <c r="G262" s="42">
        <f>[40]Tungsten_scrap!$CT$3</f>
        <v>1.6406588604876263E-2</v>
      </c>
      <c r="H262" s="24">
        <f t="shared" si="28"/>
        <v>1.8677076569576172E-2</v>
      </c>
      <c r="I262" s="25">
        <f t="shared" si="29"/>
        <v>310847.60286470572</v>
      </c>
    </row>
    <row r="263" spans="1:9" x14ac:dyDescent="0.45">
      <c r="A263" s="15"/>
      <c r="B263" s="17"/>
      <c r="C263" s="17"/>
      <c r="D263" s="17"/>
      <c r="E263" s="17"/>
      <c r="F263" s="41">
        <v>381</v>
      </c>
      <c r="G263" s="42">
        <f>[40]Tungsten_scrap!$DB$3</f>
        <v>1.7231114119322224E-2</v>
      </c>
      <c r="H263" s="24">
        <f t="shared" si="28"/>
        <v>1.9615707173277624E-2</v>
      </c>
      <c r="I263" s="25">
        <f t="shared" si="29"/>
        <v>326469.48416123184</v>
      </c>
    </row>
    <row r="264" spans="1:9" x14ac:dyDescent="0.45">
      <c r="A264" s="15"/>
      <c r="B264" s="17"/>
      <c r="C264" s="17"/>
      <c r="D264" s="17"/>
      <c r="E264" s="17"/>
      <c r="F264" s="41">
        <v>392</v>
      </c>
      <c r="G264" s="42">
        <f>[40]Tungsten_scrap!$DE$3</f>
        <v>0.2272833057592574</v>
      </c>
      <c r="H264" s="24">
        <f t="shared" si="28"/>
        <v>0.25873676770260301</v>
      </c>
      <c r="I264" s="25">
        <f t="shared" si="29"/>
        <v>4306225.5334075261</v>
      </c>
    </row>
    <row r="265" spans="1:9" x14ac:dyDescent="0.45">
      <c r="A265" s="15"/>
      <c r="B265" s="17"/>
      <c r="C265" s="17"/>
      <c r="D265" s="17"/>
      <c r="E265" s="17"/>
      <c r="F265" s="41">
        <v>410</v>
      </c>
      <c r="G265" s="42">
        <f>[40]Tungsten_scrap!$DJ$3</f>
        <v>1.1332446111411288E-2</v>
      </c>
      <c r="H265" s="24">
        <f t="shared" si="28"/>
        <v>1.2900729630077821E-2</v>
      </c>
      <c r="I265" s="25">
        <f t="shared" si="29"/>
        <v>214710.30895957677</v>
      </c>
    </row>
    <row r="266" spans="1:9" x14ac:dyDescent="0.45">
      <c r="A266" s="15"/>
      <c r="B266" s="17"/>
      <c r="C266" s="17"/>
      <c r="D266" s="17"/>
      <c r="E266" s="17"/>
      <c r="F266" s="41">
        <v>442</v>
      </c>
      <c r="G266" s="42">
        <f>[40]Tungsten_scrap!$DT$3</f>
        <v>1.7347598221778004E-2</v>
      </c>
      <c r="H266" s="24">
        <f t="shared" si="28"/>
        <v>1.9748311369865958E-2</v>
      </c>
      <c r="I266" s="25">
        <f t="shared" si="29"/>
        <v>328676.45142860536</v>
      </c>
    </row>
    <row r="267" spans="1:9" x14ac:dyDescent="0.45">
      <c r="A267" s="15"/>
      <c r="B267" s="17"/>
      <c r="C267" s="17"/>
      <c r="D267" s="17"/>
      <c r="E267" s="17"/>
      <c r="F267" s="41">
        <v>484</v>
      </c>
      <c r="G267" s="42">
        <f>[40]Tungsten_scrap!$ED$3</f>
        <v>1.5185437539082951E-2</v>
      </c>
      <c r="H267" s="24">
        <f t="shared" si="28"/>
        <v>1.7286931883918451E-2</v>
      </c>
      <c r="I267" s="25">
        <f t="shared" si="29"/>
        <v>287711.05140484206</v>
      </c>
    </row>
    <row r="268" spans="1:9" x14ac:dyDescent="0.45">
      <c r="A268" s="15"/>
      <c r="B268" s="17"/>
      <c r="C268" s="17"/>
      <c r="D268" s="17"/>
      <c r="E268" s="17"/>
      <c r="F268" s="41">
        <v>566</v>
      </c>
      <c r="G268" s="42">
        <f>[40]Tungsten_scrap!$EY$3</f>
        <v>1.0348731023636855E-2</v>
      </c>
      <c r="H268" s="24">
        <f t="shared" si="28"/>
        <v>1.1780879400423756E-2</v>
      </c>
      <c r="I268" s="25">
        <f t="shared" si="29"/>
        <v>196072.34074443893</v>
      </c>
    </row>
    <row r="269" spans="1:9" x14ac:dyDescent="0.45">
      <c r="A269" s="15"/>
      <c r="B269" s="17"/>
      <c r="C269" s="17"/>
      <c r="D269" s="17"/>
      <c r="E269" s="17"/>
      <c r="F269" s="41">
        <v>598</v>
      </c>
      <c r="G269" s="42">
        <f>[40]Tungsten_scrap!$FJ$3</f>
        <v>2.5871505557426743E-2</v>
      </c>
      <c r="H269" s="24">
        <f t="shared" si="28"/>
        <v>2.945183193797276E-2</v>
      </c>
      <c r="I269" s="25">
        <f t="shared" si="29"/>
        <v>490174.75105317094</v>
      </c>
    </row>
    <row r="270" spans="1:9" x14ac:dyDescent="0.45">
      <c r="A270" s="15"/>
      <c r="B270" s="17"/>
      <c r="C270" s="17"/>
      <c r="D270" s="17"/>
      <c r="E270" s="17"/>
      <c r="F270" s="41">
        <v>616</v>
      </c>
      <c r="G270" s="42">
        <f>[40]Tungsten_scrap!$FO$3</f>
        <v>1.9182202710352418E-2</v>
      </c>
      <c r="H270" s="24">
        <f t="shared" si="28"/>
        <v>2.1836804555939292E-2</v>
      </c>
      <c r="I270" s="25">
        <f t="shared" si="29"/>
        <v>363435.80458924291</v>
      </c>
    </row>
    <row r="271" spans="1:9" x14ac:dyDescent="0.45">
      <c r="A271" s="15"/>
      <c r="B271" s="17"/>
      <c r="C271" s="17"/>
      <c r="D271" s="17"/>
      <c r="E271" s="17"/>
      <c r="F271" s="41">
        <v>643</v>
      </c>
      <c r="G271" s="42">
        <f>[40]Tungsten_scrap!$FU$3</f>
        <v>2.2866022513068438E-2</v>
      </c>
      <c r="H271" s="24">
        <f t="shared" si="28"/>
        <v>2.6030423728141787E-2</v>
      </c>
      <c r="I271" s="25">
        <f t="shared" si="29"/>
        <v>433231.33507017826</v>
      </c>
    </row>
    <row r="272" spans="1:9" x14ac:dyDescent="0.45">
      <c r="A272" s="15"/>
      <c r="B272" s="17"/>
      <c r="C272" s="17"/>
      <c r="D272" s="17"/>
      <c r="E272" s="17"/>
      <c r="F272" s="41">
        <v>690</v>
      </c>
      <c r="G272" s="42">
        <f>[40]Tungsten_scrap!$GI$3</f>
        <v>2.1846202988561856E-2</v>
      </c>
      <c r="H272" s="24">
        <f t="shared" si="28"/>
        <v>2.4869472612399354E-2</v>
      </c>
      <c r="I272" s="25">
        <f t="shared" si="29"/>
        <v>413909.31376629334</v>
      </c>
    </row>
    <row r="273" spans="1:9" x14ac:dyDescent="0.45">
      <c r="A273" s="15"/>
      <c r="B273" s="17"/>
      <c r="C273" s="17"/>
      <c r="D273" s="17"/>
      <c r="E273" s="17"/>
      <c r="F273" s="41">
        <v>710</v>
      </c>
      <c r="G273" s="42">
        <f>[40]Tungsten_scrap!$GQ$3</f>
        <v>1.7058279725422738E-2</v>
      </c>
      <c r="H273" s="24">
        <f t="shared" si="28"/>
        <v>1.9418954436529072E-2</v>
      </c>
      <c r="I273" s="25">
        <f t="shared" si="29"/>
        <v>323194.87550673907</v>
      </c>
    </row>
    <row r="274" spans="1:9" x14ac:dyDescent="0.45">
      <c r="A274" s="15"/>
      <c r="B274" s="17"/>
      <c r="C274" s="17"/>
      <c r="D274" s="17"/>
      <c r="E274" s="17"/>
      <c r="F274" s="41">
        <v>752</v>
      </c>
      <c r="G274" s="42">
        <f>[40]Tungsten_scrap!$GY$3</f>
        <v>3.0813426117039876E-2</v>
      </c>
      <c r="H274" s="24">
        <f t="shared" si="28"/>
        <v>3.5077658910023742E-2</v>
      </c>
      <c r="I274" s="25">
        <f t="shared" si="29"/>
        <v>583806.90070352366</v>
      </c>
    </row>
    <row r="275" spans="1:9" x14ac:dyDescent="0.45">
      <c r="A275" s="15"/>
      <c r="B275" s="17"/>
      <c r="C275" s="17"/>
      <c r="D275" s="17"/>
      <c r="E275" s="17"/>
      <c r="F275" s="41">
        <v>826</v>
      </c>
      <c r="G275" s="42">
        <f>[40]Tungsten_scrap!$HR$3</f>
        <v>4.5881292798046348E-2</v>
      </c>
      <c r="H275" s="24">
        <f t="shared" si="28"/>
        <v>5.2230749446936488E-2</v>
      </c>
      <c r="I275" s="25">
        <f t="shared" si="29"/>
        <v>869290.39461424074</v>
      </c>
    </row>
    <row r="276" spans="1:9" x14ac:dyDescent="0.45">
      <c r="A276" s="15"/>
      <c r="B276" s="17"/>
      <c r="C276" s="17"/>
      <c r="D276" s="17"/>
      <c r="E276" s="17"/>
      <c r="F276" s="41">
        <v>842</v>
      </c>
      <c r="G276" s="42">
        <f>[40]Tungsten_scrap!$HT$3</f>
        <v>4.6059399969216638E-2</v>
      </c>
      <c r="H276" s="24">
        <f t="shared" si="28"/>
        <v>5.2433504654228601E-2</v>
      </c>
      <c r="I276" s="25">
        <f t="shared" si="29"/>
        <v>872664.90399852814</v>
      </c>
    </row>
    <row r="277" spans="1:9" x14ac:dyDescent="0.45">
      <c r="A277" s="15"/>
      <c r="B277" s="17"/>
      <c r="C277" s="17"/>
      <c r="D277" s="17"/>
      <c r="E277" s="17"/>
      <c r="F277" s="17" t="s">
        <v>86</v>
      </c>
      <c r="G277" s="42">
        <f>SUM(G255:G276)</f>
        <v>0.87843451001328576</v>
      </c>
      <c r="H277" s="17"/>
      <c r="I277" s="21"/>
    </row>
    <row r="278" spans="1:9" x14ac:dyDescent="0.45">
      <c r="A278" s="51"/>
      <c r="B278" s="45"/>
      <c r="C278" s="45"/>
      <c r="D278" s="45"/>
      <c r="E278" s="45"/>
      <c r="F278" s="45"/>
      <c r="G278" s="45"/>
      <c r="H278" s="45"/>
      <c r="I278" s="28"/>
    </row>
    <row r="280" spans="1:9" x14ac:dyDescent="0.45">
      <c r="A280" s="1" t="s">
        <v>792</v>
      </c>
    </row>
    <row r="281" spans="1:9" x14ac:dyDescent="0.45">
      <c r="A281" t="s">
        <v>800</v>
      </c>
    </row>
  </sheetData>
  <mergeCells count="1">
    <mergeCell ref="D182:D18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A118" sqref="A118:D121"/>
    </sheetView>
  </sheetViews>
  <sheetFormatPr baseColWidth="10" defaultRowHeight="16" x14ac:dyDescent="0.45"/>
  <cols>
    <col min="1" max="1" width="30.7265625" customWidth="1"/>
    <col min="2" max="2" width="27.7265625" customWidth="1"/>
    <col min="4" max="4" width="37.81640625" customWidth="1"/>
  </cols>
  <sheetData>
    <row r="1" spans="1:4" x14ac:dyDescent="0.45">
      <c r="A1" s="1" t="s">
        <v>641</v>
      </c>
    </row>
    <row r="3" spans="1:4" x14ac:dyDescent="0.45">
      <c r="A3" s="30" t="s">
        <v>642</v>
      </c>
    </row>
    <row r="4" spans="1:4" x14ac:dyDescent="0.45">
      <c r="A4" s="14" t="s">
        <v>1</v>
      </c>
      <c r="B4" s="5" t="s">
        <v>2</v>
      </c>
      <c r="C4" s="5" t="s">
        <v>119</v>
      </c>
      <c r="D4" s="20" t="s">
        <v>4</v>
      </c>
    </row>
    <row r="5" spans="1:4" ht="32" x14ac:dyDescent="0.45">
      <c r="A5" s="16" t="s">
        <v>643</v>
      </c>
      <c r="B5" s="104">
        <f>'[9]Weight%'!$B$192</f>
        <v>1</v>
      </c>
      <c r="C5" s="17" t="s">
        <v>803</v>
      </c>
      <c r="D5" s="49" t="s">
        <v>191</v>
      </c>
    </row>
    <row r="6" spans="1:4" ht="32" x14ac:dyDescent="0.45">
      <c r="A6" s="16" t="s">
        <v>644</v>
      </c>
      <c r="B6" s="23">
        <f>B5*data_intmat!B6</f>
        <v>3544915.1120157042</v>
      </c>
      <c r="C6" s="17" t="s">
        <v>11</v>
      </c>
      <c r="D6" s="21"/>
    </row>
    <row r="7" spans="1:4" ht="32" x14ac:dyDescent="0.45">
      <c r="A7" s="44" t="s">
        <v>645</v>
      </c>
      <c r="B7" s="26">
        <f>B5*data_intmat!B7</f>
        <v>18971374.919134166</v>
      </c>
      <c r="C7" s="45" t="s">
        <v>11</v>
      </c>
      <c r="D7" s="28"/>
    </row>
    <row r="9" spans="1:4" x14ac:dyDescent="0.45">
      <c r="A9" s="30" t="s">
        <v>646</v>
      </c>
    </row>
    <row r="10" spans="1:4" x14ac:dyDescent="0.45">
      <c r="A10" s="14" t="s">
        <v>1</v>
      </c>
      <c r="B10" s="5" t="s">
        <v>2</v>
      </c>
      <c r="C10" s="5" t="s">
        <v>119</v>
      </c>
      <c r="D10" s="20" t="s">
        <v>4</v>
      </c>
    </row>
    <row r="11" spans="1:4" ht="32" x14ac:dyDescent="0.45">
      <c r="A11" s="16" t="s">
        <v>647</v>
      </c>
      <c r="B11" s="104">
        <f>'[9]Weight%'!$B$193</f>
        <v>1</v>
      </c>
      <c r="C11" s="17" t="s">
        <v>803</v>
      </c>
      <c r="D11" s="49" t="s">
        <v>191</v>
      </c>
    </row>
    <row r="12" spans="1:4" ht="32" x14ac:dyDescent="0.45">
      <c r="A12" s="16" t="s">
        <v>648</v>
      </c>
      <c r="B12" s="23">
        <f>B11*data_intmat!B21</f>
        <v>806922801.82243538</v>
      </c>
      <c r="C12" s="17" t="s">
        <v>11</v>
      </c>
      <c r="D12" s="21"/>
    </row>
    <row r="13" spans="1:4" ht="32" x14ac:dyDescent="0.45">
      <c r="A13" s="44" t="s">
        <v>649</v>
      </c>
      <c r="B13" s="26">
        <f>B11*data_intmat!B22</f>
        <v>4931959769.637722</v>
      </c>
      <c r="C13" s="45" t="s">
        <v>11</v>
      </c>
      <c r="D13" s="28"/>
    </row>
    <row r="15" spans="1:4" x14ac:dyDescent="0.45">
      <c r="A15" s="30" t="s">
        <v>650</v>
      </c>
    </row>
    <row r="16" spans="1:4" x14ac:dyDescent="0.45">
      <c r="A16" s="14" t="s">
        <v>1</v>
      </c>
      <c r="B16" s="5" t="s">
        <v>2</v>
      </c>
      <c r="C16" s="5" t="s">
        <v>119</v>
      </c>
      <c r="D16" s="20" t="s">
        <v>4</v>
      </c>
    </row>
    <row r="17" spans="1:4" ht="32" x14ac:dyDescent="0.45">
      <c r="A17" s="16" t="s">
        <v>651</v>
      </c>
      <c r="B17" s="104">
        <f>'[9]Weight%'!$B$194</f>
        <v>0.82499999999999996</v>
      </c>
      <c r="C17" s="17" t="s">
        <v>803</v>
      </c>
      <c r="D17" s="49" t="s">
        <v>191</v>
      </c>
    </row>
    <row r="18" spans="1:4" ht="32" x14ac:dyDescent="0.45">
      <c r="A18" s="16" t="s">
        <v>652</v>
      </c>
      <c r="B18" s="23">
        <f>B17*data_rawmat!B97</f>
        <v>6303600.8189292978</v>
      </c>
      <c r="C18" s="17" t="s">
        <v>11</v>
      </c>
      <c r="D18" s="21"/>
    </row>
    <row r="19" spans="1:4" ht="32" x14ac:dyDescent="0.45">
      <c r="A19" s="44" t="s">
        <v>653</v>
      </c>
      <c r="B19" s="26">
        <f>B17*data_rawmat!B98</f>
        <v>34775004.819655493</v>
      </c>
      <c r="C19" s="45" t="s">
        <v>11</v>
      </c>
      <c r="D19" s="28"/>
    </row>
    <row r="21" spans="1:4" x14ac:dyDescent="0.45">
      <c r="A21" s="30" t="s">
        <v>654</v>
      </c>
    </row>
    <row r="22" spans="1:4" x14ac:dyDescent="0.45">
      <c r="A22" s="14" t="s">
        <v>1</v>
      </c>
      <c r="B22" s="5" t="s">
        <v>2</v>
      </c>
      <c r="C22" s="5" t="s">
        <v>119</v>
      </c>
      <c r="D22" s="20" t="s">
        <v>4</v>
      </c>
    </row>
    <row r="23" spans="1:4" ht="32" x14ac:dyDescent="0.45">
      <c r="A23" s="16" t="s">
        <v>655</v>
      </c>
      <c r="B23" s="104">
        <f>'[9]Weight%'!$B$195</f>
        <v>1</v>
      </c>
      <c r="C23" s="17" t="s">
        <v>803</v>
      </c>
      <c r="D23" s="49" t="s">
        <v>191</v>
      </c>
    </row>
    <row r="24" spans="1:4" ht="32" x14ac:dyDescent="0.45">
      <c r="A24" s="16" t="s">
        <v>656</v>
      </c>
      <c r="B24" s="23">
        <f>B23*data_rawmat!B40</f>
        <v>3233137.6035165335</v>
      </c>
      <c r="C24" s="17" t="s">
        <v>11</v>
      </c>
      <c r="D24" s="21"/>
    </row>
    <row r="25" spans="1:4" x14ac:dyDescent="0.45">
      <c r="A25" s="44" t="s">
        <v>657</v>
      </c>
      <c r="B25" s="26">
        <f>B23*data_rawmat!B47</f>
        <v>450396404.92919761</v>
      </c>
      <c r="C25" s="45" t="s">
        <v>11</v>
      </c>
      <c r="D25" s="28"/>
    </row>
    <row r="27" spans="1:4" x14ac:dyDescent="0.45">
      <c r="A27" s="30" t="s">
        <v>661</v>
      </c>
    </row>
    <row r="28" spans="1:4" x14ac:dyDescent="0.45">
      <c r="A28" s="14" t="s">
        <v>1</v>
      </c>
      <c r="B28" s="5" t="s">
        <v>2</v>
      </c>
      <c r="C28" s="5" t="s">
        <v>119</v>
      </c>
      <c r="D28" s="20" t="s">
        <v>4</v>
      </c>
    </row>
    <row r="29" spans="1:4" ht="32" x14ac:dyDescent="0.45">
      <c r="A29" s="16" t="s">
        <v>662</v>
      </c>
      <c r="B29" s="104">
        <f>'[9]Weight%'!$B$196</f>
        <v>1</v>
      </c>
      <c r="C29" s="17" t="s">
        <v>803</v>
      </c>
      <c r="D29" s="49" t="s">
        <v>191</v>
      </c>
    </row>
    <row r="30" spans="1:4" ht="32" x14ac:dyDescent="0.45">
      <c r="A30" s="16" t="s">
        <v>663</v>
      </c>
      <c r="B30" s="23">
        <f>B29*data_intmat!B87</f>
        <v>150527158.21337986</v>
      </c>
      <c r="C30" s="17" t="s">
        <v>11</v>
      </c>
      <c r="D30" s="21"/>
    </row>
    <row r="31" spans="1:4" ht="32" x14ac:dyDescent="0.45">
      <c r="A31" s="44" t="s">
        <v>664</v>
      </c>
      <c r="B31" s="26">
        <f>B29*data_intmat!B88</f>
        <v>761364904.35665679</v>
      </c>
      <c r="C31" s="45" t="s">
        <v>11</v>
      </c>
      <c r="D31" s="28"/>
    </row>
    <row r="33" spans="1:4" x14ac:dyDescent="0.45">
      <c r="A33" s="30" t="s">
        <v>665</v>
      </c>
    </row>
    <row r="34" spans="1:4" x14ac:dyDescent="0.45">
      <c r="A34" s="14" t="s">
        <v>1</v>
      </c>
      <c r="B34" s="5" t="s">
        <v>2</v>
      </c>
      <c r="C34" s="5" t="s">
        <v>119</v>
      </c>
      <c r="D34" s="20" t="s">
        <v>4</v>
      </c>
    </row>
    <row r="35" spans="1:4" ht="32" x14ac:dyDescent="0.45">
      <c r="A35" s="16" t="s">
        <v>666</v>
      </c>
      <c r="B35" s="104">
        <f>'[9]Weight%'!$B$197</f>
        <v>1</v>
      </c>
      <c r="C35" s="17" t="s">
        <v>803</v>
      </c>
      <c r="D35" s="49" t="s">
        <v>191</v>
      </c>
    </row>
    <row r="36" spans="1:4" ht="32" x14ac:dyDescent="0.45">
      <c r="A36" s="16" t="s">
        <v>667</v>
      </c>
      <c r="B36" s="23">
        <f>B35*data_intmat!B99</f>
        <v>4320325.3585067876</v>
      </c>
      <c r="C36" s="17" t="s">
        <v>11</v>
      </c>
      <c r="D36" s="21"/>
    </row>
    <row r="37" spans="1:4" ht="32" x14ac:dyDescent="0.45">
      <c r="A37" s="44" t="s">
        <v>668</v>
      </c>
      <c r="B37" s="26">
        <f>B35*data_intmat!B100</f>
        <v>14777042.268266968</v>
      </c>
      <c r="C37" s="45" t="s">
        <v>11</v>
      </c>
      <c r="D37" s="28"/>
    </row>
    <row r="39" spans="1:4" x14ac:dyDescent="0.45">
      <c r="A39" s="30" t="s">
        <v>669</v>
      </c>
    </row>
    <row r="40" spans="1:4" x14ac:dyDescent="0.45">
      <c r="A40" s="14" t="s">
        <v>1</v>
      </c>
      <c r="B40" s="5" t="s">
        <v>2</v>
      </c>
      <c r="C40" s="5" t="s">
        <v>119</v>
      </c>
      <c r="D40" s="20" t="s">
        <v>4</v>
      </c>
    </row>
    <row r="41" spans="1:4" x14ac:dyDescent="0.45">
      <c r="A41" s="16" t="s">
        <v>670</v>
      </c>
      <c r="B41" s="104">
        <f>'[9]Weight%'!$B$198</f>
        <v>0.625</v>
      </c>
      <c r="C41" s="17" t="s">
        <v>803</v>
      </c>
      <c r="D41" s="21" t="s">
        <v>191</v>
      </c>
    </row>
    <row r="42" spans="1:4" ht="32" x14ac:dyDescent="0.45">
      <c r="A42" s="16" t="s">
        <v>671</v>
      </c>
      <c r="B42" s="23">
        <f>B41*data_rawmat!B141</f>
        <v>1802.2818079986484</v>
      </c>
      <c r="C42" s="17" t="s">
        <v>11</v>
      </c>
      <c r="D42" s="21"/>
    </row>
    <row r="43" spans="1:4" x14ac:dyDescent="0.45">
      <c r="A43" s="44" t="s">
        <v>672</v>
      </c>
      <c r="B43" s="26">
        <f>B41*data_rawmat!B144</f>
        <v>8935.0150216387174</v>
      </c>
      <c r="C43" s="45" t="s">
        <v>11</v>
      </c>
      <c r="D43" s="28"/>
    </row>
    <row r="45" spans="1:4" x14ac:dyDescent="0.45">
      <c r="A45" s="30" t="s">
        <v>673</v>
      </c>
    </row>
    <row r="46" spans="1:4" x14ac:dyDescent="0.45">
      <c r="A46" s="14" t="s">
        <v>1</v>
      </c>
      <c r="B46" s="5" t="s">
        <v>2</v>
      </c>
      <c r="C46" s="5" t="s">
        <v>119</v>
      </c>
      <c r="D46" s="20" t="s">
        <v>4</v>
      </c>
    </row>
    <row r="47" spans="1:4" ht="32" x14ac:dyDescent="0.45">
      <c r="A47" s="16" t="s">
        <v>674</v>
      </c>
      <c r="B47" s="104">
        <f>'[9]Weight%'!$B$199</f>
        <v>0.95</v>
      </c>
      <c r="C47" s="17" t="s">
        <v>803</v>
      </c>
      <c r="D47" s="49" t="s">
        <v>191</v>
      </c>
    </row>
    <row r="48" spans="1:4" ht="32" x14ac:dyDescent="0.45">
      <c r="A48" s="16" t="s">
        <v>675</v>
      </c>
      <c r="B48" s="23">
        <f>B47*data_rawmat!B158</f>
        <v>12750282.64590618</v>
      </c>
      <c r="C48" s="17" t="s">
        <v>11</v>
      </c>
      <c r="D48" s="21"/>
    </row>
    <row r="49" spans="1:4" ht="32" x14ac:dyDescent="0.45">
      <c r="A49" s="44" t="s">
        <v>676</v>
      </c>
      <c r="B49" s="26">
        <f>B47*data_rawmat!B164</f>
        <v>65863417.976105735</v>
      </c>
      <c r="C49" s="45" t="s">
        <v>11</v>
      </c>
      <c r="D49" s="28"/>
    </row>
    <row r="51" spans="1:4" x14ac:dyDescent="0.45">
      <c r="A51" s="30" t="s">
        <v>677</v>
      </c>
    </row>
    <row r="52" spans="1:4" x14ac:dyDescent="0.45">
      <c r="A52" s="14" t="s">
        <v>1</v>
      </c>
      <c r="B52" s="5" t="s">
        <v>2</v>
      </c>
      <c r="C52" s="5" t="s">
        <v>119</v>
      </c>
      <c r="D52" s="20" t="s">
        <v>4</v>
      </c>
    </row>
    <row r="53" spans="1:4" ht="32" x14ac:dyDescent="0.45">
      <c r="A53" s="16" t="s">
        <v>678</v>
      </c>
      <c r="B53" s="104">
        <f>'[9]Weight%'!$B$200</f>
        <v>0.625</v>
      </c>
      <c r="C53" s="17" t="s">
        <v>803</v>
      </c>
      <c r="D53" s="49" t="s">
        <v>191</v>
      </c>
    </row>
    <row r="54" spans="1:4" ht="32" x14ac:dyDescent="0.45">
      <c r="A54" s="16" t="s">
        <v>679</v>
      </c>
      <c r="B54" s="23">
        <f>B53*data_rawmat!B176</f>
        <v>197708.64878287539</v>
      </c>
      <c r="C54" s="17" t="s">
        <v>11</v>
      </c>
      <c r="D54" s="21"/>
    </row>
    <row r="55" spans="1:4" x14ac:dyDescent="0.45">
      <c r="A55" s="16" t="s">
        <v>680</v>
      </c>
      <c r="B55" s="23">
        <f>B53*data_rawmat!B181</f>
        <v>823267.70650610933</v>
      </c>
      <c r="C55" s="17" t="s">
        <v>11</v>
      </c>
      <c r="D55" s="21"/>
    </row>
    <row r="56" spans="1:4" x14ac:dyDescent="0.45">
      <c r="A56" s="51"/>
      <c r="B56" s="45"/>
      <c r="C56" s="45"/>
      <c r="D56" s="28"/>
    </row>
    <row r="57" spans="1:4" x14ac:dyDescent="0.45">
      <c r="A57" s="30" t="s">
        <v>681</v>
      </c>
    </row>
    <row r="58" spans="1:4" x14ac:dyDescent="0.45">
      <c r="A58" s="14" t="s">
        <v>1</v>
      </c>
      <c r="B58" s="5" t="s">
        <v>2</v>
      </c>
      <c r="C58" s="5" t="s">
        <v>119</v>
      </c>
      <c r="D58" s="20" t="s">
        <v>4</v>
      </c>
    </row>
    <row r="59" spans="1:4" ht="32" x14ac:dyDescent="0.45">
      <c r="A59" s="16" t="s">
        <v>682</v>
      </c>
      <c r="B59" s="104">
        <f>'[9]Weight%'!$B$201</f>
        <v>1</v>
      </c>
      <c r="C59" s="17" t="s">
        <v>803</v>
      </c>
      <c r="D59" s="49" t="s">
        <v>191</v>
      </c>
    </row>
    <row r="60" spans="1:4" ht="32" x14ac:dyDescent="0.45">
      <c r="A60" s="16" t="s">
        <v>683</v>
      </c>
      <c r="B60" s="23">
        <f>B59*data_rawmat!B186</f>
        <v>5736774.5501596071</v>
      </c>
      <c r="C60" s="17" t="s">
        <v>11</v>
      </c>
      <c r="D60" s="21"/>
    </row>
    <row r="61" spans="1:4" x14ac:dyDescent="0.45">
      <c r="A61" s="44" t="s">
        <v>684</v>
      </c>
      <c r="B61" s="26">
        <f>B59*data_rawmat!B187</f>
        <v>20189331.775399018</v>
      </c>
      <c r="C61" s="45" t="s">
        <v>11</v>
      </c>
      <c r="D61" s="28"/>
    </row>
    <row r="63" spans="1:4" x14ac:dyDescent="0.45">
      <c r="A63" s="30" t="s">
        <v>685</v>
      </c>
    </row>
    <row r="64" spans="1:4" x14ac:dyDescent="0.45">
      <c r="A64" s="14" t="s">
        <v>1</v>
      </c>
      <c r="B64" s="5" t="s">
        <v>2</v>
      </c>
      <c r="C64" s="5" t="s">
        <v>119</v>
      </c>
      <c r="D64" s="20" t="s">
        <v>4</v>
      </c>
    </row>
    <row r="65" spans="1:4" ht="32" x14ac:dyDescent="0.45">
      <c r="A65" s="16" t="s">
        <v>686</v>
      </c>
      <c r="B65" s="104">
        <f>'[9]Weight%'!$B$202</f>
        <v>1</v>
      </c>
      <c r="C65" s="17" t="s">
        <v>803</v>
      </c>
      <c r="D65" s="49" t="s">
        <v>191</v>
      </c>
    </row>
    <row r="66" spans="1:4" ht="32" x14ac:dyDescent="0.45">
      <c r="A66" s="16" t="s">
        <v>687</v>
      </c>
      <c r="B66" s="23">
        <f>B65*data_intmat!B134</f>
        <v>13079925.842401238</v>
      </c>
      <c r="C66" s="17" t="s">
        <v>11</v>
      </c>
      <c r="D66" s="21"/>
    </row>
    <row r="67" spans="1:4" ht="32" x14ac:dyDescent="0.45">
      <c r="A67" s="44" t="s">
        <v>688</v>
      </c>
      <c r="B67" s="26">
        <f>B65*data_intmat!B135</f>
        <v>72624320.748021036</v>
      </c>
      <c r="C67" s="45" t="s">
        <v>11</v>
      </c>
      <c r="D67" s="28"/>
    </row>
    <row r="69" spans="1:4" x14ac:dyDescent="0.45">
      <c r="A69" s="30" t="s">
        <v>689</v>
      </c>
    </row>
    <row r="70" spans="1:4" x14ac:dyDescent="0.45">
      <c r="A70" s="14" t="s">
        <v>1</v>
      </c>
      <c r="B70" s="5" t="s">
        <v>2</v>
      </c>
      <c r="C70" s="5" t="s">
        <v>119</v>
      </c>
      <c r="D70" s="20" t="s">
        <v>4</v>
      </c>
    </row>
    <row r="71" spans="1:4" ht="32" x14ac:dyDescent="0.45">
      <c r="A71" s="16" t="s">
        <v>690</v>
      </c>
      <c r="B71" s="104">
        <f>'[9]Weight%'!$B$203</f>
        <v>0.5</v>
      </c>
      <c r="C71" s="17" t="s">
        <v>803</v>
      </c>
      <c r="D71" s="49" t="s">
        <v>191</v>
      </c>
    </row>
    <row r="72" spans="1:4" ht="32" x14ac:dyDescent="0.45">
      <c r="A72" s="16" t="s">
        <v>691</v>
      </c>
      <c r="B72" s="23">
        <f>B71*data_rawmat!B246</f>
        <v>61473.875486227662</v>
      </c>
      <c r="C72" s="17" t="s">
        <v>11</v>
      </c>
      <c r="D72" s="21"/>
    </row>
    <row r="73" spans="1:4" ht="32" x14ac:dyDescent="0.45">
      <c r="A73" s="44" t="s">
        <v>692</v>
      </c>
      <c r="B73" s="26">
        <f>B71*data_rawmat!B250</f>
        <v>322067.33828154107</v>
      </c>
      <c r="C73" s="45" t="s">
        <v>11</v>
      </c>
      <c r="D73" s="28"/>
    </row>
    <row r="75" spans="1:4" x14ac:dyDescent="0.45">
      <c r="A75" s="30" t="s">
        <v>693</v>
      </c>
    </row>
    <row r="76" spans="1:4" x14ac:dyDescent="0.45">
      <c r="A76" s="14" t="s">
        <v>1</v>
      </c>
      <c r="B76" s="5" t="s">
        <v>2</v>
      </c>
      <c r="C76" s="5" t="s">
        <v>119</v>
      </c>
      <c r="D76" s="20" t="s">
        <v>4</v>
      </c>
    </row>
    <row r="77" spans="1:4" ht="32" x14ac:dyDescent="0.45">
      <c r="A77" s="16" t="s">
        <v>694</v>
      </c>
      <c r="B77" s="104">
        <f>'[9]Weight%'!$B$204</f>
        <v>1</v>
      </c>
      <c r="C77" s="17" t="s">
        <v>803</v>
      </c>
      <c r="D77" s="49" t="s">
        <v>191</v>
      </c>
    </row>
    <row r="78" spans="1:4" ht="32" x14ac:dyDescent="0.45">
      <c r="A78" s="16" t="s">
        <v>695</v>
      </c>
      <c r="B78" s="23">
        <f>B77*data_rawmat!B265</f>
        <v>602108.6328535194</v>
      </c>
      <c r="C78" s="17" t="s">
        <v>11</v>
      </c>
      <c r="D78" s="21"/>
    </row>
    <row r="79" spans="1:4" ht="32" x14ac:dyDescent="0.45">
      <c r="A79" s="44" t="s">
        <v>696</v>
      </c>
      <c r="B79" s="26">
        <f>B77*data_rawmat!B270</f>
        <v>3045459.6174266273</v>
      </c>
      <c r="C79" s="45" t="s">
        <v>11</v>
      </c>
      <c r="D79" s="28"/>
    </row>
    <row r="80" spans="1:4" x14ac:dyDescent="0.45">
      <c r="A80" s="2"/>
      <c r="B80" s="4"/>
    </row>
    <row r="81" spans="1:4" x14ac:dyDescent="0.45">
      <c r="A81" s="30" t="s">
        <v>748</v>
      </c>
    </row>
    <row r="82" spans="1:4" x14ac:dyDescent="0.45">
      <c r="A82" s="14" t="s">
        <v>1</v>
      </c>
      <c r="B82" s="5" t="s">
        <v>2</v>
      </c>
      <c r="C82" s="5" t="s">
        <v>119</v>
      </c>
      <c r="D82" s="20" t="s">
        <v>4</v>
      </c>
    </row>
    <row r="83" spans="1:4" ht="32" x14ac:dyDescent="0.45">
      <c r="A83" s="16" t="s">
        <v>749</v>
      </c>
      <c r="B83" s="24">
        <f>'[9]Weight%'!$B$206</f>
        <v>1</v>
      </c>
      <c r="C83" s="17" t="s">
        <v>803</v>
      </c>
      <c r="D83" s="49" t="s">
        <v>191</v>
      </c>
    </row>
    <row r="84" spans="1:4" ht="32" x14ac:dyDescent="0.45">
      <c r="A84" s="16" t="s">
        <v>750</v>
      </c>
      <c r="B84" s="23">
        <f>B83*data_rawmat!B275</f>
        <v>3859663.2649926553</v>
      </c>
      <c r="C84" s="17" t="s">
        <v>11</v>
      </c>
      <c r="D84" s="21"/>
    </row>
    <row r="85" spans="1:4" ht="32" x14ac:dyDescent="0.45">
      <c r="A85" s="44" t="s">
        <v>751</v>
      </c>
      <c r="B85" s="26">
        <f>B83*data_rawmat!B276</f>
        <v>23811571.71895688</v>
      </c>
      <c r="C85" s="45" t="s">
        <v>11</v>
      </c>
      <c r="D85" s="28"/>
    </row>
    <row r="87" spans="1:4" x14ac:dyDescent="0.45">
      <c r="A87" s="30" t="s">
        <v>697</v>
      </c>
    </row>
    <row r="88" spans="1:4" x14ac:dyDescent="0.45">
      <c r="A88" s="14" t="s">
        <v>1</v>
      </c>
      <c r="B88" s="5" t="s">
        <v>2</v>
      </c>
      <c r="C88" s="5" t="s">
        <v>119</v>
      </c>
      <c r="D88" s="20" t="s">
        <v>4</v>
      </c>
    </row>
    <row r="89" spans="1:4" ht="32" x14ac:dyDescent="0.45">
      <c r="A89" s="16" t="s">
        <v>698</v>
      </c>
      <c r="B89" s="104">
        <f>'[9]Weight%'!$B$205</f>
        <v>1</v>
      </c>
      <c r="C89" s="17" t="s">
        <v>803</v>
      </c>
      <c r="D89" s="49" t="s">
        <v>191</v>
      </c>
    </row>
    <row r="90" spans="1:4" ht="32" x14ac:dyDescent="0.45">
      <c r="A90" s="16" t="s">
        <v>699</v>
      </c>
      <c r="B90" s="23">
        <f>B89*data_rawmat!B300</f>
        <v>449870231.98496103</v>
      </c>
      <c r="C90" s="17" t="s">
        <v>11</v>
      </c>
      <c r="D90" s="21"/>
    </row>
    <row r="91" spans="1:4" ht="32" x14ac:dyDescent="0.45">
      <c r="A91" s="44" t="s">
        <v>700</v>
      </c>
      <c r="B91" s="26">
        <f>B89*data_rawmat!B309</f>
        <v>5775044253.9702854</v>
      </c>
      <c r="C91" s="45" t="s">
        <v>11</v>
      </c>
      <c r="D91" s="28"/>
    </row>
    <row r="93" spans="1:4" x14ac:dyDescent="0.45">
      <c r="A93" s="30" t="s">
        <v>701</v>
      </c>
    </row>
    <row r="94" spans="1:4" x14ac:dyDescent="0.45">
      <c r="A94" s="14" t="s">
        <v>1</v>
      </c>
      <c r="B94" s="5" t="s">
        <v>2</v>
      </c>
      <c r="C94" s="5" t="s">
        <v>119</v>
      </c>
      <c r="D94" s="20" t="s">
        <v>4</v>
      </c>
    </row>
    <row r="95" spans="1:4" ht="32" x14ac:dyDescent="0.45">
      <c r="A95" s="16" t="s">
        <v>702</v>
      </c>
      <c r="B95" s="104">
        <f>'[9]Weight%'!$B$207</f>
        <v>0.8</v>
      </c>
      <c r="C95" s="17" t="s">
        <v>803</v>
      </c>
      <c r="D95" s="49" t="s">
        <v>191</v>
      </c>
    </row>
    <row r="96" spans="1:4" ht="32" x14ac:dyDescent="0.45">
      <c r="A96" s="16" t="s">
        <v>703</v>
      </c>
      <c r="B96" s="23">
        <f>B95*data_rawmat!B314</f>
        <v>2028765.5517284339</v>
      </c>
      <c r="C96" s="17" t="s">
        <v>11</v>
      </c>
      <c r="D96" s="21"/>
    </row>
    <row r="97" spans="1:4" ht="32" x14ac:dyDescent="0.45">
      <c r="A97" s="44" t="s">
        <v>704</v>
      </c>
      <c r="B97" s="26">
        <f>B95*data_rawmat!B315</f>
        <v>11192068.448790304</v>
      </c>
      <c r="C97" s="45" t="s">
        <v>11</v>
      </c>
      <c r="D97" s="28"/>
    </row>
    <row r="99" spans="1:4" x14ac:dyDescent="0.45">
      <c r="A99" s="30" t="s">
        <v>705</v>
      </c>
    </row>
    <row r="100" spans="1:4" x14ac:dyDescent="0.45">
      <c r="A100" s="14" t="s">
        <v>1</v>
      </c>
      <c r="B100" s="5" t="s">
        <v>2</v>
      </c>
      <c r="C100" s="5" t="s">
        <v>119</v>
      </c>
      <c r="D100" s="20" t="s">
        <v>4</v>
      </c>
    </row>
    <row r="101" spans="1:4" ht="32" x14ac:dyDescent="0.45">
      <c r="A101" s="16" t="s">
        <v>706</v>
      </c>
      <c r="B101" s="104">
        <f>'[9]Weight%'!$B$208</f>
        <v>1</v>
      </c>
      <c r="C101" s="17" t="s">
        <v>803</v>
      </c>
      <c r="D101" s="49" t="s">
        <v>191</v>
      </c>
    </row>
    <row r="102" spans="1:4" ht="32" x14ac:dyDescent="0.45">
      <c r="A102" s="16" t="s">
        <v>707</v>
      </c>
      <c r="B102" s="23">
        <f>B101*data_intmat!B186</f>
        <v>35568416.123459384</v>
      </c>
      <c r="C102" s="17" t="s">
        <v>11</v>
      </c>
      <c r="D102" s="21"/>
    </row>
    <row r="103" spans="1:4" ht="32" x14ac:dyDescent="0.45">
      <c r="A103" s="44" t="s">
        <v>708</v>
      </c>
      <c r="B103" s="26">
        <f>B101*data_intmat!B189</f>
        <v>200363700.97975659</v>
      </c>
      <c r="C103" s="45" t="s">
        <v>11</v>
      </c>
      <c r="D103" s="28"/>
    </row>
    <row r="105" spans="1:4" x14ac:dyDescent="0.45">
      <c r="A105" s="30" t="s">
        <v>711</v>
      </c>
    </row>
    <row r="106" spans="1:4" x14ac:dyDescent="0.45">
      <c r="A106" s="14" t="s">
        <v>1</v>
      </c>
      <c r="B106" s="5" t="s">
        <v>2</v>
      </c>
      <c r="C106" s="5" t="s">
        <v>119</v>
      </c>
      <c r="D106" s="20" t="s">
        <v>4</v>
      </c>
    </row>
    <row r="107" spans="1:4" ht="32" x14ac:dyDescent="0.45">
      <c r="A107" s="16" t="s">
        <v>712</v>
      </c>
      <c r="B107" s="104">
        <f>'[9]Weight%'!$B$209</f>
        <v>1</v>
      </c>
      <c r="C107" s="17" t="s">
        <v>803</v>
      </c>
      <c r="D107" s="49" t="s">
        <v>191</v>
      </c>
    </row>
    <row r="108" spans="1:4" ht="32" x14ac:dyDescent="0.45">
      <c r="A108" s="16" t="s">
        <v>713</v>
      </c>
      <c r="B108" s="23">
        <f>B107*data_intmat!B226</f>
        <v>4245372.445360993</v>
      </c>
      <c r="C108" s="17" t="s">
        <v>11</v>
      </c>
      <c r="D108" s="21"/>
    </row>
    <row r="109" spans="1:4" ht="32" x14ac:dyDescent="0.45">
      <c r="A109" s="44" t="s">
        <v>714</v>
      </c>
      <c r="B109" s="26">
        <f>B107*data_intmat!B227</f>
        <v>14940503.709402483</v>
      </c>
      <c r="C109" s="45" t="s">
        <v>11</v>
      </c>
      <c r="D109" s="28"/>
    </row>
    <row r="111" spans="1:4" x14ac:dyDescent="0.45">
      <c r="A111" s="30" t="s">
        <v>718</v>
      </c>
    </row>
    <row r="112" spans="1:4" x14ac:dyDescent="0.45">
      <c r="A112" s="14" t="s">
        <v>1</v>
      </c>
      <c r="B112" s="5" t="s">
        <v>2</v>
      </c>
      <c r="C112" s="5" t="s">
        <v>119</v>
      </c>
      <c r="D112" s="20" t="s">
        <v>4</v>
      </c>
    </row>
    <row r="113" spans="1:4" ht="32" x14ac:dyDescent="0.45">
      <c r="A113" s="16" t="s">
        <v>715</v>
      </c>
      <c r="B113" s="104">
        <f>'[9]Weight%'!$B$210</f>
        <v>1</v>
      </c>
      <c r="C113" s="17" t="s">
        <v>803</v>
      </c>
      <c r="D113" s="49" t="s">
        <v>191</v>
      </c>
    </row>
    <row r="114" spans="1:4" ht="32" x14ac:dyDescent="0.45">
      <c r="A114" s="16" t="s">
        <v>716</v>
      </c>
      <c r="B114" s="23">
        <f>B113*data_intmat!B239</f>
        <v>19537750.149359114</v>
      </c>
      <c r="C114" s="17" t="s">
        <v>11</v>
      </c>
      <c r="D114" s="21"/>
    </row>
    <row r="115" spans="1:4" ht="32" x14ac:dyDescent="0.45">
      <c r="A115" s="44" t="s">
        <v>717</v>
      </c>
      <c r="B115" s="26">
        <f>B113*data_intmat!B240</f>
        <v>106891525.4626763</v>
      </c>
      <c r="C115" s="45" t="s">
        <v>11</v>
      </c>
      <c r="D115" s="28"/>
    </row>
    <row r="117" spans="1:4" x14ac:dyDescent="0.45">
      <c r="A117" s="30" t="s">
        <v>719</v>
      </c>
    </row>
    <row r="118" spans="1:4" x14ac:dyDescent="0.45">
      <c r="A118" s="14" t="s">
        <v>1</v>
      </c>
      <c r="B118" s="5" t="s">
        <v>2</v>
      </c>
      <c r="C118" s="5" t="s">
        <v>119</v>
      </c>
      <c r="D118" s="20" t="s">
        <v>4</v>
      </c>
    </row>
    <row r="119" spans="1:4" ht="32" x14ac:dyDescent="0.45">
      <c r="A119" s="16" t="s">
        <v>720</v>
      </c>
      <c r="B119" s="104">
        <f>'[9]Weight%'!$B$211</f>
        <v>1</v>
      </c>
      <c r="C119" s="17" t="s">
        <v>803</v>
      </c>
      <c r="D119" s="49" t="s">
        <v>191</v>
      </c>
    </row>
    <row r="120" spans="1:4" ht="32" x14ac:dyDescent="0.45">
      <c r="A120" s="16" t="s">
        <v>721</v>
      </c>
      <c r="B120" s="23">
        <f>B119*data_rawmat!B390</f>
        <v>48750913.372347116</v>
      </c>
      <c r="C120" s="17" t="s">
        <v>11</v>
      </c>
      <c r="D120" s="21"/>
    </row>
    <row r="121" spans="1:4" ht="32" x14ac:dyDescent="0.45">
      <c r="A121" s="44" t="s">
        <v>722</v>
      </c>
      <c r="B121" s="26">
        <f>B119*data_rawmat!B396</f>
        <v>670835752.56611085</v>
      </c>
      <c r="C121" s="45" t="s">
        <v>11</v>
      </c>
      <c r="D121" s="28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23" sqref="A23"/>
    </sheetView>
  </sheetViews>
  <sheetFormatPr baseColWidth="10" defaultRowHeight="16" x14ac:dyDescent="0.45"/>
  <cols>
    <col min="1" max="1" width="24.7265625" customWidth="1"/>
    <col min="2" max="2" width="21.1796875" customWidth="1"/>
    <col min="3" max="3" width="22.81640625" customWidth="1"/>
    <col min="4" max="4" width="28" customWidth="1"/>
  </cols>
  <sheetData>
    <row r="1" spans="1:5" ht="17.5" x14ac:dyDescent="0.45">
      <c r="A1" s="9" t="s">
        <v>74</v>
      </c>
    </row>
    <row r="3" spans="1:5" x14ac:dyDescent="0.45">
      <c r="A3" t="s">
        <v>75</v>
      </c>
    </row>
    <row r="5" spans="1:5" ht="32" x14ac:dyDescent="0.45">
      <c r="A5" t="s">
        <v>76</v>
      </c>
      <c r="B5" t="s">
        <v>77</v>
      </c>
      <c r="C5" s="2" t="s">
        <v>78</v>
      </c>
      <c r="D5" t="s">
        <v>79</v>
      </c>
      <c r="E5" t="s">
        <v>80</v>
      </c>
    </row>
    <row r="6" spans="1:5" x14ac:dyDescent="0.45">
      <c r="A6" t="s">
        <v>0</v>
      </c>
      <c r="B6" t="s">
        <v>81</v>
      </c>
      <c r="C6">
        <v>2</v>
      </c>
      <c r="D6" s="35" t="s">
        <v>761</v>
      </c>
    </row>
    <row r="7" spans="1:5" x14ac:dyDescent="0.45">
      <c r="A7" t="s">
        <v>88</v>
      </c>
      <c r="B7" t="s">
        <v>89</v>
      </c>
      <c r="C7">
        <v>2</v>
      </c>
      <c r="D7" t="s">
        <v>764</v>
      </c>
    </row>
    <row r="8" spans="1:5" x14ac:dyDescent="0.45">
      <c r="A8" t="s">
        <v>24</v>
      </c>
      <c r="B8" t="s">
        <v>93</v>
      </c>
      <c r="C8">
        <v>1</v>
      </c>
      <c r="D8" t="s">
        <v>764</v>
      </c>
    </row>
    <row r="9" spans="1:5" x14ac:dyDescent="0.45">
      <c r="A9" t="s">
        <v>97</v>
      </c>
      <c r="B9" t="s">
        <v>99</v>
      </c>
      <c r="C9">
        <v>1</v>
      </c>
      <c r="D9" s="35" t="s">
        <v>768</v>
      </c>
    </row>
    <row r="10" spans="1:5" x14ac:dyDescent="0.45">
      <c r="A10" t="s">
        <v>98</v>
      </c>
      <c r="B10" t="s">
        <v>100</v>
      </c>
      <c r="C10">
        <v>1</v>
      </c>
      <c r="D10" s="35" t="s">
        <v>769</v>
      </c>
    </row>
    <row r="11" spans="1:5" x14ac:dyDescent="0.45">
      <c r="A11" t="s">
        <v>94</v>
      </c>
      <c r="B11" t="s">
        <v>95</v>
      </c>
      <c r="C11">
        <v>1</v>
      </c>
      <c r="D11" s="35" t="s">
        <v>770</v>
      </c>
    </row>
    <row r="12" spans="1:5" x14ac:dyDescent="0.45">
      <c r="A12" t="s">
        <v>103</v>
      </c>
      <c r="B12" t="s">
        <v>81</v>
      </c>
      <c r="C12">
        <v>2</v>
      </c>
      <c r="E12" t="s">
        <v>124</v>
      </c>
    </row>
    <row r="13" spans="1:5" ht="32" x14ac:dyDescent="0.45">
      <c r="A13" s="2" t="s">
        <v>104</v>
      </c>
      <c r="B13" t="s">
        <v>81</v>
      </c>
      <c r="C13">
        <v>2</v>
      </c>
      <c r="E13" t="s">
        <v>106</v>
      </c>
    </row>
    <row r="14" spans="1:5" x14ac:dyDescent="0.45">
      <c r="A14" t="s">
        <v>101</v>
      </c>
      <c r="B14" t="s">
        <v>102</v>
      </c>
      <c r="C14">
        <v>3</v>
      </c>
      <c r="D14" s="35" t="s">
        <v>801</v>
      </c>
      <c r="E14" t="s">
        <v>116</v>
      </c>
    </row>
    <row r="15" spans="1:5" x14ac:dyDescent="0.45">
      <c r="A15" s="2" t="s">
        <v>105</v>
      </c>
      <c r="B15" t="s">
        <v>89</v>
      </c>
      <c r="C15">
        <v>2</v>
      </c>
      <c r="E15" t="s">
        <v>107</v>
      </c>
    </row>
    <row r="16" spans="1:5" ht="32" x14ac:dyDescent="0.45">
      <c r="A16" s="2" t="s">
        <v>108</v>
      </c>
      <c r="B16" t="s">
        <v>93</v>
      </c>
      <c r="C16">
        <v>1</v>
      </c>
      <c r="E16" t="s">
        <v>109</v>
      </c>
    </row>
    <row r="17" spans="1:5" ht="32" x14ac:dyDescent="0.45">
      <c r="A17" s="2" t="s">
        <v>110</v>
      </c>
      <c r="B17" t="s">
        <v>99</v>
      </c>
      <c r="C17">
        <v>1</v>
      </c>
      <c r="E17" t="s">
        <v>112</v>
      </c>
    </row>
    <row r="18" spans="1:5" ht="32" x14ac:dyDescent="0.45">
      <c r="A18" s="2" t="s">
        <v>111</v>
      </c>
      <c r="B18" t="s">
        <v>100</v>
      </c>
      <c r="C18">
        <v>1</v>
      </c>
      <c r="E18" t="s">
        <v>113</v>
      </c>
    </row>
    <row r="19" spans="1:5" x14ac:dyDescent="0.45">
      <c r="A19" s="2" t="s">
        <v>114</v>
      </c>
      <c r="B19" t="s">
        <v>95</v>
      </c>
      <c r="C19">
        <v>1</v>
      </c>
      <c r="E19" t="s">
        <v>115</v>
      </c>
    </row>
    <row r="21" spans="1:5" x14ac:dyDescent="0.45">
      <c r="A21" s="3" t="s">
        <v>117</v>
      </c>
    </row>
    <row r="23" spans="1:5" x14ac:dyDescent="0.45">
      <c r="A23" s="1" t="s">
        <v>792</v>
      </c>
    </row>
    <row r="24" spans="1:5" x14ac:dyDescent="0.45">
      <c r="A24" t="s">
        <v>783</v>
      </c>
    </row>
    <row r="25" spans="1:5" x14ac:dyDescent="0.45">
      <c r="A25" t="s">
        <v>802</v>
      </c>
    </row>
    <row r="26" spans="1:5" x14ac:dyDescent="0.45">
      <c r="A26" t="s">
        <v>785</v>
      </c>
    </row>
    <row r="27" spans="1:5" x14ac:dyDescent="0.45">
      <c r="A27" t="s">
        <v>786</v>
      </c>
    </row>
    <row r="28" spans="1:5" x14ac:dyDescent="0.45">
      <c r="A28" t="s">
        <v>788</v>
      </c>
    </row>
    <row r="29" spans="1:5" x14ac:dyDescent="0.45">
      <c r="A29" t="s">
        <v>790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data_1tier</vt:lpstr>
      <vt:lpstr>data_2tier</vt:lpstr>
      <vt:lpstr>data_3tier</vt:lpstr>
      <vt:lpstr>data_4tier</vt:lpstr>
      <vt:lpstr>data_rawmat</vt:lpstr>
      <vt:lpstr>data_intmat</vt:lpstr>
      <vt:lpstr>data_min</vt:lpstr>
      <vt:lpstr>data (temporal relevance)</vt:lpstr>
      <vt:lpstr>data_1tier!_GoBack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Berr, Marcus</dc:creator>
  <cp:lastModifiedBy>Berr, Marcus</cp:lastModifiedBy>
  <dcterms:created xsi:type="dcterms:W3CDTF">2022-06-24T11:50:37Z</dcterms:created>
  <dcterms:modified xsi:type="dcterms:W3CDTF">2023-05-18T12:14:01Z</dcterms:modified>
</cp:coreProperties>
</file>