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3. Paper\Inventory model\P3_LCIA_data\"/>
    </mc:Choice>
  </mc:AlternateContent>
  <bookViews>
    <workbookView xWindow="0" yWindow="0" windowWidth="4730" windowHeight="6320" tabRatio="789" activeTab="6"/>
  </bookViews>
  <sheets>
    <sheet name="data_1tier" sheetId="1" r:id="rId1"/>
    <sheet name="data_2tier" sheetId="3" r:id="rId2"/>
    <sheet name="data_3tier" sheetId="4" r:id="rId3"/>
    <sheet name="data_4tier" sheetId="5" r:id="rId4"/>
    <sheet name="data_rawmat" sheetId="6" r:id="rId5"/>
    <sheet name="data_intmat" sheetId="7" r:id="rId6"/>
    <sheet name="data_min" sheetId="8" r:id="rId7"/>
    <sheet name="data(temporal relevance)"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9" i="7" l="1"/>
  <c r="B215" i="7"/>
  <c r="B197" i="7"/>
  <c r="B196" i="7"/>
  <c r="B176" i="7"/>
  <c r="B157" i="7"/>
  <c r="B147" i="7"/>
  <c r="B134" i="7"/>
  <c r="B115" i="7"/>
  <c r="B98" i="7"/>
  <c r="B86" i="7"/>
  <c r="B76" i="7"/>
  <c r="B50" i="7"/>
  <c r="B20" i="7"/>
  <c r="B5" i="7"/>
  <c r="B340" i="6"/>
  <c r="B341" i="6"/>
  <c r="B324" i="6"/>
  <c r="B323" i="6"/>
  <c r="B322" i="6"/>
  <c r="B321" i="6"/>
  <c r="B305" i="6"/>
  <c r="B289" i="6"/>
  <c r="B290" i="6"/>
  <c r="B279" i="6"/>
  <c r="B263" i="6"/>
  <c r="B262" i="6"/>
  <c r="B249" i="6"/>
  <c r="B219" i="6"/>
  <c r="B218" i="6"/>
  <c r="B217" i="6"/>
  <c r="B216" i="6"/>
  <c r="B215" i="6"/>
  <c r="B214" i="6"/>
  <c r="B194" i="6"/>
  <c r="B180" i="6"/>
  <c r="B179" i="6"/>
  <c r="B178" i="6"/>
  <c r="B177" i="6"/>
  <c r="B165" i="6"/>
  <c r="B155" i="6"/>
  <c r="B154" i="6"/>
  <c r="B139" i="6"/>
  <c r="B138" i="6"/>
  <c r="B112" i="6"/>
  <c r="B111" i="6"/>
  <c r="B110" i="6"/>
  <c r="B109" i="6"/>
  <c r="B108" i="6"/>
  <c r="B107" i="6"/>
  <c r="B106" i="6"/>
  <c r="B105" i="6"/>
  <c r="B104" i="6"/>
  <c r="B103" i="6"/>
  <c r="B93" i="6"/>
  <c r="B92" i="6"/>
  <c r="B85" i="6"/>
  <c r="B69" i="6"/>
  <c r="B68" i="6"/>
  <c r="B67" i="6"/>
  <c r="B66" i="6"/>
  <c r="B23" i="6"/>
  <c r="B22" i="6"/>
  <c r="B21" i="6"/>
  <c r="B6" i="6"/>
  <c r="B5" i="6"/>
  <c r="B72" i="5"/>
  <c r="B63" i="5"/>
  <c r="B51" i="5"/>
  <c r="B50" i="5"/>
  <c r="B49" i="5"/>
  <c r="B48" i="5"/>
  <c r="B47" i="5"/>
  <c r="B46" i="5"/>
  <c r="B45" i="5"/>
  <c r="B44" i="5"/>
  <c r="B43" i="5"/>
  <c r="B42" i="5"/>
  <c r="B41" i="5"/>
  <c r="B40" i="5"/>
  <c r="B18" i="5"/>
  <c r="B9" i="5"/>
  <c r="B8" i="5"/>
  <c r="B7" i="5"/>
  <c r="B6" i="5"/>
  <c r="B5" i="5"/>
  <c r="B99" i="4"/>
  <c r="B75" i="4"/>
  <c r="B53" i="4"/>
  <c r="B52" i="4"/>
  <c r="B51" i="4"/>
  <c r="B50" i="4"/>
  <c r="B49" i="4"/>
  <c r="B48" i="4"/>
  <c r="B47" i="4"/>
  <c r="B46" i="4"/>
  <c r="B23" i="4"/>
  <c r="B22" i="4"/>
  <c r="B324" i="3"/>
  <c r="B323" i="3"/>
  <c r="B322" i="3"/>
  <c r="B321" i="3"/>
  <c r="B320" i="3"/>
  <c r="B319" i="3"/>
  <c r="B318" i="3"/>
  <c r="B317" i="3"/>
  <c r="B297" i="3"/>
  <c r="B296" i="3"/>
  <c r="B295" i="3"/>
  <c r="B294" i="3"/>
  <c r="B293" i="3"/>
  <c r="B292" i="3"/>
  <c r="B248" i="3"/>
  <c r="B247" i="3"/>
  <c r="B246" i="3"/>
  <c r="B245" i="3"/>
  <c r="B244" i="3"/>
  <c r="B243" i="3"/>
  <c r="B272" i="3"/>
  <c r="B271" i="3"/>
  <c r="B270" i="3"/>
  <c r="B269" i="3"/>
  <c r="B268" i="3"/>
  <c r="B221" i="3"/>
  <c r="B220" i="3"/>
  <c r="B219" i="3"/>
  <c r="B218" i="3"/>
  <c r="B217" i="3"/>
  <c r="B216" i="3"/>
  <c r="B215" i="3"/>
  <c r="B214" i="3"/>
  <c r="B192" i="3"/>
  <c r="B191" i="3"/>
  <c r="B190" i="3"/>
  <c r="B189" i="3"/>
  <c r="B188" i="3"/>
  <c r="B187" i="3"/>
  <c r="B186" i="3"/>
  <c r="B185" i="3"/>
  <c r="Q165" i="3"/>
  <c r="Q164" i="3"/>
  <c r="Q163" i="3"/>
  <c r="Q162" i="3"/>
  <c r="Q161" i="3"/>
  <c r="Q160" i="3"/>
  <c r="Q159" i="3"/>
  <c r="Q158" i="3"/>
  <c r="Q166" i="3" l="1"/>
  <c r="R164" i="3" s="1"/>
  <c r="B163" i="3"/>
  <c r="B170" i="3" s="1"/>
  <c r="B162" i="3"/>
  <c r="B169" i="3" s="1"/>
  <c r="B161" i="3"/>
  <c r="B168" i="3" s="1"/>
  <c r="B160" i="3"/>
  <c r="B166" i="3" s="1"/>
  <c r="B159" i="3"/>
  <c r="B165" i="3" s="1"/>
  <c r="B158" i="3"/>
  <c r="B164" i="3" s="1"/>
  <c r="Q153" i="3"/>
  <c r="Q152" i="3"/>
  <c r="Q151" i="3"/>
  <c r="Q150" i="3"/>
  <c r="Q149" i="3"/>
  <c r="Q148" i="3"/>
  <c r="Q147" i="3"/>
  <c r="Q146" i="3"/>
  <c r="Q145" i="3"/>
  <c r="Q144" i="3"/>
  <c r="Q143" i="3"/>
  <c r="Q142" i="3"/>
  <c r="Q141" i="3"/>
  <c r="Q140" i="3"/>
  <c r="Q139" i="3"/>
  <c r="Q138" i="3"/>
  <c r="Q137" i="3"/>
  <c r="Q136" i="3"/>
  <c r="Q135" i="3"/>
  <c r="Q134" i="3"/>
  <c r="Q133" i="3"/>
  <c r="Q132" i="3"/>
  <c r="Q131" i="3"/>
  <c r="R158" i="3" l="1"/>
  <c r="R159" i="3"/>
  <c r="R161" i="3"/>
  <c r="R163" i="3"/>
  <c r="R160" i="3"/>
  <c r="R162" i="3"/>
  <c r="R165" i="3"/>
  <c r="B167" i="3"/>
  <c r="B171" i="3"/>
  <c r="Q154" i="3"/>
  <c r="R151" i="3" s="1"/>
  <c r="B132" i="3"/>
  <c r="B138" i="3" s="1"/>
  <c r="B133" i="3"/>
  <c r="B139" i="3" s="1"/>
  <c r="B134" i="3"/>
  <c r="B141" i="3" s="1"/>
  <c r="B135" i="3"/>
  <c r="B142" i="3" s="1"/>
  <c r="B136" i="3"/>
  <c r="B143" i="3" s="1"/>
  <c r="B131" i="3"/>
  <c r="B137" i="3" s="1"/>
  <c r="B76" i="4" s="1"/>
  <c r="B80" i="3"/>
  <c r="B79" i="3"/>
  <c r="B78" i="3"/>
  <c r="B85" i="3"/>
  <c r="B84" i="3"/>
  <c r="B83" i="3"/>
  <c r="B82" i="3"/>
  <c r="B81" i="3"/>
  <c r="B32" i="3"/>
  <c r="B31" i="3"/>
  <c r="B30" i="3"/>
  <c r="B29" i="3"/>
  <c r="B28" i="3"/>
  <c r="B27" i="3"/>
  <c r="B26" i="3"/>
  <c r="B25" i="3"/>
  <c r="M142" i="3" l="1"/>
  <c r="M141" i="3" s="1"/>
  <c r="M140" i="3" s="1"/>
  <c r="M139" i="3" s="1"/>
  <c r="M138" i="3" s="1"/>
  <c r="M137" i="3" s="1"/>
  <c r="M136" i="3" s="1"/>
  <c r="M135" i="3" s="1"/>
  <c r="M134" i="3" s="1"/>
  <c r="M133" i="3" s="1"/>
  <c r="M132" i="3" s="1"/>
  <c r="M131" i="3" s="1"/>
  <c r="B152" i="3" s="1"/>
  <c r="B82" i="4"/>
  <c r="L142" i="3"/>
  <c r="L141" i="3" s="1"/>
  <c r="L140" i="3" s="1"/>
  <c r="L139" i="3" s="1"/>
  <c r="L138" i="3" s="1"/>
  <c r="L137" i="3" s="1"/>
  <c r="L136" i="3" s="1"/>
  <c r="L135" i="3" s="1"/>
  <c r="L134" i="3" s="1"/>
  <c r="L133" i="3" s="1"/>
  <c r="L132" i="3" s="1"/>
  <c r="B151" i="3" s="1"/>
  <c r="B81" i="4"/>
  <c r="H142" i="3"/>
  <c r="H141" i="3" s="1"/>
  <c r="H140" i="3" s="1"/>
  <c r="H139" i="3" s="1"/>
  <c r="H138" i="3" s="1"/>
  <c r="H137" i="3" s="1"/>
  <c r="H136" i="3" s="1"/>
  <c r="H135" i="3" s="1"/>
  <c r="H134" i="3" s="1"/>
  <c r="B147" i="3" s="1"/>
  <c r="B77" i="4"/>
  <c r="K142" i="3"/>
  <c r="K141" i="3" s="1"/>
  <c r="K140" i="3" s="1"/>
  <c r="K139" i="3" s="1"/>
  <c r="K138" i="3" s="1"/>
  <c r="K137" i="3" s="1"/>
  <c r="B150" i="3" s="1"/>
  <c r="B80" i="4"/>
  <c r="I142" i="3"/>
  <c r="I141" i="3" s="1"/>
  <c r="I140" i="3" s="1"/>
  <c r="I139" i="3" s="1"/>
  <c r="I138" i="3" s="1"/>
  <c r="I137" i="3" s="1"/>
  <c r="I136" i="3" s="1"/>
  <c r="I135" i="3" s="1"/>
  <c r="I134" i="3" s="1"/>
  <c r="I133" i="3" s="1"/>
  <c r="I132" i="3" s="1"/>
  <c r="I131" i="3" s="1"/>
  <c r="B148" i="3" s="1"/>
  <c r="B78" i="4"/>
  <c r="B140" i="3"/>
  <c r="G142" i="3"/>
  <c r="G141" i="3" s="1"/>
  <c r="G140" i="3" s="1"/>
  <c r="G139" i="3" s="1"/>
  <c r="G138" i="3" s="1"/>
  <c r="G137" i="3" s="1"/>
  <c r="G136" i="3" s="1"/>
  <c r="G135" i="3" s="1"/>
  <c r="G134" i="3" s="1"/>
  <c r="G133" i="3" s="1"/>
  <c r="B146" i="3" s="1"/>
  <c r="R132" i="3"/>
  <c r="R150" i="3"/>
  <c r="R140" i="3"/>
  <c r="R141" i="3"/>
  <c r="R134" i="3"/>
  <c r="R133" i="3"/>
  <c r="R142" i="3"/>
  <c r="R149" i="3"/>
  <c r="R148" i="3"/>
  <c r="R143" i="3"/>
  <c r="R145" i="3"/>
  <c r="R147" i="3"/>
  <c r="B144" i="3"/>
  <c r="R137" i="3"/>
  <c r="R139" i="3"/>
  <c r="R153" i="3"/>
  <c r="R152" i="3"/>
  <c r="R131" i="3"/>
  <c r="R135" i="3"/>
  <c r="R144" i="3"/>
  <c r="R146" i="3"/>
  <c r="R136" i="3"/>
  <c r="R138" i="3"/>
  <c r="J142" i="3" l="1"/>
  <c r="J141" i="3" s="1"/>
  <c r="J140" i="3" s="1"/>
  <c r="J139" i="3" s="1"/>
  <c r="J138" i="3" s="1"/>
  <c r="J137" i="3" s="1"/>
  <c r="J136" i="3" s="1"/>
  <c r="J135" i="3" s="1"/>
  <c r="J134" i="3" s="1"/>
  <c r="J133" i="3" s="1"/>
  <c r="J132" i="3" s="1"/>
  <c r="J131" i="3" s="1"/>
  <c r="B149" i="3" s="1"/>
  <c r="B79" i="4"/>
  <c r="N142" i="3"/>
  <c r="N141" i="3" s="1"/>
  <c r="N140" i="3" s="1"/>
  <c r="N139" i="3" s="1"/>
  <c r="N138" i="3" s="1"/>
  <c r="N137" i="3" s="1"/>
  <c r="N136" i="3" s="1"/>
  <c r="N135" i="3" s="1"/>
  <c r="N134" i="3" s="1"/>
  <c r="N133" i="3" s="1"/>
  <c r="N132" i="3" s="1"/>
  <c r="N131" i="3" s="1"/>
  <c r="B153" i="3" s="1"/>
  <c r="B83" i="4"/>
  <c r="B145" i="3"/>
  <c r="S151" i="3" s="1"/>
  <c r="B84" i="4" l="1"/>
  <c r="B154" i="3"/>
  <c r="S142" i="3"/>
  <c r="S139" i="3"/>
  <c r="S153" i="3"/>
  <c r="S149" i="3"/>
  <c r="S131" i="3"/>
  <c r="S134" i="3"/>
  <c r="S138" i="3"/>
  <c r="S136" i="3"/>
  <c r="S148" i="3"/>
  <c r="S150" i="3"/>
  <c r="S140" i="3"/>
  <c r="S145" i="3"/>
  <c r="S143" i="3"/>
  <c r="S135" i="3"/>
  <c r="S147" i="3"/>
  <c r="S152" i="3"/>
  <c r="S137" i="3"/>
  <c r="S133" i="3"/>
  <c r="S144" i="3"/>
  <c r="S141" i="3"/>
  <c r="S132" i="3"/>
  <c r="S146" i="3"/>
  <c r="B5" i="3" l="1"/>
  <c r="B6" i="3"/>
  <c r="B7" i="3"/>
  <c r="B8" i="3"/>
  <c r="B9" i="3"/>
  <c r="B9" i="1" l="1"/>
  <c r="G210" i="6" l="1"/>
  <c r="G245" i="6" l="1"/>
  <c r="H215" i="6" s="1"/>
  <c r="H195" i="6"/>
  <c r="H196" i="6"/>
  <c r="H197" i="6"/>
  <c r="H198" i="6"/>
  <c r="H199" i="6"/>
  <c r="H200" i="6"/>
  <c r="H201" i="6"/>
  <c r="H202" i="6"/>
  <c r="H203" i="6"/>
  <c r="H204" i="6"/>
  <c r="H205" i="6"/>
  <c r="H206" i="6"/>
  <c r="H207" i="6"/>
  <c r="H208" i="6"/>
  <c r="H209" i="6"/>
  <c r="H194" i="6"/>
  <c r="G153" i="7"/>
  <c r="H149" i="7" s="1"/>
  <c r="G110" i="7"/>
  <c r="H101" i="7" s="1"/>
  <c r="G46" i="7"/>
  <c r="H26" i="7" s="1"/>
  <c r="G62" i="6"/>
  <c r="H22" i="6" s="1"/>
  <c r="H33" i="7" l="1"/>
  <c r="H99" i="7"/>
  <c r="H25" i="7"/>
  <c r="H38" i="6"/>
  <c r="H29" i="6"/>
  <c r="H244" i="6"/>
  <c r="H61" i="6"/>
  <c r="H243" i="6"/>
  <c r="H57" i="6"/>
  <c r="H241" i="6"/>
  <c r="H239" i="6"/>
  <c r="H236" i="6"/>
  <c r="H35" i="6"/>
  <c r="H21" i="6"/>
  <c r="H53" i="6"/>
  <c r="H48" i="6"/>
  <c r="H44" i="6"/>
  <c r="H235" i="6"/>
  <c r="H231" i="6"/>
  <c r="H228" i="6"/>
  <c r="H227" i="6"/>
  <c r="H223" i="6"/>
  <c r="H56" i="6"/>
  <c r="H46" i="6"/>
  <c r="H37" i="6"/>
  <c r="H28" i="6"/>
  <c r="H238" i="6"/>
  <c r="H230" i="6"/>
  <c r="H222" i="6"/>
  <c r="H54" i="6"/>
  <c r="H45" i="6"/>
  <c r="H36" i="6"/>
  <c r="H27" i="6"/>
  <c r="H214" i="6"/>
  <c r="H237" i="6"/>
  <c r="H229" i="6"/>
  <c r="H221" i="6"/>
  <c r="H220" i="6"/>
  <c r="H219" i="6"/>
  <c r="H43" i="6"/>
  <c r="H60" i="6"/>
  <c r="H51" i="6"/>
  <c r="H42" i="6"/>
  <c r="H33" i="6"/>
  <c r="H242" i="6"/>
  <c r="H234" i="6"/>
  <c r="H226" i="6"/>
  <c r="H218" i="6"/>
  <c r="H34" i="6"/>
  <c r="H59" i="6"/>
  <c r="H50" i="6"/>
  <c r="H41" i="6"/>
  <c r="H32" i="6"/>
  <c r="H233" i="6"/>
  <c r="H225" i="6"/>
  <c r="H217" i="6"/>
  <c r="H52" i="6"/>
  <c r="H58" i="6"/>
  <c r="H49" i="6"/>
  <c r="H40" i="6"/>
  <c r="H30" i="6"/>
  <c r="H240" i="6"/>
  <c r="H232" i="6"/>
  <c r="H224" i="6"/>
  <c r="H216" i="6"/>
  <c r="H108" i="7"/>
  <c r="H107" i="7"/>
  <c r="H106" i="7"/>
  <c r="H104" i="7"/>
  <c r="H148" i="7"/>
  <c r="H41" i="7"/>
  <c r="H100" i="7"/>
  <c r="H20" i="7"/>
  <c r="H38" i="7"/>
  <c r="H30" i="7"/>
  <c r="H22" i="7"/>
  <c r="H105" i="7"/>
  <c r="H147" i="7"/>
  <c r="H40" i="7"/>
  <c r="H24" i="7"/>
  <c r="H39" i="7"/>
  <c r="H29" i="7"/>
  <c r="H152" i="7"/>
  <c r="H44" i="7"/>
  <c r="H36" i="7"/>
  <c r="H28" i="7"/>
  <c r="H103" i="7"/>
  <c r="H151" i="7"/>
  <c r="H32" i="7"/>
  <c r="H31" i="7"/>
  <c r="H37" i="7"/>
  <c r="H43" i="7"/>
  <c r="H35" i="7"/>
  <c r="H27" i="7"/>
  <c r="H98" i="7"/>
  <c r="H102" i="7"/>
  <c r="H150" i="7"/>
  <c r="H23" i="7"/>
  <c r="H45" i="7"/>
  <c r="H21" i="7"/>
  <c r="H42" i="7"/>
  <c r="H34" i="7"/>
  <c r="H109" i="7"/>
  <c r="H26" i="6"/>
  <c r="H25" i="6"/>
  <c r="H24" i="6"/>
  <c r="H55" i="6"/>
  <c r="H47" i="6"/>
  <c r="H39" i="6"/>
  <c r="H31" i="6"/>
  <c r="H23" i="6"/>
  <c r="B65" i="8" l="1"/>
  <c r="B47" i="8" l="1"/>
  <c r="G185" i="6" l="1"/>
  <c r="G184" i="6"/>
  <c r="G183" i="6"/>
  <c r="G182" i="6"/>
  <c r="G181" i="6"/>
  <c r="G180" i="6"/>
  <c r="G179" i="6"/>
  <c r="G178" i="6"/>
  <c r="G177" i="6"/>
  <c r="G247" i="7" l="1"/>
  <c r="G246" i="7"/>
  <c r="G245" i="7"/>
  <c r="G244" i="7"/>
  <c r="G243" i="7"/>
  <c r="G242" i="7"/>
  <c r="G241" i="7"/>
  <c r="G240" i="7"/>
  <c r="G239" i="7"/>
  <c r="G248" i="7" l="1"/>
  <c r="H246" i="7" s="1"/>
  <c r="H241" i="7" l="1"/>
  <c r="H240" i="7"/>
  <c r="H239" i="7"/>
  <c r="H247" i="7"/>
  <c r="H245" i="7"/>
  <c r="H243" i="7"/>
  <c r="H244" i="7"/>
  <c r="H242" i="7"/>
  <c r="G234" i="7"/>
  <c r="G233" i="7"/>
  <c r="G232" i="7"/>
  <c r="G231" i="7"/>
  <c r="G230" i="7"/>
  <c r="G229" i="7"/>
  <c r="G228" i="7"/>
  <c r="G227" i="7"/>
  <c r="G226" i="7"/>
  <c r="G225" i="7"/>
  <c r="G224" i="7"/>
  <c r="G223" i="7"/>
  <c r="G222" i="7"/>
  <c r="G221" i="7"/>
  <c r="G220" i="7"/>
  <c r="G219" i="7"/>
  <c r="G218" i="7"/>
  <c r="G217" i="7"/>
  <c r="G216" i="7"/>
  <c r="G215" i="7"/>
  <c r="G210" i="7"/>
  <c r="G209" i="7"/>
  <c r="G208" i="7"/>
  <c r="G207" i="7"/>
  <c r="G206" i="7"/>
  <c r="G205" i="7"/>
  <c r="G204" i="7"/>
  <c r="G203" i="7"/>
  <c r="G202" i="7"/>
  <c r="G201" i="7"/>
  <c r="G200" i="7"/>
  <c r="G199" i="7"/>
  <c r="G198" i="7"/>
  <c r="G197" i="7"/>
  <c r="G196" i="7"/>
  <c r="G235" i="7" l="1"/>
  <c r="H216" i="7" s="1"/>
  <c r="G211" i="7"/>
  <c r="H196" i="7" s="1"/>
  <c r="G191" i="7"/>
  <c r="G190" i="7"/>
  <c r="G189" i="7"/>
  <c r="G188" i="7"/>
  <c r="G187" i="7"/>
  <c r="G186" i="7"/>
  <c r="G185" i="7"/>
  <c r="G184" i="7"/>
  <c r="G183" i="7"/>
  <c r="G182" i="7"/>
  <c r="G181" i="7"/>
  <c r="G180" i="7"/>
  <c r="G179" i="7"/>
  <c r="G178" i="7"/>
  <c r="G177" i="7"/>
  <c r="G176" i="7"/>
  <c r="H228" i="7" l="1"/>
  <c r="H218" i="7"/>
  <c r="H227" i="7"/>
  <c r="H233" i="7"/>
  <c r="H230" i="7"/>
  <c r="H232" i="7"/>
  <c r="H224" i="7"/>
  <c r="H217" i="7"/>
  <c r="H220" i="7"/>
  <c r="H215" i="7"/>
  <c r="H234" i="7"/>
  <c r="H231" i="7"/>
  <c r="H219" i="7"/>
  <c r="H222" i="7"/>
  <c r="H223" i="7"/>
  <c r="H229" i="7"/>
  <c r="H226" i="7"/>
  <c r="H198" i="7"/>
  <c r="H202" i="7"/>
  <c r="H205" i="7"/>
  <c r="H197" i="7"/>
  <c r="H210" i="7"/>
  <c r="H203" i="7"/>
  <c r="H208" i="7"/>
  <c r="H199" i="7"/>
  <c r="H200" i="7"/>
  <c r="H209" i="7"/>
  <c r="H207" i="7"/>
  <c r="H201" i="7"/>
  <c r="H206" i="7"/>
  <c r="H221" i="7"/>
  <c r="H225" i="7"/>
  <c r="H204" i="7"/>
  <c r="G192" i="7"/>
  <c r="H190" i="7" s="1"/>
  <c r="G171" i="7"/>
  <c r="G170" i="7"/>
  <c r="G169" i="7"/>
  <c r="G168" i="7"/>
  <c r="G167" i="7"/>
  <c r="G166" i="7"/>
  <c r="G165" i="7"/>
  <c r="G164" i="7"/>
  <c r="G163" i="7"/>
  <c r="G162" i="7"/>
  <c r="G161" i="7"/>
  <c r="G160" i="7"/>
  <c r="G159" i="7"/>
  <c r="G158" i="7"/>
  <c r="G157" i="7"/>
  <c r="H186" i="7" l="1"/>
  <c r="H181" i="7"/>
  <c r="H177" i="7"/>
  <c r="H184" i="7"/>
  <c r="H191" i="7"/>
  <c r="H176" i="7"/>
  <c r="H178" i="7"/>
  <c r="H188" i="7"/>
  <c r="H187" i="7"/>
  <c r="H180" i="7"/>
  <c r="H179" i="7"/>
  <c r="H183" i="7"/>
  <c r="H185" i="7"/>
  <c r="H182" i="7"/>
  <c r="H189" i="7"/>
  <c r="G172" i="7"/>
  <c r="H162" i="7" s="1"/>
  <c r="H168" i="7" l="1"/>
  <c r="H170" i="7"/>
  <c r="H160" i="7"/>
  <c r="H165" i="7"/>
  <c r="H171" i="7"/>
  <c r="H161" i="7"/>
  <c r="H164" i="7"/>
  <c r="H159" i="7"/>
  <c r="H169" i="7"/>
  <c r="H158" i="7"/>
  <c r="H166" i="7"/>
  <c r="H167" i="7"/>
  <c r="H157" i="7"/>
  <c r="H163" i="7"/>
  <c r="G142" i="7"/>
  <c r="G141" i="7"/>
  <c r="G140" i="7"/>
  <c r="G139" i="7"/>
  <c r="G138" i="7"/>
  <c r="G137" i="7"/>
  <c r="G136" i="7"/>
  <c r="G135" i="7"/>
  <c r="G134" i="7"/>
  <c r="G143" i="7" l="1"/>
  <c r="H139" i="7" s="1"/>
  <c r="H142" i="7" l="1"/>
  <c r="H136" i="7"/>
  <c r="H135" i="7"/>
  <c r="H137" i="7"/>
  <c r="H140" i="7"/>
  <c r="H141" i="7"/>
  <c r="H134" i="7"/>
  <c r="H138" i="7"/>
  <c r="G129" i="7" l="1"/>
  <c r="G128" i="7"/>
  <c r="G127" i="7"/>
  <c r="G126" i="7"/>
  <c r="G125" i="7"/>
  <c r="G124" i="7"/>
  <c r="G123" i="7"/>
  <c r="G122" i="7"/>
  <c r="G121" i="7"/>
  <c r="G120" i="7"/>
  <c r="G119" i="7"/>
  <c r="G118" i="7"/>
  <c r="G117" i="7"/>
  <c r="G116" i="7"/>
  <c r="G115" i="7"/>
  <c r="G130" i="7" l="1"/>
  <c r="H119" i="7" s="1"/>
  <c r="G93" i="7"/>
  <c r="G92" i="7"/>
  <c r="G91" i="7"/>
  <c r="G90" i="7"/>
  <c r="G89" i="7"/>
  <c r="G88" i="7"/>
  <c r="G87" i="7"/>
  <c r="G86" i="7"/>
  <c r="H124" i="7" l="1"/>
  <c r="H118" i="7"/>
  <c r="H123" i="7"/>
  <c r="H121" i="7"/>
  <c r="H128" i="7"/>
  <c r="H120" i="7"/>
  <c r="H115" i="7"/>
  <c r="H129" i="7"/>
  <c r="H125" i="7"/>
  <c r="H116" i="7"/>
  <c r="H117" i="7"/>
  <c r="H127" i="7"/>
  <c r="H122" i="7"/>
  <c r="H126" i="7"/>
  <c r="G94" i="7"/>
  <c r="H88" i="7" s="1"/>
  <c r="G81" i="7"/>
  <c r="G80" i="7"/>
  <c r="G79" i="7"/>
  <c r="G78" i="7"/>
  <c r="G77" i="7"/>
  <c r="G76" i="7"/>
  <c r="H86" i="7" l="1"/>
  <c r="G82" i="7"/>
  <c r="H77" i="7" s="1"/>
  <c r="H90" i="7"/>
  <c r="H87" i="7"/>
  <c r="H92" i="7"/>
  <c r="H93" i="7"/>
  <c r="H91" i="7"/>
  <c r="H89" i="7"/>
  <c r="B23" i="8"/>
  <c r="G71" i="7"/>
  <c r="G70" i="7"/>
  <c r="G69" i="7"/>
  <c r="G68" i="7"/>
  <c r="G67" i="7"/>
  <c r="G66" i="7"/>
  <c r="G65" i="7"/>
  <c r="G64" i="7"/>
  <c r="G63" i="7"/>
  <c r="G62" i="7"/>
  <c r="G61" i="7"/>
  <c r="G60" i="7"/>
  <c r="G59" i="7"/>
  <c r="G58" i="7"/>
  <c r="G57" i="7"/>
  <c r="G56" i="7"/>
  <c r="G55" i="7"/>
  <c r="G54" i="7"/>
  <c r="G53" i="7"/>
  <c r="G52" i="7"/>
  <c r="G51" i="7"/>
  <c r="G50" i="7"/>
  <c r="H81" i="7" l="1"/>
  <c r="H78" i="7"/>
  <c r="H80" i="7"/>
  <c r="H79" i="7"/>
  <c r="G72" i="7"/>
  <c r="H58" i="7" s="1"/>
  <c r="H76" i="7"/>
  <c r="H62" i="7" l="1"/>
  <c r="H54" i="7"/>
  <c r="H71" i="7"/>
  <c r="H69" i="7"/>
  <c r="H63" i="7"/>
  <c r="H65" i="7"/>
  <c r="H55" i="7"/>
  <c r="H57" i="7"/>
  <c r="H70" i="7"/>
  <c r="H51" i="7"/>
  <c r="H68" i="7"/>
  <c r="H50" i="7"/>
  <c r="H60" i="7"/>
  <c r="H61" i="7"/>
  <c r="H52" i="7"/>
  <c r="H59" i="7"/>
  <c r="H53" i="7"/>
  <c r="H64" i="7"/>
  <c r="H66" i="7"/>
  <c r="H56" i="7"/>
  <c r="H67" i="7"/>
  <c r="G15" i="7"/>
  <c r="G11" i="7"/>
  <c r="G6" i="7"/>
  <c r="G7" i="7"/>
  <c r="G8" i="7"/>
  <c r="G10" i="7"/>
  <c r="G12" i="7"/>
  <c r="G13" i="7"/>
  <c r="G14" i="7" l="1"/>
  <c r="G9" i="7"/>
  <c r="G5" i="7"/>
  <c r="G348" i="6"/>
  <c r="G347" i="6"/>
  <c r="G346" i="6"/>
  <c r="G345" i="6"/>
  <c r="G344" i="6"/>
  <c r="G343" i="6"/>
  <c r="G342" i="6"/>
  <c r="G341" i="6"/>
  <c r="G340" i="6"/>
  <c r="G349" i="6" l="1"/>
  <c r="H345" i="6" s="1"/>
  <c r="G16" i="7"/>
  <c r="H9" i="7" s="1"/>
  <c r="G321" i="6"/>
  <c r="G323" i="6"/>
  <c r="G325" i="6"/>
  <c r="G331" i="6"/>
  <c r="G332" i="6"/>
  <c r="G322" i="6"/>
  <c r="G324" i="6"/>
  <c r="G327" i="6"/>
  <c r="G328" i="6"/>
  <c r="G329" i="6"/>
  <c r="G333" i="6"/>
  <c r="G334" i="6"/>
  <c r="G330" i="6"/>
  <c r="G326" i="6"/>
  <c r="H340" i="6" l="1"/>
  <c r="H347" i="6"/>
  <c r="H342" i="6"/>
  <c r="H343" i="6"/>
  <c r="H344" i="6"/>
  <c r="H346" i="6"/>
  <c r="H341" i="6"/>
  <c r="H348" i="6"/>
  <c r="H14" i="7"/>
  <c r="H8" i="7"/>
  <c r="H6" i="7"/>
  <c r="H15" i="7"/>
  <c r="H13" i="7"/>
  <c r="H12" i="7"/>
  <c r="H10" i="7"/>
  <c r="H7" i="7"/>
  <c r="H11" i="7"/>
  <c r="H5" i="7"/>
  <c r="G300" i="6" l="1"/>
  <c r="G299" i="6"/>
  <c r="G298" i="6"/>
  <c r="G297" i="6"/>
  <c r="G296" i="6"/>
  <c r="G295" i="6"/>
  <c r="G294" i="6"/>
  <c r="G293" i="6"/>
  <c r="G292" i="6"/>
  <c r="G291" i="6"/>
  <c r="G290" i="6"/>
  <c r="G289" i="6"/>
  <c r="G315" i="6"/>
  <c r="G314" i="6"/>
  <c r="G313" i="6"/>
  <c r="G312" i="6"/>
  <c r="G311" i="6"/>
  <c r="G310" i="6"/>
  <c r="G309" i="6"/>
  <c r="G308" i="6"/>
  <c r="G307" i="6"/>
  <c r="G306" i="6"/>
  <c r="G305" i="6"/>
  <c r="G301" i="6" l="1"/>
  <c r="H294" i="6" s="1"/>
  <c r="G335" i="6"/>
  <c r="H323" i="6" s="1"/>
  <c r="G316" i="6"/>
  <c r="H310" i="6" s="1"/>
  <c r="G284" i="6"/>
  <c r="G283" i="6"/>
  <c r="G282" i="6"/>
  <c r="G281" i="6"/>
  <c r="G280" i="6"/>
  <c r="G279" i="6"/>
  <c r="H300" i="6" l="1"/>
  <c r="H293" i="6"/>
  <c r="H290" i="6"/>
  <c r="H295" i="6"/>
  <c r="H291" i="6"/>
  <c r="H297" i="6"/>
  <c r="H292" i="6"/>
  <c r="H289" i="6"/>
  <c r="H298" i="6"/>
  <c r="H299" i="6"/>
  <c r="H296" i="6"/>
  <c r="H331" i="6"/>
  <c r="H332" i="6"/>
  <c r="H324" i="6"/>
  <c r="H326" i="6"/>
  <c r="H322" i="6"/>
  <c r="H329" i="6"/>
  <c r="H325" i="6"/>
  <c r="H321" i="6"/>
  <c r="H327" i="6"/>
  <c r="H334" i="6"/>
  <c r="H330" i="6"/>
  <c r="H328" i="6"/>
  <c r="H333" i="6"/>
  <c r="H305" i="6"/>
  <c r="H312" i="6"/>
  <c r="G285" i="6"/>
  <c r="H282" i="6" s="1"/>
  <c r="H306" i="6"/>
  <c r="H311" i="6"/>
  <c r="H308" i="6"/>
  <c r="H307" i="6"/>
  <c r="H315" i="6"/>
  <c r="H309" i="6"/>
  <c r="H313" i="6"/>
  <c r="H314" i="6"/>
  <c r="G274" i="6"/>
  <c r="G273" i="6"/>
  <c r="G272" i="6"/>
  <c r="G271" i="6"/>
  <c r="G270" i="6"/>
  <c r="G269" i="6"/>
  <c r="G268" i="6"/>
  <c r="G267" i="6"/>
  <c r="G266" i="6"/>
  <c r="G265" i="6"/>
  <c r="G264" i="6"/>
  <c r="G263" i="6"/>
  <c r="G262" i="6"/>
  <c r="H283" i="6" l="1"/>
  <c r="H280" i="6"/>
  <c r="H284" i="6"/>
  <c r="H281" i="6"/>
  <c r="H279" i="6"/>
  <c r="G275" i="6"/>
  <c r="H272" i="6" s="1"/>
  <c r="H264" i="6" l="1"/>
  <c r="H270" i="6"/>
  <c r="H267" i="6"/>
  <c r="H271" i="6"/>
  <c r="H262" i="6"/>
  <c r="H263" i="6"/>
  <c r="H274" i="6"/>
  <c r="H266" i="6"/>
  <c r="H265" i="6"/>
  <c r="H273" i="6"/>
  <c r="H268" i="6"/>
  <c r="H269" i="6"/>
  <c r="G257" i="6"/>
  <c r="G256" i="6"/>
  <c r="G255" i="6"/>
  <c r="G254" i="6"/>
  <c r="G253" i="6"/>
  <c r="G252" i="6"/>
  <c r="G251" i="6"/>
  <c r="G250" i="6"/>
  <c r="G249" i="6"/>
  <c r="G258" i="6" l="1"/>
  <c r="H251" i="6" s="1"/>
  <c r="H257" i="6" l="1"/>
  <c r="H253" i="6"/>
  <c r="H252" i="6"/>
  <c r="H249" i="6"/>
  <c r="H255" i="6"/>
  <c r="H256" i="6"/>
  <c r="H250" i="6"/>
  <c r="H254" i="6"/>
  <c r="G186" i="6" l="1"/>
  <c r="H185" i="6" s="1"/>
  <c r="H177" i="6" l="1"/>
  <c r="H184" i="6"/>
  <c r="H183" i="6"/>
  <c r="H182" i="6"/>
  <c r="H181" i="6"/>
  <c r="H180" i="6"/>
  <c r="H179" i="6"/>
  <c r="H178" i="6"/>
  <c r="G172" i="6"/>
  <c r="G171" i="6"/>
  <c r="G165" i="6"/>
  <c r="G166" i="6"/>
  <c r="G169" i="6"/>
  <c r="G167" i="6"/>
  <c r="G168" i="6"/>
  <c r="G157" i="6"/>
  <c r="G156" i="6"/>
  <c r="G155" i="6"/>
  <c r="G154" i="6"/>
  <c r="G158" i="6" l="1"/>
  <c r="H154" i="6" s="1"/>
  <c r="G170" i="6"/>
  <c r="H156" i="6" l="1"/>
  <c r="G173" i="6"/>
  <c r="H155" i="6"/>
  <c r="H157" i="6"/>
  <c r="G147" i="6"/>
  <c r="G146" i="6"/>
  <c r="G145" i="6"/>
  <c r="G144" i="6"/>
  <c r="G143" i="6"/>
  <c r="G142" i="6"/>
  <c r="G141" i="6"/>
  <c r="G140" i="6"/>
  <c r="G139" i="6"/>
  <c r="G138" i="6"/>
  <c r="G115" i="6"/>
  <c r="G114" i="6"/>
  <c r="G113" i="6"/>
  <c r="G112" i="6"/>
  <c r="G111" i="6"/>
  <c r="G110" i="6"/>
  <c r="G109" i="6"/>
  <c r="G108" i="6"/>
  <c r="G107" i="6"/>
  <c r="G106" i="6"/>
  <c r="G105" i="6"/>
  <c r="G104" i="6"/>
  <c r="G103" i="6"/>
  <c r="G148" i="6" l="1"/>
  <c r="H143" i="6" s="1"/>
  <c r="H171" i="6"/>
  <c r="H165" i="6"/>
  <c r="H168" i="6"/>
  <c r="H172" i="6"/>
  <c r="H167" i="6"/>
  <c r="H169" i="6"/>
  <c r="H166" i="6"/>
  <c r="H170" i="6"/>
  <c r="G116" i="6"/>
  <c r="H106" i="6" s="1"/>
  <c r="H138" i="6" l="1"/>
  <c r="H140" i="6"/>
  <c r="H146" i="6"/>
  <c r="H139" i="6"/>
  <c r="H145" i="6"/>
  <c r="H147" i="6"/>
  <c r="H144" i="6"/>
  <c r="H115" i="6"/>
  <c r="H107" i="6"/>
  <c r="H142" i="6"/>
  <c r="H141" i="6"/>
  <c r="H114" i="6"/>
  <c r="H104" i="6"/>
  <c r="H112" i="6"/>
  <c r="H109" i="6"/>
  <c r="H110" i="6"/>
  <c r="H103" i="6"/>
  <c r="H111" i="6"/>
  <c r="H113" i="6"/>
  <c r="H105" i="6"/>
  <c r="H108" i="6"/>
  <c r="G95" i="6" l="1"/>
  <c r="G94" i="6"/>
  <c r="G93" i="6"/>
  <c r="G92" i="6"/>
  <c r="G96" i="6" l="1"/>
  <c r="H92" i="6" s="1"/>
  <c r="H94" i="6" l="1"/>
  <c r="H95" i="6"/>
  <c r="H93" i="6"/>
  <c r="G87" i="6" l="1"/>
  <c r="G86" i="6"/>
  <c r="G85" i="6"/>
  <c r="G88" i="6" l="1"/>
  <c r="H85" i="6" s="1"/>
  <c r="H87" i="6" l="1"/>
  <c r="H86" i="6"/>
  <c r="G80" i="6"/>
  <c r="G79" i="6"/>
  <c r="G78" i="6"/>
  <c r="G77" i="6"/>
  <c r="G76" i="6"/>
  <c r="G75" i="6"/>
  <c r="G74" i="6"/>
  <c r="G73" i="6"/>
  <c r="G72" i="6"/>
  <c r="G71" i="6"/>
  <c r="G70" i="6"/>
  <c r="G69" i="6"/>
  <c r="G68" i="6"/>
  <c r="G67" i="6"/>
  <c r="G66" i="6"/>
  <c r="G81" i="6" l="1"/>
  <c r="H75" i="6" s="1"/>
  <c r="G16" i="6"/>
  <c r="G15" i="6"/>
  <c r="G14" i="6"/>
  <c r="G13" i="6"/>
  <c r="G12" i="6"/>
  <c r="G11" i="6"/>
  <c r="G10" i="6"/>
  <c r="G9" i="6"/>
  <c r="G8" i="6"/>
  <c r="G7" i="6"/>
  <c r="G6" i="6"/>
  <c r="G5" i="6"/>
  <c r="G84" i="5"/>
  <c r="G83" i="5"/>
  <c r="G82" i="5"/>
  <c r="G81" i="5"/>
  <c r="G80" i="5"/>
  <c r="G79" i="5"/>
  <c r="G78" i="5"/>
  <c r="G77" i="5"/>
  <c r="G76" i="5"/>
  <c r="G75" i="5"/>
  <c r="G74" i="5"/>
  <c r="G73" i="5"/>
  <c r="G72" i="5"/>
  <c r="G67" i="5"/>
  <c r="G66" i="5"/>
  <c r="G65" i="5"/>
  <c r="G64" i="5"/>
  <c r="G63" i="5"/>
  <c r="G85" i="5" l="1"/>
  <c r="H80" i="5" s="1"/>
  <c r="G68" i="5"/>
  <c r="H65" i="5" s="1"/>
  <c r="H77" i="6"/>
  <c r="H69" i="6"/>
  <c r="H76" i="6"/>
  <c r="H68" i="6"/>
  <c r="H71" i="6"/>
  <c r="H74" i="6"/>
  <c r="H72" i="6"/>
  <c r="H79" i="6"/>
  <c r="H80" i="6"/>
  <c r="H67" i="6"/>
  <c r="G17" i="6"/>
  <c r="H5" i="6" s="1"/>
  <c r="H78" i="6"/>
  <c r="H66" i="6"/>
  <c r="H70" i="6"/>
  <c r="H73" i="6"/>
  <c r="H66" i="5" l="1"/>
  <c r="H82" i="5"/>
  <c r="H63" i="5"/>
  <c r="H73" i="5"/>
  <c r="H81" i="5"/>
  <c r="H75" i="5"/>
  <c r="H83" i="5"/>
  <c r="H84" i="5"/>
  <c r="H76" i="5"/>
  <c r="H72" i="5"/>
  <c r="H78" i="5"/>
  <c r="H79" i="5"/>
  <c r="H67" i="5"/>
  <c r="H64" i="5"/>
  <c r="H77" i="5"/>
  <c r="H74" i="5"/>
  <c r="H9" i="6"/>
  <c r="H10" i="6"/>
  <c r="H8" i="6"/>
  <c r="H7" i="6"/>
  <c r="H15" i="6"/>
  <c r="H13" i="6"/>
  <c r="H14" i="6"/>
  <c r="H12" i="6"/>
  <c r="H11" i="6"/>
  <c r="H6" i="6"/>
  <c r="H16" i="6"/>
  <c r="AM58" i="5"/>
  <c r="AM57" i="5"/>
  <c r="AM56" i="5"/>
  <c r="AM55" i="5"/>
  <c r="AM54" i="5"/>
  <c r="AM53" i="5"/>
  <c r="AM52" i="5"/>
  <c r="AM51" i="5"/>
  <c r="AM50" i="5"/>
  <c r="AM49" i="5"/>
  <c r="AM48" i="5"/>
  <c r="AM47" i="5"/>
  <c r="AM46" i="5"/>
  <c r="AM45" i="5"/>
  <c r="AM44" i="5"/>
  <c r="AM43" i="5"/>
  <c r="AM42" i="5"/>
  <c r="AM41" i="5"/>
  <c r="AM40" i="5"/>
  <c r="AM59" i="5" l="1"/>
  <c r="AN51" i="5" l="1"/>
  <c r="AN40" i="5"/>
  <c r="AN53" i="5"/>
  <c r="AN45" i="5"/>
  <c r="AN52" i="5"/>
  <c r="AN46" i="5"/>
  <c r="AN49" i="5"/>
  <c r="AN41" i="5"/>
  <c r="AN44" i="5"/>
  <c r="AN56" i="5"/>
  <c r="AN43" i="5"/>
  <c r="AN48" i="5"/>
  <c r="AN57" i="5"/>
  <c r="AN58" i="5"/>
  <c r="AN55" i="5"/>
  <c r="AN50" i="5"/>
  <c r="AN47" i="5"/>
  <c r="AN42" i="5"/>
  <c r="AN54" i="5"/>
  <c r="AE14" i="5" l="1"/>
  <c r="AF7" i="5" s="1"/>
  <c r="AF10" i="5" l="1"/>
  <c r="AF13" i="5"/>
  <c r="AF8" i="5"/>
  <c r="AF11" i="5"/>
  <c r="AF9" i="5"/>
  <c r="AF12" i="5"/>
  <c r="G35" i="5"/>
  <c r="G34" i="5"/>
  <c r="G33" i="5"/>
  <c r="G32" i="5"/>
  <c r="G31" i="5"/>
  <c r="G30" i="5"/>
  <c r="G29" i="5"/>
  <c r="G28" i="5"/>
  <c r="G27" i="5"/>
  <c r="G26" i="5"/>
  <c r="G25" i="5"/>
  <c r="G24" i="5"/>
  <c r="G23" i="5"/>
  <c r="G22" i="5"/>
  <c r="G21" i="5"/>
  <c r="G20" i="5"/>
  <c r="G19" i="5"/>
  <c r="G18" i="5"/>
  <c r="G36" i="5" l="1"/>
  <c r="H21" i="5" s="1"/>
  <c r="G117" i="4"/>
  <c r="G116" i="4"/>
  <c r="G115" i="4"/>
  <c r="G114" i="4"/>
  <c r="G113" i="4"/>
  <c r="G112" i="4"/>
  <c r="G111" i="4"/>
  <c r="G110" i="4"/>
  <c r="G109" i="4"/>
  <c r="G108" i="4"/>
  <c r="G107" i="4"/>
  <c r="G106" i="4"/>
  <c r="G105" i="4"/>
  <c r="G104" i="4"/>
  <c r="G103" i="4"/>
  <c r="G102" i="4"/>
  <c r="G101" i="4"/>
  <c r="G100" i="4"/>
  <c r="G99" i="4"/>
  <c r="H20" i="5" l="1"/>
  <c r="H26" i="5"/>
  <c r="H31" i="5"/>
  <c r="H23" i="5"/>
  <c r="H29" i="5"/>
  <c r="H33" i="5"/>
  <c r="H27" i="5"/>
  <c r="H18" i="5"/>
  <c r="H35" i="5"/>
  <c r="H25" i="5"/>
  <c r="H34" i="5"/>
  <c r="H19" i="5"/>
  <c r="H32" i="5"/>
  <c r="H22" i="5"/>
  <c r="H30" i="5"/>
  <c r="H24" i="5"/>
  <c r="H28" i="5"/>
  <c r="G118" i="4"/>
  <c r="H103" i="4" s="1"/>
  <c r="H105" i="4" l="1"/>
  <c r="H112" i="4"/>
  <c r="H114" i="4"/>
  <c r="H116" i="4"/>
  <c r="H104" i="4"/>
  <c r="H99" i="4"/>
  <c r="H110" i="4"/>
  <c r="H111" i="4"/>
  <c r="H113" i="4"/>
  <c r="H109" i="4"/>
  <c r="H115" i="4"/>
  <c r="H106" i="4"/>
  <c r="H108" i="4"/>
  <c r="H102" i="4"/>
  <c r="H100" i="4"/>
  <c r="H117" i="4"/>
  <c r="H107" i="4"/>
  <c r="H101" i="4"/>
  <c r="Q227" i="3" l="1"/>
  <c r="Q222" i="3"/>
  <c r="G94" i="4" l="1"/>
  <c r="G93" i="4"/>
  <c r="G92" i="4"/>
  <c r="G91" i="4"/>
  <c r="G90" i="4"/>
  <c r="G89" i="4"/>
  <c r="G88" i="4"/>
  <c r="G87" i="4"/>
  <c r="G86" i="4"/>
  <c r="G85" i="4"/>
  <c r="G84" i="4"/>
  <c r="G83" i="4"/>
  <c r="G82" i="4"/>
  <c r="G81" i="4"/>
  <c r="G80" i="4"/>
  <c r="G79" i="4"/>
  <c r="G78" i="4"/>
  <c r="G77" i="4"/>
  <c r="G76" i="4"/>
  <c r="G75" i="4"/>
  <c r="G95" i="4" l="1"/>
  <c r="H76" i="4" s="1"/>
  <c r="G62" i="4"/>
  <c r="G61" i="4"/>
  <c r="G60" i="4"/>
  <c r="G59" i="4"/>
  <c r="G58" i="4"/>
  <c r="G57" i="4"/>
  <c r="G56" i="4"/>
  <c r="G55" i="4"/>
  <c r="G54" i="4"/>
  <c r="G53" i="4"/>
  <c r="G52" i="4"/>
  <c r="G51" i="4"/>
  <c r="G50" i="4"/>
  <c r="G49" i="4"/>
  <c r="G48" i="4"/>
  <c r="G47" i="4"/>
  <c r="G46" i="4"/>
  <c r="H82" i="4" l="1"/>
  <c r="H83" i="4"/>
  <c r="H78" i="4"/>
  <c r="H93" i="4"/>
  <c r="H84" i="4"/>
  <c r="H80" i="4"/>
  <c r="H77" i="4"/>
  <c r="H92" i="4"/>
  <c r="H81" i="4"/>
  <c r="H88" i="4"/>
  <c r="H90" i="4"/>
  <c r="H89" i="4"/>
  <c r="H91" i="4"/>
  <c r="H86" i="4"/>
  <c r="H85" i="4"/>
  <c r="H79" i="4"/>
  <c r="H75" i="4"/>
  <c r="H94" i="4"/>
  <c r="H87" i="4"/>
  <c r="G63" i="4"/>
  <c r="H51" i="4" s="1"/>
  <c r="G41" i="4"/>
  <c r="G40" i="4"/>
  <c r="G39" i="4"/>
  <c r="G38" i="4"/>
  <c r="G37" i="4"/>
  <c r="G36" i="4"/>
  <c r="G35" i="4"/>
  <c r="G34" i="4"/>
  <c r="G33" i="4"/>
  <c r="G32" i="4"/>
  <c r="G31" i="4"/>
  <c r="G30" i="4"/>
  <c r="G29" i="4"/>
  <c r="G28" i="4"/>
  <c r="G27" i="4"/>
  <c r="G26" i="4"/>
  <c r="G25" i="4"/>
  <c r="G24" i="4"/>
  <c r="G23" i="4"/>
  <c r="G22" i="4"/>
  <c r="H57" i="4" l="1"/>
  <c r="H58" i="4"/>
  <c r="H55" i="4"/>
  <c r="H47" i="4"/>
  <c r="H49" i="4"/>
  <c r="H46" i="4"/>
  <c r="H53" i="4"/>
  <c r="H52" i="4"/>
  <c r="H54" i="4"/>
  <c r="H62" i="4"/>
  <c r="H60" i="4"/>
  <c r="H61" i="4"/>
  <c r="H50" i="4"/>
  <c r="H59" i="4"/>
  <c r="H48" i="4"/>
  <c r="H56" i="4"/>
  <c r="G42" i="4"/>
  <c r="H28" i="4" l="1"/>
  <c r="H36" i="4"/>
  <c r="H37" i="4"/>
  <c r="H27" i="4"/>
  <c r="H35" i="4"/>
  <c r="H29" i="4"/>
  <c r="H34" i="4"/>
  <c r="H22" i="4"/>
  <c r="H41" i="4"/>
  <c r="H24" i="4"/>
  <c r="H31" i="4"/>
  <c r="H38" i="4"/>
  <c r="H30" i="4"/>
  <c r="H25" i="4"/>
  <c r="H32" i="4"/>
  <c r="H26" i="4"/>
  <c r="H39" i="4"/>
  <c r="H33" i="4"/>
  <c r="H40" i="4"/>
  <c r="H23" i="4"/>
  <c r="O312" i="3" l="1"/>
  <c r="O311" i="3"/>
  <c r="O310" i="3"/>
  <c r="O309" i="3"/>
  <c r="O308" i="3"/>
  <c r="O307" i="3"/>
  <c r="O306" i="3"/>
  <c r="O305" i="3"/>
  <c r="O304" i="3"/>
  <c r="O303" i="3"/>
  <c r="O302" i="3"/>
  <c r="O301" i="3"/>
  <c r="O300" i="3"/>
  <c r="O299" i="3"/>
  <c r="O298" i="3"/>
  <c r="O297" i="3"/>
  <c r="O296" i="3"/>
  <c r="O295" i="3"/>
  <c r="O294" i="3"/>
  <c r="O293" i="3"/>
  <c r="O292" i="3"/>
  <c r="O263" i="3"/>
  <c r="O262" i="3"/>
  <c r="O261" i="3"/>
  <c r="O260" i="3"/>
  <c r="O259" i="3"/>
  <c r="O258" i="3"/>
  <c r="O257" i="3"/>
  <c r="O256" i="3"/>
  <c r="O255" i="3"/>
  <c r="O254" i="3"/>
  <c r="O253" i="3"/>
  <c r="O251" i="3"/>
  <c r="O247" i="3"/>
  <c r="O245" i="3"/>
  <c r="O244" i="3"/>
  <c r="O252" i="3"/>
  <c r="O250" i="3"/>
  <c r="O249" i="3"/>
  <c r="O248" i="3"/>
  <c r="O246" i="3"/>
  <c r="O243" i="3"/>
  <c r="O313" i="3" l="1"/>
  <c r="P292" i="3" s="1"/>
  <c r="O264" i="3"/>
  <c r="P258" i="3" s="1"/>
  <c r="Q230" i="3"/>
  <c r="Q229" i="3"/>
  <c r="Q228" i="3"/>
  <c r="Q226" i="3"/>
  <c r="Q225" i="3"/>
  <c r="Q224" i="3"/>
  <c r="Q223" i="3"/>
  <c r="Q221" i="3"/>
  <c r="Q220" i="3"/>
  <c r="Q219" i="3"/>
  <c r="Q218" i="3"/>
  <c r="Q217" i="3"/>
  <c r="Q216" i="3"/>
  <c r="Q215" i="3"/>
  <c r="Q214" i="3"/>
  <c r="P309" i="3" l="1"/>
  <c r="P312" i="3"/>
  <c r="P293" i="3"/>
  <c r="P304" i="3"/>
  <c r="P299" i="3"/>
  <c r="P307" i="3"/>
  <c r="P300" i="3"/>
  <c r="P308" i="3"/>
  <c r="P294" i="3"/>
  <c r="P302" i="3"/>
  <c r="P310" i="3"/>
  <c r="P296" i="3"/>
  <c r="P311" i="3"/>
  <c r="P298" i="3"/>
  <c r="P301" i="3"/>
  <c r="P306" i="3"/>
  <c r="P303" i="3"/>
  <c r="P305" i="3"/>
  <c r="P295" i="3"/>
  <c r="P297" i="3"/>
  <c r="P252" i="3"/>
  <c r="P256" i="3"/>
  <c r="P254" i="3"/>
  <c r="P246" i="3"/>
  <c r="P262" i="3"/>
  <c r="P243" i="3"/>
  <c r="P249" i="3"/>
  <c r="P253" i="3"/>
  <c r="P245" i="3"/>
  <c r="P261" i="3"/>
  <c r="P255" i="3"/>
  <c r="P263" i="3"/>
  <c r="P251" i="3"/>
  <c r="P259" i="3"/>
  <c r="P248" i="3"/>
  <c r="P257" i="3"/>
  <c r="P247" i="3"/>
  <c r="P250" i="3"/>
  <c r="P244" i="3"/>
  <c r="P260" i="3"/>
  <c r="Q231" i="3"/>
  <c r="R225" i="3" s="1"/>
  <c r="Q337" i="3"/>
  <c r="Q334" i="3"/>
  <c r="Q333" i="3"/>
  <c r="Q332" i="3"/>
  <c r="Q329" i="3"/>
  <c r="Q322" i="3"/>
  <c r="Q319" i="3"/>
  <c r="Q340" i="3"/>
  <c r="Q339" i="3"/>
  <c r="Q338" i="3"/>
  <c r="Q336" i="3"/>
  <c r="Q335" i="3"/>
  <c r="Q331" i="3"/>
  <c r="Q330" i="3"/>
  <c r="Q328" i="3"/>
  <c r="Q327" i="3"/>
  <c r="Q326" i="3"/>
  <c r="Q325" i="3"/>
  <c r="Q324" i="3"/>
  <c r="Q323" i="3"/>
  <c r="Q321" i="3"/>
  <c r="Q320" i="3"/>
  <c r="Q318" i="3"/>
  <c r="Q317" i="3"/>
  <c r="R219" i="3" l="1"/>
  <c r="R229" i="3"/>
  <c r="R228" i="3"/>
  <c r="R215" i="3"/>
  <c r="R218" i="3"/>
  <c r="R221" i="3"/>
  <c r="R217" i="3"/>
  <c r="R216" i="3"/>
  <c r="R226" i="3"/>
  <c r="R230" i="3"/>
  <c r="R227" i="3"/>
  <c r="R222" i="3"/>
  <c r="R223" i="3"/>
  <c r="R220" i="3"/>
  <c r="R224" i="3"/>
  <c r="R214" i="3"/>
  <c r="Q341" i="3"/>
  <c r="R339" i="3" s="1"/>
  <c r="N287" i="3"/>
  <c r="N286" i="3"/>
  <c r="N285" i="3"/>
  <c r="N284" i="3"/>
  <c r="N283" i="3"/>
  <c r="N282" i="3"/>
  <c r="N281" i="3"/>
  <c r="N280" i="3"/>
  <c r="N279" i="3"/>
  <c r="N278" i="3"/>
  <c r="N277" i="3"/>
  <c r="N276" i="3"/>
  <c r="N275" i="3"/>
  <c r="N274" i="3"/>
  <c r="N273" i="3"/>
  <c r="N272" i="3"/>
  <c r="N271" i="3"/>
  <c r="N270" i="3"/>
  <c r="N269" i="3"/>
  <c r="N268" i="3"/>
  <c r="R321" i="3" l="1"/>
  <c r="R325" i="3"/>
  <c r="R336" i="3"/>
  <c r="R324" i="3"/>
  <c r="R328" i="3"/>
  <c r="R319" i="3"/>
  <c r="R327" i="3"/>
  <c r="R335" i="3"/>
  <c r="R330" i="3"/>
  <c r="R322" i="3"/>
  <c r="R318" i="3"/>
  <c r="R334" i="3"/>
  <c r="R323" i="3"/>
  <c r="R333" i="3"/>
  <c r="R332" i="3"/>
  <c r="R329" i="3"/>
  <c r="R338" i="3"/>
  <c r="R331" i="3"/>
  <c r="R340" i="3"/>
  <c r="R326" i="3"/>
  <c r="R337" i="3"/>
  <c r="R320" i="3"/>
  <c r="R317" i="3"/>
  <c r="N288" i="3"/>
  <c r="O279" i="3" s="1"/>
  <c r="O269" i="3" l="1"/>
  <c r="O274" i="3"/>
  <c r="O270" i="3"/>
  <c r="O282" i="3"/>
  <c r="O287" i="3"/>
  <c r="O268" i="3"/>
  <c r="O283" i="3"/>
  <c r="O272" i="3"/>
  <c r="O278" i="3"/>
  <c r="O284" i="3"/>
  <c r="O276" i="3"/>
  <c r="O281" i="3"/>
  <c r="O273" i="3"/>
  <c r="O286" i="3"/>
  <c r="O280" i="3"/>
  <c r="O285" i="3"/>
  <c r="O275" i="3"/>
  <c r="O277" i="3"/>
  <c r="O271" i="3"/>
  <c r="Q206" i="3" l="1"/>
  <c r="Q205" i="3"/>
  <c r="Q204" i="3"/>
  <c r="Q203" i="3"/>
  <c r="Q202" i="3"/>
  <c r="Q201" i="3"/>
  <c r="Q200" i="3"/>
  <c r="Q199" i="3"/>
  <c r="Q198" i="3"/>
  <c r="Q197" i="3"/>
  <c r="Q196" i="3"/>
  <c r="Q195" i="3"/>
  <c r="Q194" i="3"/>
  <c r="Q193" i="3"/>
  <c r="Q192" i="3"/>
  <c r="Q191" i="3"/>
  <c r="Q190" i="3"/>
  <c r="Q189" i="3"/>
  <c r="Q188" i="3"/>
  <c r="Q187" i="3"/>
  <c r="Q186" i="3"/>
  <c r="Q185" i="3"/>
  <c r="Q207" i="3" l="1"/>
  <c r="R194" i="3" s="1"/>
  <c r="R188" i="3" l="1"/>
  <c r="R189" i="3"/>
  <c r="R190" i="3"/>
  <c r="R200" i="3"/>
  <c r="R201" i="3"/>
  <c r="R205" i="3"/>
  <c r="R197" i="3"/>
  <c r="R192" i="3"/>
  <c r="R203" i="3"/>
  <c r="R198" i="3"/>
  <c r="R186" i="3"/>
  <c r="R187" i="3"/>
  <c r="R199" i="3"/>
  <c r="R195" i="3"/>
  <c r="R193" i="3"/>
  <c r="R196" i="3"/>
  <c r="R191" i="3"/>
  <c r="R204" i="3"/>
  <c r="R202" i="3"/>
  <c r="R206" i="3"/>
  <c r="R185" i="3"/>
  <c r="AD103" i="3" l="1"/>
  <c r="AE79" i="3" s="1"/>
  <c r="X99" i="3"/>
  <c r="Y85" i="3" s="1"/>
  <c r="Q126" i="3"/>
  <c r="R79" i="3" s="1"/>
  <c r="R78" i="3" l="1"/>
  <c r="R125" i="3"/>
  <c r="R122" i="3"/>
  <c r="R90" i="3"/>
  <c r="R109" i="3"/>
  <c r="R98" i="3"/>
  <c r="R93" i="3"/>
  <c r="R114" i="3"/>
  <c r="R86" i="3"/>
  <c r="R110" i="3"/>
  <c r="R106" i="3"/>
  <c r="AE100" i="3"/>
  <c r="R105" i="3"/>
  <c r="AE90" i="3"/>
  <c r="AE89" i="3"/>
  <c r="R121" i="3"/>
  <c r="R85" i="3"/>
  <c r="AE98" i="3"/>
  <c r="AE86" i="3"/>
  <c r="R118" i="3"/>
  <c r="R102" i="3"/>
  <c r="R82" i="3"/>
  <c r="AE97" i="3"/>
  <c r="AE85" i="3"/>
  <c r="AE99" i="3"/>
  <c r="R117" i="3"/>
  <c r="R101" i="3"/>
  <c r="AE94" i="3"/>
  <c r="AE84" i="3"/>
  <c r="AE93" i="3"/>
  <c r="AE83" i="3"/>
  <c r="R113" i="3"/>
  <c r="R94" i="3"/>
  <c r="AE102" i="3"/>
  <c r="AE92" i="3"/>
  <c r="AE82" i="3"/>
  <c r="AE101" i="3"/>
  <c r="AE91" i="3"/>
  <c r="AE81" i="3"/>
  <c r="Y91" i="3"/>
  <c r="R124" i="3"/>
  <c r="R116" i="3"/>
  <c r="R108" i="3"/>
  <c r="R100" i="3"/>
  <c r="R92" i="3"/>
  <c r="R84" i="3"/>
  <c r="Y98" i="3"/>
  <c r="Y90" i="3"/>
  <c r="Y82" i="3"/>
  <c r="Y92" i="3"/>
  <c r="Y78" i="3"/>
  <c r="Y83" i="3"/>
  <c r="R123" i="3"/>
  <c r="R115" i="3"/>
  <c r="R107" i="3"/>
  <c r="R99" i="3"/>
  <c r="R91" i="3"/>
  <c r="R83" i="3"/>
  <c r="Y97" i="3"/>
  <c r="Y89" i="3"/>
  <c r="Y81" i="3"/>
  <c r="Y80" i="3"/>
  <c r="Y96" i="3"/>
  <c r="R89" i="3"/>
  <c r="Y95" i="3"/>
  <c r="Y79" i="3"/>
  <c r="Y84" i="3"/>
  <c r="Y88" i="3"/>
  <c r="R97" i="3"/>
  <c r="R81" i="3"/>
  <c r="Y87" i="3"/>
  <c r="R120" i="3"/>
  <c r="R112" i="3"/>
  <c r="R104" i="3"/>
  <c r="R96" i="3"/>
  <c r="R88" i="3"/>
  <c r="R80" i="3"/>
  <c r="Y94" i="3"/>
  <c r="Y86" i="3"/>
  <c r="AE96" i="3"/>
  <c r="AE88" i="3"/>
  <c r="AE80" i="3"/>
  <c r="R119" i="3"/>
  <c r="R111" i="3"/>
  <c r="R103" i="3"/>
  <c r="R95" i="3"/>
  <c r="R87" i="3"/>
  <c r="Y93" i="3"/>
  <c r="AE78" i="3"/>
  <c r="AE95" i="3"/>
  <c r="AE87" i="3"/>
  <c r="AD50" i="3" l="1"/>
  <c r="AE32" i="3" s="1"/>
  <c r="X46" i="3"/>
  <c r="Q73" i="3"/>
  <c r="R26" i="3" l="1"/>
  <c r="R25" i="3"/>
  <c r="Y30" i="3"/>
  <c r="Y25" i="3"/>
  <c r="Y45" i="3"/>
  <c r="AE31" i="3"/>
  <c r="Y44" i="3"/>
  <c r="Y36" i="3"/>
  <c r="Y28" i="3"/>
  <c r="AE46" i="3"/>
  <c r="AE38" i="3"/>
  <c r="AE30" i="3"/>
  <c r="AE47" i="3"/>
  <c r="Y43" i="3"/>
  <c r="Y35" i="3"/>
  <c r="Y27" i="3"/>
  <c r="AE45" i="3"/>
  <c r="AE37" i="3"/>
  <c r="AE29" i="3"/>
  <c r="Y29" i="3"/>
  <c r="Y42" i="3"/>
  <c r="Y34" i="3"/>
  <c r="Y26" i="3"/>
  <c r="AE44" i="3"/>
  <c r="AE36" i="3"/>
  <c r="AE28" i="3"/>
  <c r="AE43" i="3"/>
  <c r="AE35" i="3"/>
  <c r="AE27" i="3"/>
  <c r="Y40" i="3"/>
  <c r="Y32" i="3"/>
  <c r="AE25" i="3"/>
  <c r="AE42" i="3"/>
  <c r="AE34" i="3"/>
  <c r="AE26" i="3"/>
  <c r="Y39" i="3"/>
  <c r="Y31" i="3"/>
  <c r="AE49" i="3"/>
  <c r="AE41" i="3"/>
  <c r="AE33" i="3"/>
  <c r="Y37" i="3"/>
  <c r="AE39" i="3"/>
  <c r="Y41" i="3"/>
  <c r="Y33" i="3"/>
  <c r="Y38" i="3"/>
  <c r="AE48" i="3"/>
  <c r="AE40" i="3"/>
  <c r="R63" i="3"/>
  <c r="R57" i="3"/>
  <c r="R72" i="3"/>
  <c r="R56" i="3"/>
  <c r="R40" i="3"/>
  <c r="R47" i="3"/>
  <c r="R31" i="3"/>
  <c r="R46" i="3"/>
  <c r="R71" i="3"/>
  <c r="R70" i="3"/>
  <c r="R54" i="3"/>
  <c r="R38" i="3"/>
  <c r="R30" i="3"/>
  <c r="R41" i="3"/>
  <c r="R39" i="3"/>
  <c r="R65" i="3"/>
  <c r="R49" i="3"/>
  <c r="R33" i="3"/>
  <c r="R62" i="3"/>
  <c r="R55" i="3"/>
  <c r="R64" i="3"/>
  <c r="R48" i="3"/>
  <c r="R32" i="3"/>
  <c r="R69" i="3"/>
  <c r="R61" i="3"/>
  <c r="R53" i="3"/>
  <c r="R45" i="3"/>
  <c r="R37" i="3"/>
  <c r="R29" i="3"/>
  <c r="R68" i="3"/>
  <c r="R60" i="3"/>
  <c r="R52" i="3"/>
  <c r="R44" i="3"/>
  <c r="R36" i="3"/>
  <c r="R28" i="3"/>
  <c r="R67" i="3"/>
  <c r="R59" i="3"/>
  <c r="R51" i="3"/>
  <c r="R43" i="3"/>
  <c r="R35" i="3"/>
  <c r="R27" i="3"/>
  <c r="R66" i="3"/>
  <c r="R58" i="3"/>
  <c r="R50" i="3"/>
  <c r="R42" i="3"/>
  <c r="R34" i="3"/>
  <c r="I14" i="1" l="1"/>
  <c r="I15" i="1"/>
  <c r="I16" i="1"/>
  <c r="I17" i="1"/>
  <c r="I18" i="1"/>
  <c r="I19" i="1"/>
  <c r="I20" i="1"/>
  <c r="I21" i="1"/>
  <c r="D13" i="1"/>
  <c r="D14" i="1"/>
  <c r="D15" i="1"/>
  <c r="D16" i="1"/>
  <c r="D17" i="1"/>
  <c r="D18" i="1"/>
  <c r="D19" i="1"/>
  <c r="D20" i="1"/>
  <c r="D21" i="1"/>
  <c r="T19" i="3"/>
  <c r="U12" i="3" s="1"/>
  <c r="Q16" i="3"/>
  <c r="N14" i="3"/>
  <c r="O8" i="3" s="1"/>
  <c r="Q13" i="3"/>
  <c r="Q10" i="3"/>
  <c r="Q9" i="3"/>
  <c r="Q7" i="3"/>
  <c r="M13" i="4"/>
  <c r="N7" i="4" s="1"/>
  <c r="J13" i="4"/>
  <c r="J10" i="4"/>
  <c r="G10" i="4"/>
  <c r="P9" i="4"/>
  <c r="G8" i="4"/>
  <c r="P8" i="4" s="1"/>
  <c r="J7" i="4"/>
  <c r="J14" i="4" s="1"/>
  <c r="G7" i="4"/>
  <c r="N11" i="4" l="1"/>
  <c r="K13" i="4"/>
  <c r="K11" i="4"/>
  <c r="N12" i="4"/>
  <c r="K12" i="4"/>
  <c r="G18" i="4"/>
  <c r="H13" i="4" s="1"/>
  <c r="P7" i="4"/>
  <c r="K15" i="4"/>
  <c r="U14" i="3"/>
  <c r="U11" i="3"/>
  <c r="U10" i="3"/>
  <c r="U15" i="3"/>
  <c r="O7" i="3"/>
  <c r="U17" i="3"/>
  <c r="U9" i="3"/>
  <c r="Q19" i="3"/>
  <c r="R9" i="3" s="1"/>
  <c r="U13" i="3"/>
  <c r="O13" i="3"/>
  <c r="O12" i="3"/>
  <c r="O11" i="3"/>
  <c r="U7" i="3"/>
  <c r="U8" i="3"/>
  <c r="O10" i="3"/>
  <c r="U16" i="3"/>
  <c r="U18" i="3"/>
  <c r="O9" i="3"/>
  <c r="K14" i="4"/>
  <c r="K9" i="4"/>
  <c r="K10" i="4"/>
  <c r="N9" i="4"/>
  <c r="N10" i="4"/>
  <c r="P10" i="4"/>
  <c r="N8" i="4"/>
  <c r="H12" i="4" l="1"/>
  <c r="H8" i="4"/>
  <c r="H15" i="4"/>
  <c r="H10" i="4"/>
  <c r="H9" i="4"/>
  <c r="H16" i="4"/>
  <c r="H11" i="4"/>
  <c r="H7" i="4"/>
  <c r="H17" i="4"/>
  <c r="H14" i="4"/>
  <c r="R17" i="3"/>
  <c r="R7" i="3"/>
  <c r="R12" i="3"/>
  <c r="R8" i="3"/>
  <c r="R10" i="3"/>
  <c r="R14" i="3"/>
  <c r="R11" i="3"/>
  <c r="R18" i="3"/>
  <c r="R13" i="3"/>
  <c r="R15" i="3"/>
  <c r="R16" i="3"/>
  <c r="P18" i="4"/>
  <c r="Q12" i="4" l="1"/>
  <c r="Q15" i="4"/>
  <c r="Q16" i="4"/>
  <c r="Q18" i="4"/>
  <c r="Q13" i="4"/>
  <c r="Q17" i="4"/>
  <c r="Q11" i="4"/>
  <c r="Q14" i="4"/>
  <c r="Q9" i="4"/>
  <c r="Q7" i="4"/>
  <c r="Q8" i="4"/>
  <c r="Q10" i="4"/>
  <c r="AG82" i="1" l="1"/>
  <c r="AH58" i="1" s="1"/>
  <c r="AG54" i="1"/>
  <c r="AG29" i="1"/>
  <c r="AG6" i="1"/>
  <c r="AB49" i="1"/>
  <c r="AH41" i="1" s="1"/>
  <c r="AC14" i="1"/>
  <c r="AC19" i="1"/>
  <c r="AC20" i="1"/>
  <c r="AC21" i="1"/>
  <c r="AC22" i="1"/>
  <c r="AC23" i="1"/>
  <c r="AB24" i="1"/>
  <c r="AC24" i="1" s="1"/>
  <c r="AB18" i="1"/>
  <c r="AC18" i="1" s="1"/>
  <c r="AB17" i="1"/>
  <c r="AC17" i="1" s="1"/>
  <c r="AB16" i="1"/>
  <c r="AC16" i="1" s="1"/>
  <c r="AB15" i="1"/>
  <c r="AB7" i="1"/>
  <c r="W34" i="1"/>
  <c r="G8" i="1"/>
  <c r="B8" i="1"/>
  <c r="H12" i="1"/>
  <c r="H13" i="1"/>
  <c r="H14" i="1"/>
  <c r="H15" i="1"/>
  <c r="H16" i="1"/>
  <c r="H17" i="1"/>
  <c r="H18" i="1"/>
  <c r="H19" i="1"/>
  <c r="H20" i="1"/>
  <c r="H21" i="1"/>
  <c r="C12" i="1"/>
  <c r="C13" i="1"/>
  <c r="C14" i="1"/>
  <c r="C15" i="1"/>
  <c r="C16" i="1"/>
  <c r="C17" i="1"/>
  <c r="C18" i="1"/>
  <c r="C19" i="1"/>
  <c r="C20" i="1"/>
  <c r="X14" i="1"/>
  <c r="X15" i="1"/>
  <c r="X16" i="1"/>
  <c r="X17" i="1"/>
  <c r="X18" i="1"/>
  <c r="W7" i="1"/>
  <c r="W19" i="1"/>
  <c r="X19" i="1" s="1"/>
  <c r="R76" i="1"/>
  <c r="S13" i="1"/>
  <c r="S14" i="1"/>
  <c r="S15" i="1"/>
  <c r="S16" i="1"/>
  <c r="S17" i="1"/>
  <c r="S18" i="1"/>
  <c r="S19" i="1"/>
  <c r="S20" i="1"/>
  <c r="S21" i="1"/>
  <c r="S22" i="1"/>
  <c r="S23" i="1"/>
  <c r="R24" i="1"/>
  <c r="R8" i="1" s="1"/>
  <c r="R7" i="1"/>
  <c r="L76" i="1"/>
  <c r="S70" i="1" s="1"/>
  <c r="L7" i="1"/>
  <c r="B36" i="1"/>
  <c r="C29" i="1" s="1"/>
  <c r="G36" i="1"/>
  <c r="H31" i="1" s="1"/>
  <c r="M13" i="1"/>
  <c r="M14" i="1"/>
  <c r="M15" i="1"/>
  <c r="M16" i="1"/>
  <c r="M17" i="1"/>
  <c r="M18" i="1"/>
  <c r="M19" i="1"/>
  <c r="L24" i="1"/>
  <c r="M24" i="1" s="1"/>
  <c r="G7" i="1"/>
  <c r="AH24" i="1" l="1"/>
  <c r="AD22" i="1"/>
  <c r="AG11" i="1"/>
  <c r="AI58" i="1" s="1"/>
  <c r="AG9" i="1"/>
  <c r="AI41" i="1" s="1"/>
  <c r="AH22" i="1"/>
  <c r="AH29" i="1"/>
  <c r="AH20" i="1"/>
  <c r="AH27" i="1"/>
  <c r="AI28" i="1"/>
  <c r="AD21" i="1"/>
  <c r="AI23" i="1"/>
  <c r="X30" i="1"/>
  <c r="Y30" i="1" s="1"/>
  <c r="AH78" i="1"/>
  <c r="AH64" i="1"/>
  <c r="AH57" i="1"/>
  <c r="AD17" i="1"/>
  <c r="AH60" i="1"/>
  <c r="AH74" i="1"/>
  <c r="AD24" i="1"/>
  <c r="AI20" i="1"/>
  <c r="AH67" i="1"/>
  <c r="AD18" i="1"/>
  <c r="X31" i="1"/>
  <c r="Y31" i="1" s="1"/>
  <c r="AH61" i="1"/>
  <c r="AD23" i="1"/>
  <c r="AH19" i="1"/>
  <c r="AH59" i="1"/>
  <c r="AH69" i="1"/>
  <c r="G9" i="1"/>
  <c r="AH18" i="1"/>
  <c r="AI26" i="1"/>
  <c r="AH73" i="1"/>
  <c r="AH75" i="1"/>
  <c r="N17" i="1"/>
  <c r="AB8" i="1"/>
  <c r="AD20" i="1"/>
  <c r="AH28" i="1"/>
  <c r="AI24" i="1"/>
  <c r="AK24" i="1" s="1"/>
  <c r="AH66" i="1"/>
  <c r="AH77" i="1"/>
  <c r="AD19" i="1"/>
  <c r="AC34" i="1"/>
  <c r="AD34" i="1" s="1"/>
  <c r="X24" i="1"/>
  <c r="Y24" i="1" s="1"/>
  <c r="X32" i="1"/>
  <c r="Y32" i="1" s="1"/>
  <c r="AC45" i="1"/>
  <c r="AD45" i="1" s="1"/>
  <c r="AC30" i="1"/>
  <c r="AD30" i="1" s="1"/>
  <c r="AC33" i="1"/>
  <c r="AD33" i="1" s="1"/>
  <c r="AH26" i="1"/>
  <c r="AI18" i="1"/>
  <c r="AI22" i="1"/>
  <c r="AH38" i="1"/>
  <c r="AH35" i="1"/>
  <c r="AH48" i="1"/>
  <c r="AH71" i="1"/>
  <c r="AI71" i="1" s="1"/>
  <c r="AH81" i="1"/>
  <c r="AH63" i="1"/>
  <c r="AH43" i="1"/>
  <c r="AC32" i="1"/>
  <c r="AD32" i="1" s="1"/>
  <c r="AH53" i="1"/>
  <c r="X25" i="1"/>
  <c r="Y25" i="1" s="1"/>
  <c r="X33" i="1"/>
  <c r="Y33" i="1" s="1"/>
  <c r="AC43" i="1"/>
  <c r="AD43" i="1" s="1"/>
  <c r="AC31" i="1"/>
  <c r="AD31" i="1" s="1"/>
  <c r="AC48" i="1"/>
  <c r="AD48" i="1" s="1"/>
  <c r="AH25" i="1"/>
  <c r="AJ25" i="1" s="1"/>
  <c r="AI29" i="1"/>
  <c r="AK29" i="1" s="1"/>
  <c r="AI21" i="1"/>
  <c r="AH46" i="1"/>
  <c r="AH37" i="1"/>
  <c r="AH50" i="1"/>
  <c r="AH68" i="1"/>
  <c r="AH70" i="1"/>
  <c r="AH80" i="1"/>
  <c r="AH47" i="1"/>
  <c r="AC29" i="1"/>
  <c r="AD29" i="1" s="1"/>
  <c r="AH45" i="1"/>
  <c r="X26" i="1"/>
  <c r="Y26" i="1" s="1"/>
  <c r="AC40" i="1"/>
  <c r="AD40" i="1" s="1"/>
  <c r="AC46" i="1"/>
  <c r="AD46" i="1" s="1"/>
  <c r="AC42" i="1"/>
  <c r="AD42" i="1" s="1"/>
  <c r="AH49" i="1"/>
  <c r="AH39" i="1"/>
  <c r="X27" i="1"/>
  <c r="Y27" i="1" s="1"/>
  <c r="AC38" i="1"/>
  <c r="AD38" i="1" s="1"/>
  <c r="AC47" i="1"/>
  <c r="AD47" i="1" s="1"/>
  <c r="AC37" i="1"/>
  <c r="AD37" i="1" s="1"/>
  <c r="AH23" i="1"/>
  <c r="AI27" i="1"/>
  <c r="AI19" i="1"/>
  <c r="AH33" i="1"/>
  <c r="AH40" i="1"/>
  <c r="AH65" i="1"/>
  <c r="AI65" i="1" s="1"/>
  <c r="AH79" i="1"/>
  <c r="AI79" i="1" s="1"/>
  <c r="AH72" i="1"/>
  <c r="AI72" i="1" s="1"/>
  <c r="AC44" i="1"/>
  <c r="AD44" i="1" s="1"/>
  <c r="AH36" i="1"/>
  <c r="X28" i="1"/>
  <c r="Y28" i="1" s="1"/>
  <c r="AC15" i="1"/>
  <c r="AD15" i="1" s="1"/>
  <c r="AC36" i="1"/>
  <c r="AD36" i="1" s="1"/>
  <c r="AC39" i="1"/>
  <c r="AD39" i="1" s="1"/>
  <c r="AH34" i="1"/>
  <c r="AH44" i="1"/>
  <c r="AH51" i="1"/>
  <c r="AC41" i="1"/>
  <c r="AD41" i="1" s="1"/>
  <c r="X29" i="1"/>
  <c r="Y29" i="1" s="1"/>
  <c r="AC35" i="1"/>
  <c r="AD35" i="1" s="1"/>
  <c r="AC28" i="1"/>
  <c r="AD28" i="1" s="1"/>
  <c r="AH21" i="1"/>
  <c r="AI25" i="1"/>
  <c r="AH42" i="1"/>
  <c r="AH52" i="1"/>
  <c r="AH76" i="1"/>
  <c r="AH62" i="1"/>
  <c r="AI62" i="1" s="1"/>
  <c r="T17" i="1"/>
  <c r="T19" i="1"/>
  <c r="W8" i="1"/>
  <c r="M49" i="1"/>
  <c r="N49" i="1" s="1"/>
  <c r="L23" i="1"/>
  <c r="L22" i="1" s="1"/>
  <c r="M22" i="1" s="1"/>
  <c r="N18" i="1"/>
  <c r="C26" i="1"/>
  <c r="C28" i="1"/>
  <c r="T16" i="1"/>
  <c r="H26" i="1"/>
  <c r="I26" i="1" s="1"/>
  <c r="C35" i="1"/>
  <c r="C31" i="1"/>
  <c r="H29" i="1"/>
  <c r="I29" i="1" s="1"/>
  <c r="T23" i="1"/>
  <c r="T15" i="1"/>
  <c r="H28" i="1"/>
  <c r="C27" i="1"/>
  <c r="H27" i="1"/>
  <c r="I27" i="1" s="1"/>
  <c r="T18" i="1"/>
  <c r="C34" i="1"/>
  <c r="H34" i="1"/>
  <c r="I34" i="1" s="1"/>
  <c r="M73" i="1"/>
  <c r="N73" i="1" s="1"/>
  <c r="Y17" i="1"/>
  <c r="C33" i="1"/>
  <c r="H33" i="1"/>
  <c r="I33" i="1" s="1"/>
  <c r="M65" i="1"/>
  <c r="N65" i="1" s="1"/>
  <c r="H35" i="1"/>
  <c r="I35" i="1" s="1"/>
  <c r="N14" i="1"/>
  <c r="C32" i="1"/>
  <c r="H30" i="1"/>
  <c r="I30" i="1" s="1"/>
  <c r="M57" i="1"/>
  <c r="N57" i="1" s="1"/>
  <c r="T21" i="1"/>
  <c r="Y15" i="1"/>
  <c r="I31" i="1"/>
  <c r="M33" i="1"/>
  <c r="N33" i="1" s="1"/>
  <c r="S30" i="1"/>
  <c r="T30" i="1" s="1"/>
  <c r="S54" i="1"/>
  <c r="T54" i="1" s="1"/>
  <c r="M64" i="1"/>
  <c r="N64" i="1" s="1"/>
  <c r="M56" i="1"/>
  <c r="N56" i="1" s="1"/>
  <c r="M40" i="1"/>
  <c r="N40" i="1" s="1"/>
  <c r="S39" i="1"/>
  <c r="T39" i="1" s="1"/>
  <c r="S55" i="1"/>
  <c r="T55" i="1" s="1"/>
  <c r="S71" i="1"/>
  <c r="T71" i="1" s="1"/>
  <c r="C30" i="1"/>
  <c r="H32" i="1"/>
  <c r="I32" i="1" s="1"/>
  <c r="M71" i="1"/>
  <c r="N71" i="1" s="1"/>
  <c r="M63" i="1"/>
  <c r="N63" i="1" s="1"/>
  <c r="M55" i="1"/>
  <c r="N55" i="1" s="1"/>
  <c r="M47" i="1"/>
  <c r="N47" i="1" s="1"/>
  <c r="M39" i="1"/>
  <c r="N39" i="1" s="1"/>
  <c r="M31" i="1"/>
  <c r="N31" i="1" s="1"/>
  <c r="S24" i="1"/>
  <c r="R9" i="1" s="1"/>
  <c r="S32" i="1"/>
  <c r="T32" i="1" s="1"/>
  <c r="S40" i="1"/>
  <c r="T40" i="1" s="1"/>
  <c r="S48" i="1"/>
  <c r="T48" i="1" s="1"/>
  <c r="S56" i="1"/>
  <c r="T56" i="1" s="1"/>
  <c r="S64" i="1"/>
  <c r="T64" i="1" s="1"/>
  <c r="S72" i="1"/>
  <c r="T72" i="1" s="1"/>
  <c r="M41" i="1"/>
  <c r="N41" i="1" s="1"/>
  <c r="S38" i="1"/>
  <c r="T38" i="1" s="1"/>
  <c r="S46" i="1"/>
  <c r="T46" i="1" s="1"/>
  <c r="M72" i="1"/>
  <c r="N72" i="1" s="1"/>
  <c r="M48" i="1"/>
  <c r="N48" i="1" s="1"/>
  <c r="M32" i="1"/>
  <c r="N32" i="1" s="1"/>
  <c r="S31" i="1"/>
  <c r="T31" i="1" s="1"/>
  <c r="S47" i="1"/>
  <c r="T47" i="1" s="1"/>
  <c r="S63" i="1"/>
  <c r="T63" i="1" s="1"/>
  <c r="N19" i="1"/>
  <c r="M70" i="1"/>
  <c r="N70" i="1" s="1"/>
  <c r="M62" i="1"/>
  <c r="N62" i="1" s="1"/>
  <c r="M54" i="1"/>
  <c r="N54" i="1" s="1"/>
  <c r="M46" i="1"/>
  <c r="N46" i="1" s="1"/>
  <c r="M38" i="1"/>
  <c r="N38" i="1" s="1"/>
  <c r="M30" i="1"/>
  <c r="N30" i="1" s="1"/>
  <c r="S33" i="1"/>
  <c r="T33" i="1" s="1"/>
  <c r="S41" i="1"/>
  <c r="T41" i="1" s="1"/>
  <c r="S49" i="1"/>
  <c r="T49" i="1" s="1"/>
  <c r="S57" i="1"/>
  <c r="T57" i="1" s="1"/>
  <c r="S65" i="1"/>
  <c r="T65" i="1" s="1"/>
  <c r="S73" i="1"/>
  <c r="T73" i="1" s="1"/>
  <c r="M69" i="1"/>
  <c r="N69" i="1" s="1"/>
  <c r="M61" i="1"/>
  <c r="N61" i="1" s="1"/>
  <c r="M53" i="1"/>
  <c r="N53" i="1" s="1"/>
  <c r="M45" i="1"/>
  <c r="N45" i="1" s="1"/>
  <c r="M37" i="1"/>
  <c r="N37" i="1" s="1"/>
  <c r="M29" i="1"/>
  <c r="N29" i="1" s="1"/>
  <c r="S34" i="1"/>
  <c r="T34" i="1" s="1"/>
  <c r="S42" i="1"/>
  <c r="T42" i="1" s="1"/>
  <c r="S50" i="1"/>
  <c r="T50" i="1" s="1"/>
  <c r="S58" i="1"/>
  <c r="T58" i="1" s="1"/>
  <c r="S66" i="1"/>
  <c r="T66" i="1" s="1"/>
  <c r="S74" i="1"/>
  <c r="T74" i="1" s="1"/>
  <c r="M28" i="1"/>
  <c r="N28" i="1" s="1"/>
  <c r="M68" i="1"/>
  <c r="N68" i="1" s="1"/>
  <c r="M60" i="1"/>
  <c r="N60" i="1" s="1"/>
  <c r="M52" i="1"/>
  <c r="N52" i="1" s="1"/>
  <c r="M44" i="1"/>
  <c r="N44" i="1" s="1"/>
  <c r="M36" i="1"/>
  <c r="N36" i="1" s="1"/>
  <c r="S35" i="1"/>
  <c r="T35" i="1" s="1"/>
  <c r="S43" i="1"/>
  <c r="T43" i="1" s="1"/>
  <c r="S51" i="1"/>
  <c r="T51" i="1" s="1"/>
  <c r="S59" i="1"/>
  <c r="T59" i="1" s="1"/>
  <c r="S67" i="1"/>
  <c r="T67" i="1" s="1"/>
  <c r="S75" i="1"/>
  <c r="T75" i="1" s="1"/>
  <c r="T70" i="1"/>
  <c r="M75" i="1"/>
  <c r="N75" i="1" s="1"/>
  <c r="M67" i="1"/>
  <c r="N67" i="1" s="1"/>
  <c r="M59" i="1"/>
  <c r="N59" i="1" s="1"/>
  <c r="M51" i="1"/>
  <c r="N51" i="1" s="1"/>
  <c r="M43" i="1"/>
  <c r="N43" i="1" s="1"/>
  <c r="M35" i="1"/>
  <c r="N35" i="1" s="1"/>
  <c r="T20" i="1"/>
  <c r="S28" i="1"/>
  <c r="T28" i="1" s="1"/>
  <c r="S36" i="1"/>
  <c r="T36" i="1" s="1"/>
  <c r="S44" i="1"/>
  <c r="T44" i="1" s="1"/>
  <c r="S52" i="1"/>
  <c r="T52" i="1" s="1"/>
  <c r="S60" i="1"/>
  <c r="T60" i="1" s="1"/>
  <c r="S68" i="1"/>
  <c r="T68" i="1" s="1"/>
  <c r="N15" i="1"/>
  <c r="M74" i="1"/>
  <c r="N74" i="1" s="1"/>
  <c r="M66" i="1"/>
  <c r="N66" i="1" s="1"/>
  <c r="M58" i="1"/>
  <c r="N58" i="1" s="1"/>
  <c r="M50" i="1"/>
  <c r="N50" i="1" s="1"/>
  <c r="M42" i="1"/>
  <c r="N42" i="1" s="1"/>
  <c r="M34" i="1"/>
  <c r="N34" i="1" s="1"/>
  <c r="S29" i="1"/>
  <c r="T29" i="1" s="1"/>
  <c r="S37" i="1"/>
  <c r="T37" i="1" s="1"/>
  <c r="S45" i="1"/>
  <c r="T45" i="1" s="1"/>
  <c r="S53" i="1"/>
  <c r="T53" i="1" s="1"/>
  <c r="S61" i="1"/>
  <c r="T61" i="1" s="1"/>
  <c r="S69" i="1"/>
  <c r="T69" i="1" s="1"/>
  <c r="S62" i="1"/>
  <c r="T62" i="1" s="1"/>
  <c r="Y19" i="1"/>
  <c r="Y16" i="1"/>
  <c r="Y18" i="1"/>
  <c r="W9" i="1"/>
  <c r="T14" i="1"/>
  <c r="T22" i="1"/>
  <c r="N16" i="1"/>
  <c r="AI80" i="1" l="1"/>
  <c r="AI76" i="1"/>
  <c r="AI57" i="1"/>
  <c r="AI37" i="1"/>
  <c r="AI40" i="1"/>
  <c r="AK21" i="1"/>
  <c r="AI70" i="1"/>
  <c r="AI60" i="1"/>
  <c r="AI75" i="1"/>
  <c r="B303" i="3"/>
  <c r="L303" i="3" s="1"/>
  <c r="L302" i="3" s="1"/>
  <c r="AI68" i="1"/>
  <c r="AI69" i="1"/>
  <c r="AI67" i="1"/>
  <c r="AI78" i="1"/>
  <c r="AI59" i="1"/>
  <c r="AI74" i="1"/>
  <c r="AI64" i="1"/>
  <c r="AI63" i="1"/>
  <c r="AI45" i="1"/>
  <c r="AI46" i="1"/>
  <c r="AI48" i="1"/>
  <c r="AK20" i="1"/>
  <c r="AI49" i="1"/>
  <c r="AI43" i="1"/>
  <c r="AI36" i="1"/>
  <c r="AI77" i="1"/>
  <c r="AJ20" i="1"/>
  <c r="AJ23" i="1"/>
  <c r="AI73" i="1"/>
  <c r="AI81" i="1"/>
  <c r="AI66" i="1"/>
  <c r="AI61" i="1"/>
  <c r="AI33" i="1"/>
  <c r="AI53" i="1"/>
  <c r="AI35" i="1"/>
  <c r="AJ28" i="1"/>
  <c r="AI39" i="1"/>
  <c r="AI47" i="1"/>
  <c r="AI52" i="1"/>
  <c r="AI51" i="1"/>
  <c r="AI42" i="1"/>
  <c r="AI44" i="1"/>
  <c r="AI34" i="1"/>
  <c r="AK27" i="1"/>
  <c r="AI38" i="1"/>
  <c r="AI50" i="1"/>
  <c r="AK28" i="1"/>
  <c r="AK26" i="1"/>
  <c r="AJ29" i="1"/>
  <c r="AK22" i="1"/>
  <c r="AJ24" i="1"/>
  <c r="AG12" i="1"/>
  <c r="AK19" i="1"/>
  <c r="AJ26" i="1"/>
  <c r="AJ27" i="1"/>
  <c r="AK23" i="1"/>
  <c r="AB9" i="1"/>
  <c r="AK25" i="1"/>
  <c r="AJ19" i="1"/>
  <c r="AG10" i="1"/>
  <c r="AJ21" i="1"/>
  <c r="AD16" i="1"/>
  <c r="AJ22" i="1"/>
  <c r="L21" i="1"/>
  <c r="M21" i="1" s="1"/>
  <c r="M23" i="1"/>
  <c r="N24" i="1" s="1"/>
  <c r="T24" i="1"/>
  <c r="L301" i="3" l="1"/>
  <c r="L300" i="3" s="1"/>
  <c r="L299" i="3" s="1"/>
  <c r="L298" i="3" s="1"/>
  <c r="L297" i="3" s="1"/>
  <c r="L296" i="3" s="1"/>
  <c r="L295" i="3" s="1"/>
  <c r="L294" i="3" s="1"/>
  <c r="L293" i="3" s="1"/>
  <c r="L292" i="3" s="1"/>
  <c r="B310" i="3" s="1"/>
  <c r="L20" i="1"/>
  <c r="M20" i="1" s="1"/>
  <c r="N23" i="1"/>
  <c r="N22" i="1"/>
  <c r="L8" i="1" l="1"/>
  <c r="N20" i="1"/>
  <c r="L9" i="1"/>
  <c r="N21" i="1"/>
  <c r="B7" i="1" l="1"/>
  <c r="C21" i="1" l="1"/>
  <c r="D33" i="1"/>
  <c r="D27" i="1"/>
  <c r="D35" i="1"/>
  <c r="D28" i="1"/>
  <c r="D26" i="1"/>
  <c r="D32" i="1"/>
  <c r="D29" i="1"/>
  <c r="D34" i="1"/>
  <c r="D30" i="1"/>
  <c r="D31" i="1"/>
  <c r="B14" i="3" l="1"/>
  <c r="K16" i="3" s="1"/>
  <c r="K15" i="3" s="1"/>
  <c r="K14" i="3" s="1"/>
  <c r="K13" i="3" s="1"/>
  <c r="K12" i="3" s="1"/>
  <c r="K11" i="3" s="1"/>
  <c r="K10" i="3" s="1"/>
  <c r="K9" i="3" s="1"/>
  <c r="K8" i="3" s="1"/>
  <c r="K7" i="3" s="1"/>
  <c r="K6" i="3" s="1"/>
  <c r="B20" i="3" s="1"/>
  <c r="B13" i="3"/>
  <c r="J16" i="3" s="1"/>
  <c r="J15" i="3" s="1"/>
  <c r="J14" i="3" s="1"/>
  <c r="J13" i="3" s="1"/>
  <c r="J12" i="3" s="1"/>
  <c r="J11" i="3" s="1"/>
  <c r="B19" i="3" s="1"/>
  <c r="B12" i="3"/>
  <c r="I16" i="3" s="1"/>
  <c r="I15" i="3" s="1"/>
  <c r="I14" i="3" s="1"/>
  <c r="I13" i="3" s="1"/>
  <c r="I12" i="3" s="1"/>
  <c r="I11" i="3" s="1"/>
  <c r="I10" i="3" s="1"/>
  <c r="I9" i="3" s="1"/>
  <c r="I8" i="3" s="1"/>
  <c r="I7" i="3" s="1"/>
  <c r="I6" i="3" s="1"/>
  <c r="I5" i="3" s="1"/>
  <c r="B18" i="3" s="1"/>
  <c r="B300" i="3" l="1"/>
  <c r="B299" i="3"/>
  <c r="B298" i="3"/>
  <c r="B228" i="3"/>
  <c r="M225" i="3" s="1"/>
  <c r="M224" i="3" s="1"/>
  <c r="M223" i="3" s="1"/>
  <c r="M222" i="3" s="1"/>
  <c r="M221" i="3" s="1"/>
  <c r="M220" i="3" s="1"/>
  <c r="M219" i="3" s="1"/>
  <c r="M218" i="3" s="1"/>
  <c r="M217" i="3" s="1"/>
  <c r="M216" i="3" s="1"/>
  <c r="M215" i="3" s="1"/>
  <c r="M214" i="3" s="1"/>
  <c r="B237" i="3" s="1"/>
  <c r="B225" i="3"/>
  <c r="J225" i="3" s="1"/>
  <c r="J224" i="3" s="1"/>
  <c r="J223" i="3" s="1"/>
  <c r="J222" i="3" s="1"/>
  <c r="J221" i="3" s="1"/>
  <c r="J220" i="3" s="1"/>
  <c r="J219" i="3" s="1"/>
  <c r="J218" i="3" s="1"/>
  <c r="J217" i="3" s="1"/>
  <c r="J216" i="3" s="1"/>
  <c r="J215" i="3" s="1"/>
  <c r="J214" i="3" s="1"/>
  <c r="B234" i="3" s="1"/>
  <c r="B227" i="3"/>
  <c r="L225" i="3" s="1"/>
  <c r="L224" i="3" s="1"/>
  <c r="L223" i="3" s="1"/>
  <c r="L222" i="3" s="1"/>
  <c r="L221" i="3" s="1"/>
  <c r="L220" i="3" s="1"/>
  <c r="L219" i="3" s="1"/>
  <c r="L218" i="3" s="1"/>
  <c r="L217" i="3" s="1"/>
  <c r="L216" i="3" s="1"/>
  <c r="L215" i="3" s="1"/>
  <c r="B236" i="3" s="1"/>
  <c r="B224" i="3"/>
  <c r="I225" i="3" s="1"/>
  <c r="I224" i="3" s="1"/>
  <c r="I223" i="3" s="1"/>
  <c r="I222" i="3" s="1"/>
  <c r="I221" i="3" s="1"/>
  <c r="I220" i="3" s="1"/>
  <c r="I219" i="3" s="1"/>
  <c r="I218" i="3" s="1"/>
  <c r="I217" i="3" s="1"/>
  <c r="I216" i="3" s="1"/>
  <c r="I215" i="3" s="1"/>
  <c r="I214" i="3" s="1"/>
  <c r="B233" i="3" s="1"/>
  <c r="B223" i="3"/>
  <c r="H225" i="3" s="1"/>
  <c r="H224" i="3" s="1"/>
  <c r="H223" i="3" s="1"/>
  <c r="H222" i="3" s="1"/>
  <c r="H221" i="3" s="1"/>
  <c r="H220" i="3" s="1"/>
  <c r="H219" i="3" s="1"/>
  <c r="H218" i="3" s="1"/>
  <c r="H217" i="3" s="1"/>
  <c r="B232" i="3" s="1"/>
  <c r="B229" i="3"/>
  <c r="N225" i="3" s="1"/>
  <c r="N224" i="3" s="1"/>
  <c r="N223" i="3" s="1"/>
  <c r="N222" i="3" s="1"/>
  <c r="N221" i="3" s="1"/>
  <c r="N220" i="3" s="1"/>
  <c r="N219" i="3" s="1"/>
  <c r="N218" i="3" s="1"/>
  <c r="N217" i="3" s="1"/>
  <c r="N216" i="3" s="1"/>
  <c r="N215" i="3" s="1"/>
  <c r="N214" i="3" s="1"/>
  <c r="B238" i="3" s="1"/>
  <c r="B222" i="3"/>
  <c r="B226" i="3"/>
  <c r="K225" i="3" s="1"/>
  <c r="K224" i="3" s="1"/>
  <c r="K223" i="3" s="1"/>
  <c r="K222" i="3" s="1"/>
  <c r="K221" i="3" s="1"/>
  <c r="K220" i="3" s="1"/>
  <c r="B235" i="3" s="1"/>
  <c r="B196" i="3"/>
  <c r="B199" i="3"/>
  <c r="B274" i="3"/>
  <c r="B275" i="3"/>
  <c r="G303" i="3" l="1"/>
  <c r="G302" i="3" s="1"/>
  <c r="G301" i="3" s="1"/>
  <c r="G300" i="3" s="1"/>
  <c r="G299" i="3" s="1"/>
  <c r="G298" i="3" s="1"/>
  <c r="G297" i="3" s="1"/>
  <c r="G296" i="3" s="1"/>
  <c r="G295" i="3" s="1"/>
  <c r="B305" i="3" s="1"/>
  <c r="J196" i="3"/>
  <c r="J195" i="3" s="1"/>
  <c r="J194" i="3" s="1"/>
  <c r="J193" i="3" s="1"/>
  <c r="J192" i="3" s="1"/>
  <c r="J191" i="3" s="1"/>
  <c r="J190" i="3" s="1"/>
  <c r="J189" i="3" s="1"/>
  <c r="J188" i="3" s="1"/>
  <c r="J187" i="3" s="1"/>
  <c r="J186" i="3" s="1"/>
  <c r="J185" i="3" s="1"/>
  <c r="B205" i="3" s="1"/>
  <c r="H303" i="3"/>
  <c r="H302" i="3" s="1"/>
  <c r="H301" i="3" s="1"/>
  <c r="H300" i="3" s="1"/>
  <c r="H299" i="3" s="1"/>
  <c r="H298" i="3" s="1"/>
  <c r="H297" i="3" s="1"/>
  <c r="H296" i="3" s="1"/>
  <c r="H295" i="3" s="1"/>
  <c r="H294" i="3" s="1"/>
  <c r="H293" i="3" s="1"/>
  <c r="H292" i="3" s="1"/>
  <c r="B306" i="3" s="1"/>
  <c r="I303" i="3"/>
  <c r="I302" i="3" s="1"/>
  <c r="I301" i="3" s="1"/>
  <c r="I300" i="3" s="1"/>
  <c r="I299" i="3" s="1"/>
  <c r="I298" i="3" s="1"/>
  <c r="I297" i="3" s="1"/>
  <c r="I296" i="3" s="1"/>
  <c r="I295" i="3" s="1"/>
  <c r="I294" i="3" s="1"/>
  <c r="I293" i="3" s="1"/>
  <c r="I292" i="3" s="1"/>
  <c r="B307" i="3" s="1"/>
  <c r="M196" i="3"/>
  <c r="M195" i="3" s="1"/>
  <c r="M194" i="3" s="1"/>
  <c r="M193" i="3" s="1"/>
  <c r="M192" i="3" s="1"/>
  <c r="M191" i="3" s="1"/>
  <c r="M190" i="3" s="1"/>
  <c r="M189" i="3" s="1"/>
  <c r="M188" i="3" s="1"/>
  <c r="M187" i="3" s="1"/>
  <c r="M186" i="3" s="1"/>
  <c r="M185" i="3" s="1"/>
  <c r="B208" i="3" s="1"/>
  <c r="B195" i="3"/>
  <c r="B194" i="3"/>
  <c r="I279" i="3"/>
  <c r="I278" i="3" s="1"/>
  <c r="I277" i="3" s="1"/>
  <c r="I276" i="3" s="1"/>
  <c r="I275" i="3" s="1"/>
  <c r="I274" i="3" s="1"/>
  <c r="I273" i="3" s="1"/>
  <c r="I272" i="3" s="1"/>
  <c r="I271" i="3" s="1"/>
  <c r="I270" i="3" s="1"/>
  <c r="I269" i="3" s="1"/>
  <c r="I268" i="3" s="1"/>
  <c r="B281" i="3" s="1"/>
  <c r="G225" i="3"/>
  <c r="G224" i="3" s="1"/>
  <c r="G223" i="3" s="1"/>
  <c r="G222" i="3" s="1"/>
  <c r="G221" i="3" s="1"/>
  <c r="G220" i="3" s="1"/>
  <c r="G219" i="3" s="1"/>
  <c r="G218" i="3" s="1"/>
  <c r="G217" i="3" s="1"/>
  <c r="G216" i="3" s="1"/>
  <c r="B231" i="3" s="1"/>
  <c r="B239" i="3" s="1"/>
  <c r="B97" i="6" s="1"/>
  <c r="B230" i="3"/>
  <c r="B94" i="6" s="1"/>
  <c r="H279" i="3"/>
  <c r="H278" i="3" s="1"/>
  <c r="H277" i="3" s="1"/>
  <c r="H276" i="3" s="1"/>
  <c r="H275" i="3" s="1"/>
  <c r="H274" i="3" s="1"/>
  <c r="H273" i="3" s="1"/>
  <c r="H272" i="3" s="1"/>
  <c r="H271" i="3" s="1"/>
  <c r="B280" i="3" s="1"/>
  <c r="H196" i="3" l="1"/>
  <c r="H195" i="3" s="1"/>
  <c r="H194" i="3" s="1"/>
  <c r="H193" i="3" s="1"/>
  <c r="H192" i="3" s="1"/>
  <c r="H191" i="3" s="1"/>
  <c r="H190" i="3" s="1"/>
  <c r="H189" i="3" s="1"/>
  <c r="H188" i="3" s="1"/>
  <c r="B203" i="3" s="1"/>
  <c r="I196" i="3"/>
  <c r="I195" i="3" s="1"/>
  <c r="I194" i="3" s="1"/>
  <c r="I193" i="3" s="1"/>
  <c r="I192" i="3" s="1"/>
  <c r="I191" i="3" s="1"/>
  <c r="I190" i="3" s="1"/>
  <c r="I189" i="3" s="1"/>
  <c r="I188" i="3" s="1"/>
  <c r="I187" i="3" s="1"/>
  <c r="I186" i="3" s="1"/>
  <c r="I185" i="3" s="1"/>
  <c r="B204" i="3" s="1"/>
  <c r="S225" i="3"/>
  <c r="S214" i="3"/>
  <c r="S222" i="3"/>
  <c r="S215" i="3"/>
  <c r="S221" i="3"/>
  <c r="S227" i="3"/>
  <c r="S216" i="3"/>
  <c r="S218" i="3"/>
  <c r="S217" i="3"/>
  <c r="S229" i="3"/>
  <c r="S226" i="3"/>
  <c r="S228" i="3"/>
  <c r="S230" i="3"/>
  <c r="S223" i="3"/>
  <c r="S220" i="3"/>
  <c r="S224" i="3"/>
  <c r="S219" i="3"/>
  <c r="B251" i="3" l="1"/>
  <c r="I254" i="3" s="1"/>
  <c r="I253" i="3" s="1"/>
  <c r="I252" i="3" s="1"/>
  <c r="I251" i="3" s="1"/>
  <c r="I250" i="3" s="1"/>
  <c r="I249" i="3" s="1"/>
  <c r="I248" i="3" s="1"/>
  <c r="I247" i="3" s="1"/>
  <c r="I246" i="3" s="1"/>
  <c r="I245" i="3" s="1"/>
  <c r="I244" i="3" s="1"/>
  <c r="I243" i="3" s="1"/>
  <c r="B258" i="3" s="1"/>
  <c r="B250" i="3"/>
  <c r="H254" i="3" s="1"/>
  <c r="H253" i="3" s="1"/>
  <c r="H252" i="3" s="1"/>
  <c r="H251" i="3" s="1"/>
  <c r="H250" i="3" s="1"/>
  <c r="H249" i="3" s="1"/>
  <c r="H248" i="3" s="1"/>
  <c r="H247" i="3" s="1"/>
  <c r="H246" i="3" s="1"/>
  <c r="H245" i="3" s="1"/>
  <c r="H244" i="3" s="1"/>
  <c r="H243" i="3" s="1"/>
  <c r="B257" i="3" s="1"/>
  <c r="B249" i="3"/>
  <c r="B253" i="3"/>
  <c r="K254" i="3" s="1"/>
  <c r="K253" i="3" s="1"/>
  <c r="K252" i="3" s="1"/>
  <c r="K251" i="3" s="1"/>
  <c r="K250" i="3" s="1"/>
  <c r="K249" i="3" s="1"/>
  <c r="K248" i="3" s="1"/>
  <c r="K247" i="3" s="1"/>
  <c r="K246" i="3" s="1"/>
  <c r="K245" i="3" s="1"/>
  <c r="K244" i="3" s="1"/>
  <c r="K243" i="3" s="1"/>
  <c r="B260" i="3" s="1"/>
  <c r="B254" i="3"/>
  <c r="L254" i="3" s="1"/>
  <c r="L253" i="3" s="1"/>
  <c r="L252" i="3" s="1"/>
  <c r="L251" i="3" s="1"/>
  <c r="L250" i="3" s="1"/>
  <c r="L249" i="3" s="1"/>
  <c r="L248" i="3" s="1"/>
  <c r="L247" i="3" s="1"/>
  <c r="L246" i="3" s="1"/>
  <c r="L245" i="3" s="1"/>
  <c r="L244" i="3" s="1"/>
  <c r="L243" i="3" s="1"/>
  <c r="B261" i="3" s="1"/>
  <c r="G254" i="3" l="1"/>
  <c r="G253" i="3" s="1"/>
  <c r="G252" i="3" s="1"/>
  <c r="G251" i="3" s="1"/>
  <c r="G250" i="3" s="1"/>
  <c r="G249" i="3" s="1"/>
  <c r="G248" i="3" s="1"/>
  <c r="G247" i="3" s="1"/>
  <c r="G246" i="3" s="1"/>
  <c r="B256" i="3" s="1"/>
  <c r="B252" i="3"/>
  <c r="J254" i="3" s="1"/>
  <c r="J253" i="3" s="1"/>
  <c r="J252" i="3" s="1"/>
  <c r="J251" i="3" s="1"/>
  <c r="J250" i="3" s="1"/>
  <c r="J249" i="3" s="1"/>
  <c r="J248" i="3" s="1"/>
  <c r="J247" i="3" s="1"/>
  <c r="J246" i="3" s="1"/>
  <c r="J245" i="3" s="1"/>
  <c r="J244" i="3" s="1"/>
  <c r="B259" i="3" s="1"/>
  <c r="B328" i="3"/>
  <c r="J328" i="3" s="1"/>
  <c r="J327" i="3" s="1"/>
  <c r="J326" i="3" s="1"/>
  <c r="J325" i="3" s="1"/>
  <c r="J324" i="3" s="1"/>
  <c r="J323" i="3" s="1"/>
  <c r="J322" i="3" s="1"/>
  <c r="J321" i="3" s="1"/>
  <c r="J320" i="3" s="1"/>
  <c r="J319" i="3" s="1"/>
  <c r="J318" i="3" s="1"/>
  <c r="J317" i="3" s="1"/>
  <c r="B337" i="3" s="1"/>
  <c r="B262" i="3" l="1"/>
  <c r="B25" i="4" s="1"/>
  <c r="B10" i="6" s="1"/>
  <c r="B330" i="3"/>
  <c r="L328" i="3" s="1"/>
  <c r="L327" i="3" s="1"/>
  <c r="L326" i="3" s="1"/>
  <c r="L325" i="3" s="1"/>
  <c r="L324" i="3" s="1"/>
  <c r="L323" i="3" s="1"/>
  <c r="L322" i="3" s="1"/>
  <c r="L321" i="3" s="1"/>
  <c r="L320" i="3" s="1"/>
  <c r="L319" i="3" s="1"/>
  <c r="L318" i="3" s="1"/>
  <c r="B339" i="3" s="1"/>
  <c r="B197" i="3"/>
  <c r="B331" i="3"/>
  <c r="M328" i="3" s="1"/>
  <c r="M327" i="3" s="1"/>
  <c r="M326" i="3" s="1"/>
  <c r="M325" i="3" s="1"/>
  <c r="M324" i="3" s="1"/>
  <c r="M323" i="3" s="1"/>
  <c r="M322" i="3" s="1"/>
  <c r="M321" i="3" s="1"/>
  <c r="M320" i="3" s="1"/>
  <c r="M319" i="3" s="1"/>
  <c r="M318" i="3" s="1"/>
  <c r="M317" i="3" s="1"/>
  <c r="B340" i="3" s="1"/>
  <c r="B329" i="3"/>
  <c r="K328" i="3" s="1"/>
  <c r="K327" i="3" s="1"/>
  <c r="K326" i="3" s="1"/>
  <c r="K325" i="3" s="1"/>
  <c r="K324" i="3" s="1"/>
  <c r="K323" i="3" s="1"/>
  <c r="B338" i="3" s="1"/>
  <c r="B255" i="3"/>
  <c r="B200" i="3"/>
  <c r="B327" i="3"/>
  <c r="I328" i="3" s="1"/>
  <c r="I327" i="3" s="1"/>
  <c r="I326" i="3" s="1"/>
  <c r="I325" i="3" s="1"/>
  <c r="I324" i="3" s="1"/>
  <c r="I323" i="3" s="1"/>
  <c r="I322" i="3" s="1"/>
  <c r="I321" i="3" s="1"/>
  <c r="I320" i="3" s="1"/>
  <c r="I319" i="3" s="1"/>
  <c r="I318" i="3" s="1"/>
  <c r="I317" i="3" s="1"/>
  <c r="B336" i="3" s="1"/>
  <c r="B326" i="3"/>
  <c r="H328" i="3" s="1"/>
  <c r="H327" i="3" s="1"/>
  <c r="H326" i="3" s="1"/>
  <c r="H325" i="3" s="1"/>
  <c r="H324" i="3" s="1"/>
  <c r="H323" i="3" s="1"/>
  <c r="H322" i="3" s="1"/>
  <c r="H321" i="3" s="1"/>
  <c r="H320" i="3" s="1"/>
  <c r="B335" i="3" s="1"/>
  <c r="B198" i="3"/>
  <c r="B332" i="3"/>
  <c r="N328" i="3" s="1"/>
  <c r="N327" i="3" s="1"/>
  <c r="N326" i="3" s="1"/>
  <c r="N325" i="3" s="1"/>
  <c r="N324" i="3" s="1"/>
  <c r="N323" i="3" s="1"/>
  <c r="N322" i="3" s="1"/>
  <c r="N321" i="3" s="1"/>
  <c r="N320" i="3" s="1"/>
  <c r="N319" i="3" s="1"/>
  <c r="N318" i="3" s="1"/>
  <c r="N317" i="3" s="1"/>
  <c r="B341" i="3" s="1"/>
  <c r="B89" i="3"/>
  <c r="B118" i="6" s="1"/>
  <c r="B141" i="6" l="1"/>
  <c r="AA41" i="5"/>
  <c r="N196" i="3"/>
  <c r="N195" i="3" s="1"/>
  <c r="N194" i="3" s="1"/>
  <c r="N193" i="3" s="1"/>
  <c r="N192" i="3" s="1"/>
  <c r="N191" i="3" s="1"/>
  <c r="N190" i="3" s="1"/>
  <c r="N189" i="3" s="1"/>
  <c r="N188" i="3" s="1"/>
  <c r="N187" i="3" s="1"/>
  <c r="N186" i="3" s="1"/>
  <c r="N185" i="3" s="1"/>
  <c r="B209" i="3" s="1"/>
  <c r="L196" i="3"/>
  <c r="L195" i="3" s="1"/>
  <c r="L194" i="3" s="1"/>
  <c r="L193" i="3" s="1"/>
  <c r="L192" i="3" s="1"/>
  <c r="L191" i="3" s="1"/>
  <c r="L190" i="3" s="1"/>
  <c r="L189" i="3" s="1"/>
  <c r="L188" i="3" s="1"/>
  <c r="L187" i="3" s="1"/>
  <c r="L186" i="3" s="1"/>
  <c r="B207" i="3" s="1"/>
  <c r="K196" i="3"/>
  <c r="K195" i="3" s="1"/>
  <c r="K194" i="3" s="1"/>
  <c r="K193" i="3" s="1"/>
  <c r="K192" i="3" s="1"/>
  <c r="K191" i="3" s="1"/>
  <c r="B206" i="3" s="1"/>
  <c r="B193" i="3"/>
  <c r="V98" i="3"/>
  <c r="V115" i="3"/>
  <c r="V88" i="3"/>
  <c r="V107" i="3"/>
  <c r="V117" i="3"/>
  <c r="V96" i="3"/>
  <c r="J89" i="3"/>
  <c r="V105" i="3"/>
  <c r="V91" i="3"/>
  <c r="V89" i="3"/>
  <c r="V119" i="3"/>
  <c r="V121" i="3"/>
  <c r="V82" i="3"/>
  <c r="V100" i="3"/>
  <c r="V120" i="3"/>
  <c r="V113" i="3"/>
  <c r="V110" i="3"/>
  <c r="V81" i="3"/>
  <c r="V87" i="3"/>
  <c r="V112" i="3"/>
  <c r="V101" i="3"/>
  <c r="V80" i="3"/>
  <c r="V102" i="3"/>
  <c r="V84" i="3"/>
  <c r="V108" i="3"/>
  <c r="V111" i="3"/>
  <c r="V99" i="3"/>
  <c r="V116" i="3"/>
  <c r="V83" i="3"/>
  <c r="V109" i="3"/>
  <c r="V95" i="3"/>
  <c r="V85" i="3"/>
  <c r="V123" i="3"/>
  <c r="V124" i="3"/>
  <c r="V118" i="3"/>
  <c r="V125" i="3"/>
  <c r="V106" i="3"/>
  <c r="V97" i="3"/>
  <c r="V94" i="3"/>
  <c r="V93" i="3"/>
  <c r="V92" i="3"/>
  <c r="V79" i="3"/>
  <c r="V103" i="3"/>
  <c r="V78" i="3"/>
  <c r="V114" i="3"/>
  <c r="V90" i="3"/>
  <c r="V86" i="3"/>
  <c r="V104" i="3"/>
  <c r="V122" i="3"/>
  <c r="B325" i="3"/>
  <c r="B92" i="3"/>
  <c r="B35" i="3"/>
  <c r="B34" i="3"/>
  <c r="B93" i="3"/>
  <c r="B88" i="3"/>
  <c r="B87" i="3"/>
  <c r="B115" i="6" s="1"/>
  <c r="B24" i="4"/>
  <c r="B7" i="6" s="1"/>
  <c r="Q252" i="3"/>
  <c r="Q250" i="3"/>
  <c r="Q251" i="3"/>
  <c r="Q244" i="3"/>
  <c r="Q261" i="3"/>
  <c r="Q243" i="3"/>
  <c r="Q246" i="3"/>
  <c r="Q255" i="3"/>
  <c r="Q263" i="3"/>
  <c r="Q248" i="3"/>
  <c r="Q245" i="3"/>
  <c r="Q249" i="3"/>
  <c r="Q256" i="3"/>
  <c r="Q259" i="3"/>
  <c r="Q257" i="3"/>
  <c r="Q253" i="3"/>
  <c r="Q260" i="3"/>
  <c r="Q254" i="3"/>
  <c r="Q258" i="3"/>
  <c r="Q262" i="3"/>
  <c r="Q247" i="3"/>
  <c r="B276" i="3"/>
  <c r="B36" i="3"/>
  <c r="B39" i="3"/>
  <c r="B121" i="6" l="1"/>
  <c r="O48" i="5"/>
  <c r="B223" i="6"/>
  <c r="O43" i="5"/>
  <c r="B116" i="6"/>
  <c r="B117" i="6"/>
  <c r="J88" i="3"/>
  <c r="J87" i="3" s="1"/>
  <c r="J86" i="3" s="1"/>
  <c r="J85" i="3" s="1"/>
  <c r="J84" i="3" s="1"/>
  <c r="J83" i="3" s="1"/>
  <c r="J82" i="3" s="1"/>
  <c r="J81" i="3" s="1"/>
  <c r="J80" i="3" s="1"/>
  <c r="J79" i="3" s="1"/>
  <c r="J78" i="3" s="1"/>
  <c r="B98" i="3" s="1"/>
  <c r="B129" i="6" s="1"/>
  <c r="B72" i="6"/>
  <c r="B224" i="6"/>
  <c r="B144" i="6"/>
  <c r="AA40" i="5"/>
  <c r="B140" i="6"/>
  <c r="B142" i="6" s="1"/>
  <c r="AA43" i="5"/>
  <c r="O49" i="5"/>
  <c r="O44" i="5"/>
  <c r="B302" i="3"/>
  <c r="B301" i="3"/>
  <c r="B333" i="3"/>
  <c r="B327" i="6" s="1"/>
  <c r="G328" i="3"/>
  <c r="G327" i="3" s="1"/>
  <c r="G326" i="3" s="1"/>
  <c r="G325" i="3" s="1"/>
  <c r="G324" i="3" s="1"/>
  <c r="G323" i="3" s="1"/>
  <c r="G322" i="3" s="1"/>
  <c r="G321" i="3" s="1"/>
  <c r="G320" i="3" s="1"/>
  <c r="G319" i="3" s="1"/>
  <c r="B334" i="3" s="1"/>
  <c r="B342" i="3" s="1"/>
  <c r="B332" i="6" s="1"/>
  <c r="B91" i="3"/>
  <c r="B60" i="4"/>
  <c r="AB28" i="3"/>
  <c r="AB37" i="3"/>
  <c r="AB26" i="3"/>
  <c r="AB38" i="3"/>
  <c r="AB25" i="3"/>
  <c r="AB30" i="3"/>
  <c r="AB36" i="3"/>
  <c r="AB40" i="3"/>
  <c r="AB42" i="3"/>
  <c r="AB43" i="3"/>
  <c r="AB34" i="3"/>
  <c r="M36" i="3"/>
  <c r="M35" i="3" s="1"/>
  <c r="M34" i="3" s="1"/>
  <c r="M33" i="3" s="1"/>
  <c r="M32" i="3" s="1"/>
  <c r="M31" i="3" s="1"/>
  <c r="M30" i="3" s="1"/>
  <c r="M29" i="3" s="1"/>
  <c r="M28" i="3" s="1"/>
  <c r="M27" i="3" s="1"/>
  <c r="M26" i="3" s="1"/>
  <c r="M25" i="3" s="1"/>
  <c r="B48" i="3" s="1"/>
  <c r="AB44" i="3"/>
  <c r="AB32" i="3"/>
  <c r="AB29" i="3"/>
  <c r="AB31" i="3"/>
  <c r="AB35" i="3"/>
  <c r="AB45" i="3"/>
  <c r="AB33" i="3"/>
  <c r="AB39" i="3"/>
  <c r="AB41" i="3"/>
  <c r="AB27" i="3"/>
  <c r="V45" i="3"/>
  <c r="V40" i="3"/>
  <c r="V26" i="3"/>
  <c r="V70" i="3"/>
  <c r="V41" i="3"/>
  <c r="V44" i="3"/>
  <c r="V52" i="3"/>
  <c r="V39" i="3"/>
  <c r="V64" i="3"/>
  <c r="V42" i="3"/>
  <c r="V56" i="3"/>
  <c r="V71" i="3"/>
  <c r="V43" i="3"/>
  <c r="V30" i="3"/>
  <c r="V62" i="3"/>
  <c r="V60" i="3"/>
  <c r="V35" i="3"/>
  <c r="V58" i="3"/>
  <c r="V65" i="3"/>
  <c r="V54" i="3"/>
  <c r="V63" i="3"/>
  <c r="V67" i="3"/>
  <c r="V72" i="3"/>
  <c r="V32" i="3"/>
  <c r="V29" i="3"/>
  <c r="V47" i="3"/>
  <c r="V50" i="3"/>
  <c r="V49" i="3"/>
  <c r="V55" i="3"/>
  <c r="V25" i="3"/>
  <c r="V48" i="3"/>
  <c r="V69" i="3"/>
  <c r="J36" i="3"/>
  <c r="J35" i="3" s="1"/>
  <c r="J34" i="3" s="1"/>
  <c r="J33" i="3" s="1"/>
  <c r="J32" i="3" s="1"/>
  <c r="J31" i="3" s="1"/>
  <c r="J30" i="3" s="1"/>
  <c r="J29" i="3" s="1"/>
  <c r="J28" i="3" s="1"/>
  <c r="J27" i="3" s="1"/>
  <c r="J26" i="3" s="1"/>
  <c r="J25" i="3" s="1"/>
  <c r="B45" i="3" s="1"/>
  <c r="V66" i="3"/>
  <c r="V61" i="3"/>
  <c r="V46" i="3"/>
  <c r="V37" i="3"/>
  <c r="V33" i="3"/>
  <c r="V51" i="3"/>
  <c r="V34" i="3"/>
  <c r="V57" i="3"/>
  <c r="V38" i="3"/>
  <c r="V53" i="3"/>
  <c r="V27" i="3"/>
  <c r="V68" i="3"/>
  <c r="V59" i="3"/>
  <c r="V28" i="3"/>
  <c r="V31" i="3"/>
  <c r="V36" i="3"/>
  <c r="I30" i="4"/>
  <c r="I24" i="4"/>
  <c r="I40" i="4"/>
  <c r="I28" i="4"/>
  <c r="I37" i="4"/>
  <c r="I36" i="4"/>
  <c r="I31" i="4"/>
  <c r="I38" i="4"/>
  <c r="I22" i="4"/>
  <c r="I26" i="4"/>
  <c r="I39" i="4"/>
  <c r="I25" i="4"/>
  <c r="I41" i="4"/>
  <c r="I35" i="4"/>
  <c r="I33" i="4"/>
  <c r="I29" i="4"/>
  <c r="I27" i="4"/>
  <c r="I34" i="4"/>
  <c r="I23" i="4"/>
  <c r="I32" i="4"/>
  <c r="B40" i="3"/>
  <c r="B86" i="3"/>
  <c r="B55" i="4"/>
  <c r="T67" i="3"/>
  <c r="T39" i="3"/>
  <c r="T38" i="3"/>
  <c r="T43" i="3"/>
  <c r="T72" i="3"/>
  <c r="T34" i="3"/>
  <c r="T48" i="3"/>
  <c r="T51" i="3"/>
  <c r="T29" i="3"/>
  <c r="T66" i="3"/>
  <c r="T47" i="3"/>
  <c r="T41" i="3"/>
  <c r="T60" i="3"/>
  <c r="T63" i="3"/>
  <c r="T36" i="3"/>
  <c r="T30" i="3"/>
  <c r="T69" i="3"/>
  <c r="T33" i="3"/>
  <c r="T61" i="3"/>
  <c r="T26" i="3"/>
  <c r="T44" i="3"/>
  <c r="T56" i="3"/>
  <c r="T55" i="3"/>
  <c r="T54" i="3"/>
  <c r="T28" i="3"/>
  <c r="T65" i="3"/>
  <c r="T53" i="3"/>
  <c r="T57" i="3"/>
  <c r="T68" i="3"/>
  <c r="T35" i="3"/>
  <c r="T40" i="3"/>
  <c r="T32" i="3"/>
  <c r="T52" i="3"/>
  <c r="H36" i="3"/>
  <c r="H35" i="3" s="1"/>
  <c r="H34" i="3" s="1"/>
  <c r="H33" i="3" s="1"/>
  <c r="H32" i="3" s="1"/>
  <c r="H31" i="3" s="1"/>
  <c r="H30" i="3" s="1"/>
  <c r="H29" i="3" s="1"/>
  <c r="H28" i="3" s="1"/>
  <c r="B43" i="3" s="1"/>
  <c r="T31" i="3"/>
  <c r="T46" i="3"/>
  <c r="T58" i="3"/>
  <c r="T42" i="3"/>
  <c r="T49" i="3"/>
  <c r="T59" i="3"/>
  <c r="T71" i="3"/>
  <c r="T70" i="3"/>
  <c r="T50" i="3"/>
  <c r="T62" i="3"/>
  <c r="T27" i="3"/>
  <c r="T37" i="3"/>
  <c r="T25" i="3"/>
  <c r="T45" i="3"/>
  <c r="T64" i="3"/>
  <c r="B90" i="3"/>
  <c r="B56" i="4"/>
  <c r="U52" i="3"/>
  <c r="U65" i="3"/>
  <c r="U63" i="3"/>
  <c r="U38" i="3"/>
  <c r="U41" i="3"/>
  <c r="U32" i="3"/>
  <c r="U53" i="3"/>
  <c r="U72" i="3"/>
  <c r="U37" i="3"/>
  <c r="U71" i="3"/>
  <c r="U27" i="3"/>
  <c r="U69" i="3"/>
  <c r="U26" i="3"/>
  <c r="U62" i="3"/>
  <c r="U49" i="3"/>
  <c r="U55" i="3"/>
  <c r="U57" i="3"/>
  <c r="U60" i="3"/>
  <c r="U25" i="3"/>
  <c r="U40" i="3"/>
  <c r="U47" i="3"/>
  <c r="U34" i="3"/>
  <c r="U48" i="3"/>
  <c r="U67" i="3"/>
  <c r="U70" i="3"/>
  <c r="U30" i="3"/>
  <c r="U56" i="3"/>
  <c r="U59" i="3"/>
  <c r="U35" i="3"/>
  <c r="U54" i="3"/>
  <c r="U29" i="3"/>
  <c r="U58" i="3"/>
  <c r="U46" i="3"/>
  <c r="U39" i="3"/>
  <c r="U36" i="3"/>
  <c r="U51" i="3"/>
  <c r="U31" i="3"/>
  <c r="U42" i="3"/>
  <c r="U66" i="3"/>
  <c r="I36" i="3"/>
  <c r="I35" i="3" s="1"/>
  <c r="I34" i="3" s="1"/>
  <c r="I33" i="3" s="1"/>
  <c r="I32" i="3" s="1"/>
  <c r="I31" i="3" s="1"/>
  <c r="I30" i="3" s="1"/>
  <c r="I29" i="3" s="1"/>
  <c r="I28" i="3" s="1"/>
  <c r="I27" i="3" s="1"/>
  <c r="I26" i="3" s="1"/>
  <c r="I25" i="3" s="1"/>
  <c r="B44" i="3" s="1"/>
  <c r="U33" i="3"/>
  <c r="U68" i="3"/>
  <c r="U64" i="3"/>
  <c r="U45" i="3"/>
  <c r="U44" i="3"/>
  <c r="U43" i="3"/>
  <c r="U61" i="3"/>
  <c r="U28" i="3"/>
  <c r="U50" i="3"/>
  <c r="T118" i="3"/>
  <c r="T89" i="3"/>
  <c r="T113" i="3"/>
  <c r="T81" i="3"/>
  <c r="T104" i="3"/>
  <c r="T88" i="3"/>
  <c r="T98" i="3"/>
  <c r="T80" i="3"/>
  <c r="T103" i="3"/>
  <c r="T100" i="3"/>
  <c r="T114" i="3"/>
  <c r="T96" i="3"/>
  <c r="T105" i="3"/>
  <c r="T92" i="3"/>
  <c r="T82" i="3"/>
  <c r="H89" i="3"/>
  <c r="T117" i="3"/>
  <c r="T124" i="3"/>
  <c r="T122" i="3"/>
  <c r="T83" i="3"/>
  <c r="T78" i="3"/>
  <c r="T90" i="3"/>
  <c r="T99" i="3"/>
  <c r="T91" i="3"/>
  <c r="T101" i="3"/>
  <c r="T95" i="3"/>
  <c r="T79" i="3"/>
  <c r="T97" i="3"/>
  <c r="T84" i="3"/>
  <c r="T120" i="3"/>
  <c r="T85" i="3"/>
  <c r="T102" i="3"/>
  <c r="T116" i="3"/>
  <c r="T86" i="3"/>
  <c r="T108" i="3"/>
  <c r="T93" i="3"/>
  <c r="T111" i="3"/>
  <c r="T115" i="3"/>
  <c r="T119" i="3"/>
  <c r="T107" i="3"/>
  <c r="T125" i="3"/>
  <c r="T121" i="3"/>
  <c r="T109" i="3"/>
  <c r="T87" i="3"/>
  <c r="T94" i="3"/>
  <c r="T123" i="3"/>
  <c r="T112" i="3"/>
  <c r="T110" i="3"/>
  <c r="T106" i="3"/>
  <c r="B57" i="4"/>
  <c r="U109" i="3"/>
  <c r="U105" i="3"/>
  <c r="U99" i="3"/>
  <c r="U107" i="3"/>
  <c r="U101" i="3"/>
  <c r="U117" i="3"/>
  <c r="U83" i="3"/>
  <c r="U97" i="3"/>
  <c r="U113" i="3"/>
  <c r="U112" i="3"/>
  <c r="U85" i="3"/>
  <c r="U93" i="3"/>
  <c r="U102" i="3"/>
  <c r="U108" i="3"/>
  <c r="U80" i="3"/>
  <c r="U120" i="3"/>
  <c r="U98" i="3"/>
  <c r="U118" i="3"/>
  <c r="U96" i="3"/>
  <c r="U86" i="3"/>
  <c r="U94" i="3"/>
  <c r="U87" i="3"/>
  <c r="I89" i="3"/>
  <c r="U90" i="3"/>
  <c r="U79" i="3"/>
  <c r="U104" i="3"/>
  <c r="U106" i="3"/>
  <c r="U116" i="3"/>
  <c r="U95" i="3"/>
  <c r="U125" i="3"/>
  <c r="U82" i="3"/>
  <c r="U119" i="3"/>
  <c r="U92" i="3"/>
  <c r="U84" i="3"/>
  <c r="U111" i="3"/>
  <c r="U122" i="3"/>
  <c r="U121" i="3"/>
  <c r="U110" i="3"/>
  <c r="U91" i="3"/>
  <c r="U100" i="3"/>
  <c r="U78" i="3"/>
  <c r="U81" i="3"/>
  <c r="U123" i="3"/>
  <c r="U115" i="3"/>
  <c r="U89" i="3"/>
  <c r="U124" i="3"/>
  <c r="U114" i="3"/>
  <c r="U103" i="3"/>
  <c r="U88" i="3"/>
  <c r="G196" i="3"/>
  <c r="G195" i="3" s="1"/>
  <c r="G194" i="3" s="1"/>
  <c r="G193" i="3" s="1"/>
  <c r="G192" i="3" s="1"/>
  <c r="G191" i="3" s="1"/>
  <c r="G190" i="3" s="1"/>
  <c r="G189" i="3" s="1"/>
  <c r="G188" i="3" s="1"/>
  <c r="G187" i="3" s="1"/>
  <c r="B202" i="3" s="1"/>
  <c r="B201" i="3"/>
  <c r="B225" i="6" s="1"/>
  <c r="B273" i="3"/>
  <c r="J279" i="3"/>
  <c r="J278" i="3" s="1"/>
  <c r="J277" i="3" s="1"/>
  <c r="J276" i="3" s="1"/>
  <c r="J275" i="3" s="1"/>
  <c r="J274" i="3" s="1"/>
  <c r="B282" i="3" s="1"/>
  <c r="AF95" i="3"/>
  <c r="AF94" i="3"/>
  <c r="AF90" i="3"/>
  <c r="AF102" i="3"/>
  <c r="AF83" i="3"/>
  <c r="AF97" i="3"/>
  <c r="AF89" i="3"/>
  <c r="AF98" i="3"/>
  <c r="AF87" i="3"/>
  <c r="AF101" i="3"/>
  <c r="AF79" i="3"/>
  <c r="AF92" i="3"/>
  <c r="N89" i="3"/>
  <c r="AF99" i="3"/>
  <c r="AF96" i="3"/>
  <c r="AF78" i="3"/>
  <c r="AH81" i="3" s="1"/>
  <c r="AF100" i="3"/>
  <c r="AF85" i="3"/>
  <c r="AF82" i="3"/>
  <c r="AF93" i="3"/>
  <c r="AF81" i="3"/>
  <c r="AF80" i="3"/>
  <c r="AF91" i="3"/>
  <c r="AF88" i="3"/>
  <c r="AF86" i="3"/>
  <c r="AF84" i="3"/>
  <c r="AB84" i="3"/>
  <c r="AB85" i="3"/>
  <c r="AB90" i="3"/>
  <c r="AB91" i="3"/>
  <c r="AB78" i="3"/>
  <c r="AB87" i="3"/>
  <c r="AB79" i="3"/>
  <c r="AB95" i="3"/>
  <c r="AB93" i="3"/>
  <c r="AB97" i="3"/>
  <c r="AB86" i="3"/>
  <c r="AB92" i="3"/>
  <c r="AB89" i="3"/>
  <c r="AB96" i="3"/>
  <c r="AB88" i="3"/>
  <c r="AB83" i="3"/>
  <c r="AB81" i="3"/>
  <c r="AB98" i="3"/>
  <c r="M89" i="3"/>
  <c r="AB80" i="3"/>
  <c r="AB94" i="3"/>
  <c r="AB82" i="3"/>
  <c r="O46" i="5" l="1"/>
  <c r="B221" i="6"/>
  <c r="O41" i="5"/>
  <c r="B120" i="6"/>
  <c r="O47" i="5"/>
  <c r="B222" i="6"/>
  <c r="O42" i="5"/>
  <c r="B220" i="6"/>
  <c r="B114" i="6"/>
  <c r="M88" i="3"/>
  <c r="M87" i="3" s="1"/>
  <c r="M86" i="3" s="1"/>
  <c r="M85" i="3" s="1"/>
  <c r="M84" i="3" s="1"/>
  <c r="M83" i="3" s="1"/>
  <c r="M82" i="3" s="1"/>
  <c r="M81" i="3" s="1"/>
  <c r="M80" i="3" s="1"/>
  <c r="M79" i="3" s="1"/>
  <c r="M78" i="3" s="1"/>
  <c r="B101" i="3" s="1"/>
  <c r="N88" i="3"/>
  <c r="N87" i="3" s="1"/>
  <c r="N86" i="3" s="1"/>
  <c r="N85" i="3" s="1"/>
  <c r="N84" i="3" s="1"/>
  <c r="N83" i="3" s="1"/>
  <c r="N82" i="3" s="1"/>
  <c r="N81" i="3" s="1"/>
  <c r="N80" i="3" s="1"/>
  <c r="N79" i="3" s="1"/>
  <c r="N78" i="3" s="1"/>
  <c r="B102" i="3" s="1"/>
  <c r="I88" i="3"/>
  <c r="I87" i="3" s="1"/>
  <c r="I86" i="3" s="1"/>
  <c r="I85" i="3" s="1"/>
  <c r="I84" i="3" s="1"/>
  <c r="I83" i="3" s="1"/>
  <c r="I82" i="3" s="1"/>
  <c r="I81" i="3" s="1"/>
  <c r="I80" i="3" s="1"/>
  <c r="I79" i="3" s="1"/>
  <c r="I78" i="3" s="1"/>
  <c r="B97" i="3" s="1"/>
  <c r="H88" i="3"/>
  <c r="H87" i="3" s="1"/>
  <c r="H86" i="3" s="1"/>
  <c r="H85" i="3" s="1"/>
  <c r="H84" i="3" s="1"/>
  <c r="H83" i="3" s="1"/>
  <c r="H82" i="3" s="1"/>
  <c r="H81" i="3" s="1"/>
  <c r="B96" i="3" s="1"/>
  <c r="B126" i="6" s="1"/>
  <c r="B135" i="7"/>
  <c r="B42" i="8" s="1"/>
  <c r="I144" i="6"/>
  <c r="B119" i="6"/>
  <c r="O5" i="5"/>
  <c r="B181" i="6"/>
  <c r="AE41" i="5"/>
  <c r="B159" i="6"/>
  <c r="AE40" i="5"/>
  <c r="B156" i="6"/>
  <c r="I141" i="6"/>
  <c r="I147" i="6"/>
  <c r="I142" i="6"/>
  <c r="I138" i="6"/>
  <c r="I139" i="6"/>
  <c r="I140" i="6"/>
  <c r="I145" i="6"/>
  <c r="I146" i="6"/>
  <c r="I143" i="6"/>
  <c r="AA42" i="5"/>
  <c r="B143" i="6"/>
  <c r="B145" i="6" s="1"/>
  <c r="B136" i="7" s="1"/>
  <c r="B43" i="8" s="1"/>
  <c r="B70" i="6"/>
  <c r="B71" i="6"/>
  <c r="O40" i="5"/>
  <c r="O45" i="5"/>
  <c r="J303" i="3"/>
  <c r="J302" i="3" s="1"/>
  <c r="J301" i="3" s="1"/>
  <c r="J300" i="3" s="1"/>
  <c r="J299" i="3" s="1"/>
  <c r="J298" i="3" s="1"/>
  <c r="J297" i="3" s="1"/>
  <c r="J296" i="3" s="1"/>
  <c r="J295" i="3" s="1"/>
  <c r="J294" i="3" s="1"/>
  <c r="J293" i="3" s="1"/>
  <c r="B308" i="3" s="1"/>
  <c r="K303" i="3"/>
  <c r="K302" i="3" s="1"/>
  <c r="K301" i="3" s="1"/>
  <c r="K300" i="3" s="1"/>
  <c r="K299" i="3" s="1"/>
  <c r="K298" i="3" s="1"/>
  <c r="K297" i="3" s="1"/>
  <c r="K296" i="3" s="1"/>
  <c r="K295" i="3" s="1"/>
  <c r="K294" i="3" s="1"/>
  <c r="K293" i="3" s="1"/>
  <c r="K292" i="3" s="1"/>
  <c r="B309" i="3" s="1"/>
  <c r="B210" i="3"/>
  <c r="B65" i="4"/>
  <c r="B64" i="4"/>
  <c r="B304" i="3"/>
  <c r="Q295" i="3" s="1"/>
  <c r="B66" i="4"/>
  <c r="B33" i="3"/>
  <c r="B54" i="4" s="1"/>
  <c r="B10" i="3"/>
  <c r="K169" i="3"/>
  <c r="K168" i="3" s="1"/>
  <c r="K167" i="3" s="1"/>
  <c r="K166" i="3" s="1"/>
  <c r="K165" i="3" s="1"/>
  <c r="K164" i="3" s="1"/>
  <c r="B177" i="3" s="1"/>
  <c r="B89" i="4" s="1"/>
  <c r="H169" i="3"/>
  <c r="H168" i="3" s="1"/>
  <c r="H167" i="3" s="1"/>
  <c r="H166" i="3" s="1"/>
  <c r="H165" i="3" s="1"/>
  <c r="H164" i="3" s="1"/>
  <c r="H163" i="3" s="1"/>
  <c r="H162" i="3" s="1"/>
  <c r="H161" i="3" s="1"/>
  <c r="B174" i="3" s="1"/>
  <c r="B86" i="4" s="1"/>
  <c r="I169" i="3"/>
  <c r="I168" i="3" s="1"/>
  <c r="I167" i="3" s="1"/>
  <c r="I166" i="3" s="1"/>
  <c r="I165" i="3" s="1"/>
  <c r="I164" i="3" s="1"/>
  <c r="I163" i="3" s="1"/>
  <c r="I162" i="3" s="1"/>
  <c r="I161" i="3" s="1"/>
  <c r="I160" i="3" s="1"/>
  <c r="I159" i="3" s="1"/>
  <c r="I158" i="3" s="1"/>
  <c r="B175" i="3" s="1"/>
  <c r="B87" i="4" s="1"/>
  <c r="J169" i="3"/>
  <c r="J168" i="3" s="1"/>
  <c r="J167" i="3" s="1"/>
  <c r="J166" i="3" s="1"/>
  <c r="J165" i="3" s="1"/>
  <c r="J164" i="3" s="1"/>
  <c r="J163" i="3" s="1"/>
  <c r="J162" i="3" s="1"/>
  <c r="J161" i="3" s="1"/>
  <c r="J160" i="3" s="1"/>
  <c r="J159" i="3" s="1"/>
  <c r="J158" i="3" s="1"/>
  <c r="B176" i="3" s="1"/>
  <c r="B88" i="4" s="1"/>
  <c r="L169" i="3"/>
  <c r="L168" i="3" s="1"/>
  <c r="L167" i="3" s="1"/>
  <c r="L166" i="3" s="1"/>
  <c r="L165" i="3" s="1"/>
  <c r="L164" i="3" s="1"/>
  <c r="L163" i="3" s="1"/>
  <c r="L162" i="3" s="1"/>
  <c r="L161" i="3" s="1"/>
  <c r="L160" i="3" s="1"/>
  <c r="L159" i="3" s="1"/>
  <c r="B178" i="3" s="1"/>
  <c r="B90" i="4" s="1"/>
  <c r="N169" i="3"/>
  <c r="N168" i="3" s="1"/>
  <c r="N167" i="3" s="1"/>
  <c r="N166" i="3" s="1"/>
  <c r="N165" i="3" s="1"/>
  <c r="N164" i="3" s="1"/>
  <c r="N163" i="3" s="1"/>
  <c r="N162" i="3" s="1"/>
  <c r="N161" i="3" s="1"/>
  <c r="N160" i="3" s="1"/>
  <c r="N159" i="3" s="1"/>
  <c r="N158" i="3" s="1"/>
  <c r="B180" i="3" s="1"/>
  <c r="B92" i="4" s="1"/>
  <c r="M169" i="3"/>
  <c r="M168" i="3" s="1"/>
  <c r="M167" i="3" s="1"/>
  <c r="M166" i="3" s="1"/>
  <c r="M165" i="3" s="1"/>
  <c r="M164" i="3" s="1"/>
  <c r="M163" i="3" s="1"/>
  <c r="M162" i="3" s="1"/>
  <c r="M161" i="3" s="1"/>
  <c r="M160" i="3" s="1"/>
  <c r="M159" i="3" s="1"/>
  <c r="M158" i="3" s="1"/>
  <c r="B179" i="3" s="1"/>
  <c r="B91" i="4" s="1"/>
  <c r="AA94" i="3"/>
  <c r="AA97" i="3"/>
  <c r="AA95" i="3"/>
  <c r="AA81" i="3"/>
  <c r="AA78" i="3"/>
  <c r="AA79" i="3"/>
  <c r="AA84" i="3"/>
  <c r="AA98" i="3"/>
  <c r="AA85" i="3"/>
  <c r="AA82" i="3"/>
  <c r="AA88" i="3"/>
  <c r="AA83" i="3"/>
  <c r="AA89" i="3"/>
  <c r="AA86" i="3"/>
  <c r="AA90" i="3"/>
  <c r="AA87" i="3"/>
  <c r="AA92" i="3"/>
  <c r="L89" i="3"/>
  <c r="AA93" i="3"/>
  <c r="AA91" i="3"/>
  <c r="AA80" i="3"/>
  <c r="AA96" i="3"/>
  <c r="B11" i="3"/>
  <c r="H16" i="3" s="1"/>
  <c r="H15" i="3" s="1"/>
  <c r="H14" i="3" s="1"/>
  <c r="H13" i="3" s="1"/>
  <c r="H12" i="3" s="1"/>
  <c r="H11" i="3" s="1"/>
  <c r="H10" i="3" s="1"/>
  <c r="H9" i="3" s="1"/>
  <c r="H8" i="3" s="1"/>
  <c r="B17" i="3" s="1"/>
  <c r="B37" i="3"/>
  <c r="S112" i="3"/>
  <c r="AH114" i="3" s="1"/>
  <c r="S97" i="3"/>
  <c r="S86" i="3"/>
  <c r="S87" i="3"/>
  <c r="AH88" i="3" s="1"/>
  <c r="S102" i="3"/>
  <c r="AH103" i="3" s="1"/>
  <c r="S103" i="3"/>
  <c r="AH104" i="3" s="1"/>
  <c r="S96" i="3"/>
  <c r="S88" i="3"/>
  <c r="S125" i="3"/>
  <c r="AH126" i="3" s="1"/>
  <c r="S114" i="3"/>
  <c r="S92" i="3"/>
  <c r="AH93" i="3" s="1"/>
  <c r="S107" i="3"/>
  <c r="S93" i="3"/>
  <c r="AH94" i="3" s="1"/>
  <c r="S104" i="3"/>
  <c r="AH105" i="3" s="1"/>
  <c r="S121" i="3"/>
  <c r="S79" i="3"/>
  <c r="AH79" i="3" s="1"/>
  <c r="S120" i="3"/>
  <c r="S95" i="3"/>
  <c r="S90" i="3"/>
  <c r="AH91" i="3" s="1"/>
  <c r="S89" i="3"/>
  <c r="AH90" i="3" s="1"/>
  <c r="S113" i="3"/>
  <c r="AH115" i="3" s="1"/>
  <c r="S106" i="3"/>
  <c r="AH107" i="3" s="1"/>
  <c r="S100" i="3"/>
  <c r="AH101" i="3" s="1"/>
  <c r="S91" i="3"/>
  <c r="AH92" i="3" s="1"/>
  <c r="S123" i="3"/>
  <c r="AH124" i="3" s="1"/>
  <c r="S109" i="3"/>
  <c r="AH111" i="3" s="1"/>
  <c r="S108" i="3"/>
  <c r="S117" i="3"/>
  <c r="AH118" i="3" s="1"/>
  <c r="S94" i="3"/>
  <c r="S118" i="3"/>
  <c r="AH119" i="3" s="1"/>
  <c r="S111" i="3"/>
  <c r="AH113" i="3" s="1"/>
  <c r="S105" i="3"/>
  <c r="S98" i="3"/>
  <c r="S82" i="3"/>
  <c r="S80" i="3"/>
  <c r="AH80" i="3" s="1"/>
  <c r="S115" i="3"/>
  <c r="S101" i="3"/>
  <c r="AH102" i="3" s="1"/>
  <c r="S81" i="3"/>
  <c r="AH82" i="3" s="1"/>
  <c r="S78" i="3"/>
  <c r="AH78" i="3" s="1"/>
  <c r="S83" i="3"/>
  <c r="S84" i="3"/>
  <c r="S119" i="3"/>
  <c r="AH120" i="3" s="1"/>
  <c r="S116" i="3"/>
  <c r="AH117" i="3" s="1"/>
  <c r="S124" i="3"/>
  <c r="AH125" i="3" s="1"/>
  <c r="S122" i="3"/>
  <c r="B94" i="3"/>
  <c r="S99" i="3"/>
  <c r="G89" i="3"/>
  <c r="S85" i="3"/>
  <c r="S110" i="3"/>
  <c r="B61" i="4"/>
  <c r="AF37" i="3"/>
  <c r="AF45" i="3"/>
  <c r="AF40" i="3"/>
  <c r="AF42" i="3"/>
  <c r="AF32" i="3"/>
  <c r="AF36" i="3"/>
  <c r="AF47" i="3"/>
  <c r="AF28" i="3"/>
  <c r="AF26" i="3"/>
  <c r="AF46" i="3"/>
  <c r="AF49" i="3"/>
  <c r="AF48" i="3"/>
  <c r="AF39" i="3"/>
  <c r="AF29" i="3"/>
  <c r="AF43" i="3"/>
  <c r="AF27" i="3"/>
  <c r="AF34" i="3"/>
  <c r="AF35" i="3"/>
  <c r="AF31" i="3"/>
  <c r="AF41" i="3"/>
  <c r="N36" i="3"/>
  <c r="N35" i="3" s="1"/>
  <c r="N34" i="3" s="1"/>
  <c r="N33" i="3" s="1"/>
  <c r="N32" i="3" s="1"/>
  <c r="N31" i="3" s="1"/>
  <c r="N30" i="3" s="1"/>
  <c r="N29" i="3" s="1"/>
  <c r="N28" i="3" s="1"/>
  <c r="N27" i="3" s="1"/>
  <c r="N26" i="3" s="1"/>
  <c r="N25" i="3" s="1"/>
  <c r="B49" i="3" s="1"/>
  <c r="AF38" i="3"/>
  <c r="AF33" i="3"/>
  <c r="AF44" i="3"/>
  <c r="AF25" i="3"/>
  <c r="AH28" i="3" s="1"/>
  <c r="AF30" i="3"/>
  <c r="S194" i="3"/>
  <c r="S196" i="3"/>
  <c r="S197" i="3"/>
  <c r="S204" i="3"/>
  <c r="S203" i="3"/>
  <c r="S195" i="3"/>
  <c r="S201" i="3"/>
  <c r="S200" i="3"/>
  <c r="S199" i="3"/>
  <c r="S185" i="3"/>
  <c r="S202" i="3"/>
  <c r="S187" i="3"/>
  <c r="S191" i="3"/>
  <c r="S190" i="3"/>
  <c r="S193" i="3"/>
  <c r="S198" i="3"/>
  <c r="S186" i="3"/>
  <c r="S189" i="3"/>
  <c r="S188" i="3"/>
  <c r="S205" i="3"/>
  <c r="S206" i="3"/>
  <c r="S192" i="3"/>
  <c r="Z95" i="3"/>
  <c r="Z94" i="3"/>
  <c r="Z83" i="3"/>
  <c r="Z79" i="3"/>
  <c r="Z91" i="3"/>
  <c r="Z85" i="3"/>
  <c r="Z84" i="3"/>
  <c r="Z82" i="3"/>
  <c r="Z81" i="3"/>
  <c r="Z86" i="3"/>
  <c r="Z87" i="3"/>
  <c r="Z89" i="3"/>
  <c r="Z80" i="3"/>
  <c r="Z90" i="3"/>
  <c r="Z92" i="3"/>
  <c r="Z98" i="3"/>
  <c r="Z96" i="3"/>
  <c r="Z78" i="3"/>
  <c r="Z97" i="3"/>
  <c r="K89" i="3"/>
  <c r="Z88" i="3"/>
  <c r="Z93" i="3"/>
  <c r="B277" i="3"/>
  <c r="B38" i="3"/>
  <c r="G279" i="3"/>
  <c r="G278" i="3" s="1"/>
  <c r="G277" i="3" s="1"/>
  <c r="G276" i="3" s="1"/>
  <c r="G275" i="3" s="1"/>
  <c r="G274" i="3" s="1"/>
  <c r="G273" i="3" s="1"/>
  <c r="G272" i="3" s="1"/>
  <c r="G271" i="3" s="1"/>
  <c r="G270" i="3" s="1"/>
  <c r="B279" i="3" s="1"/>
  <c r="B69" i="4"/>
  <c r="S336" i="3"/>
  <c r="S334" i="3"/>
  <c r="S319" i="3"/>
  <c r="S323" i="3"/>
  <c r="S332" i="3"/>
  <c r="S324" i="3"/>
  <c r="S321" i="3"/>
  <c r="S338" i="3"/>
  <c r="S329" i="3"/>
  <c r="S339" i="3"/>
  <c r="S328" i="3"/>
  <c r="S320" i="3"/>
  <c r="S337" i="3"/>
  <c r="S326" i="3"/>
  <c r="S331" i="3"/>
  <c r="S333" i="3"/>
  <c r="S330" i="3"/>
  <c r="S327" i="3"/>
  <c r="S340" i="3"/>
  <c r="S322" i="3"/>
  <c r="S318" i="3"/>
  <c r="S325" i="3"/>
  <c r="S335" i="3"/>
  <c r="S317" i="3"/>
  <c r="B226" i="6" l="1"/>
  <c r="B128" i="6"/>
  <c r="B127" i="6"/>
  <c r="B132" i="6"/>
  <c r="B230" i="6"/>
  <c r="B77" i="6"/>
  <c r="B231" i="6"/>
  <c r="K88" i="3"/>
  <c r="K87" i="3" s="1"/>
  <c r="K86" i="3" s="1"/>
  <c r="K85" i="3" s="1"/>
  <c r="K84" i="3" s="1"/>
  <c r="B99" i="3" s="1"/>
  <c r="B228" i="6" s="1"/>
  <c r="G88" i="3"/>
  <c r="G87" i="3" s="1"/>
  <c r="G86" i="3" s="1"/>
  <c r="G85" i="3" s="1"/>
  <c r="G84" i="3" s="1"/>
  <c r="G83" i="3" s="1"/>
  <c r="G82" i="3" s="1"/>
  <c r="G81" i="3" s="1"/>
  <c r="G80" i="3" s="1"/>
  <c r="B95" i="3" s="1"/>
  <c r="L88" i="3"/>
  <c r="L87" i="3" s="1"/>
  <c r="L86" i="3" s="1"/>
  <c r="L85" i="3" s="1"/>
  <c r="L84" i="3" s="1"/>
  <c r="L83" i="3" s="1"/>
  <c r="L82" i="3" s="1"/>
  <c r="L81" i="3" s="1"/>
  <c r="L80" i="3" s="1"/>
  <c r="L79" i="3" s="1"/>
  <c r="B100" i="3" s="1"/>
  <c r="I217" i="6"/>
  <c r="I225" i="6"/>
  <c r="I233" i="6"/>
  <c r="I241" i="6"/>
  <c r="I230" i="6"/>
  <c r="I223" i="6"/>
  <c r="I216" i="6"/>
  <c r="I218" i="6"/>
  <c r="I226" i="6"/>
  <c r="I234" i="6"/>
  <c r="I242" i="6"/>
  <c r="I215" i="6"/>
  <c r="I224" i="6"/>
  <c r="I219" i="6"/>
  <c r="I227" i="6"/>
  <c r="I235" i="6"/>
  <c r="I243" i="6"/>
  <c r="I231" i="6"/>
  <c r="I220" i="6"/>
  <c r="I228" i="6"/>
  <c r="I236" i="6"/>
  <c r="I244" i="6"/>
  <c r="I238" i="6"/>
  <c r="I239" i="6"/>
  <c r="I240" i="6"/>
  <c r="I221" i="6"/>
  <c r="I229" i="6"/>
  <c r="I237" i="6"/>
  <c r="I214" i="6"/>
  <c r="I222" i="6"/>
  <c r="I232" i="6"/>
  <c r="I140" i="7"/>
  <c r="I136" i="7"/>
  <c r="I135" i="7"/>
  <c r="I137" i="7"/>
  <c r="I138" i="7"/>
  <c r="I142" i="7"/>
  <c r="I139" i="7"/>
  <c r="I134" i="7"/>
  <c r="I141" i="7"/>
  <c r="Q299" i="3"/>
  <c r="Q308" i="3"/>
  <c r="Q300" i="3"/>
  <c r="Q307" i="3"/>
  <c r="Q311" i="3"/>
  <c r="Q296" i="3"/>
  <c r="B100" i="4"/>
  <c r="B326" i="6" s="1"/>
  <c r="Q293" i="3"/>
  <c r="Q303" i="3"/>
  <c r="Q301" i="3"/>
  <c r="Q309" i="3"/>
  <c r="Q302" i="3"/>
  <c r="Q305" i="3"/>
  <c r="Q298" i="3"/>
  <c r="B182" i="6"/>
  <c r="B325" i="6"/>
  <c r="O6" i="5"/>
  <c r="B186" i="6"/>
  <c r="Q294" i="3"/>
  <c r="W5" i="5"/>
  <c r="B73" i="5"/>
  <c r="B343" i="6" s="1"/>
  <c r="Q312" i="3"/>
  <c r="Q304" i="3"/>
  <c r="Q310" i="3"/>
  <c r="Q292" i="3"/>
  <c r="Q306" i="3"/>
  <c r="Q297" i="3"/>
  <c r="B311" i="3"/>
  <c r="B101" i="4" s="1"/>
  <c r="B331" i="6" s="1"/>
  <c r="B70" i="4"/>
  <c r="AH123" i="3"/>
  <c r="AH87" i="3"/>
  <c r="B278" i="3"/>
  <c r="S40" i="5" s="1"/>
  <c r="AH112" i="3"/>
  <c r="AH83" i="3"/>
  <c r="AH96" i="3"/>
  <c r="AH116" i="3"/>
  <c r="AH98" i="3"/>
  <c r="AH86" i="3"/>
  <c r="AH85" i="3"/>
  <c r="AH99" i="3"/>
  <c r="AH121" i="3"/>
  <c r="AH84" i="3"/>
  <c r="AH106" i="3"/>
  <c r="AH89" i="3"/>
  <c r="B58" i="4"/>
  <c r="Z26" i="3"/>
  <c r="Z27" i="3"/>
  <c r="Z29" i="3"/>
  <c r="Z40" i="3"/>
  <c r="Z30" i="3"/>
  <c r="Z35" i="3"/>
  <c r="Z44" i="3"/>
  <c r="Z42" i="3"/>
  <c r="Z31" i="3"/>
  <c r="Z41" i="3"/>
  <c r="Z32" i="3"/>
  <c r="Z38" i="3"/>
  <c r="Z34" i="3"/>
  <c r="Z37" i="3"/>
  <c r="Z45" i="3"/>
  <c r="K36" i="3"/>
  <c r="K35" i="3" s="1"/>
  <c r="K34" i="3" s="1"/>
  <c r="K33" i="3" s="1"/>
  <c r="K32" i="3" s="1"/>
  <c r="K31" i="3" s="1"/>
  <c r="B46" i="3" s="1"/>
  <c r="Z25" i="3"/>
  <c r="Z28" i="3"/>
  <c r="Z36" i="3"/>
  <c r="Z33" i="3"/>
  <c r="Z43" i="3"/>
  <c r="Z39" i="3"/>
  <c r="B172" i="3"/>
  <c r="G169" i="3"/>
  <c r="G168" i="3" s="1"/>
  <c r="G167" i="3" s="1"/>
  <c r="G166" i="3" s="1"/>
  <c r="G165" i="3" s="1"/>
  <c r="G164" i="3" s="1"/>
  <c r="G163" i="3" s="1"/>
  <c r="G162" i="3" s="1"/>
  <c r="G161" i="3" s="1"/>
  <c r="G160" i="3" s="1"/>
  <c r="B173" i="3" s="1"/>
  <c r="G16" i="3"/>
  <c r="G15" i="3" s="1"/>
  <c r="G14" i="3" s="1"/>
  <c r="G13" i="3" s="1"/>
  <c r="G12" i="3" s="1"/>
  <c r="G11" i="3" s="1"/>
  <c r="G10" i="3" s="1"/>
  <c r="G9" i="3" s="1"/>
  <c r="G8" i="3" s="1"/>
  <c r="G7" i="3" s="1"/>
  <c r="B16" i="3" s="1"/>
  <c r="B21" i="3" s="1"/>
  <c r="B8" i="4" s="1"/>
  <c r="B15" i="3"/>
  <c r="AH109" i="3"/>
  <c r="AH100" i="3"/>
  <c r="AH122" i="3"/>
  <c r="AH97" i="3"/>
  <c r="AH95" i="3"/>
  <c r="S61" i="3"/>
  <c r="S71" i="3"/>
  <c r="AH72" i="3" s="1"/>
  <c r="G36" i="3"/>
  <c r="G35" i="3" s="1"/>
  <c r="G34" i="3" s="1"/>
  <c r="G33" i="3" s="1"/>
  <c r="G32" i="3" s="1"/>
  <c r="G31" i="3" s="1"/>
  <c r="G30" i="3" s="1"/>
  <c r="G29" i="3" s="1"/>
  <c r="G28" i="3" s="1"/>
  <c r="G27" i="3" s="1"/>
  <c r="B42" i="3" s="1"/>
  <c r="S42" i="3"/>
  <c r="S62" i="3"/>
  <c r="S37" i="3"/>
  <c r="AH38" i="3" s="1"/>
  <c r="S63" i="3"/>
  <c r="AH64" i="3" s="1"/>
  <c r="S60" i="3"/>
  <c r="AH62" i="3" s="1"/>
  <c r="S72" i="3"/>
  <c r="AH73" i="3" s="1"/>
  <c r="S32" i="3"/>
  <c r="S43" i="3"/>
  <c r="S34" i="3"/>
  <c r="AH35" i="3" s="1"/>
  <c r="S70" i="3"/>
  <c r="AH71" i="3" s="1"/>
  <c r="S67" i="3"/>
  <c r="S35" i="3"/>
  <c r="S46" i="3"/>
  <c r="S52" i="3"/>
  <c r="S41" i="3"/>
  <c r="S38" i="3"/>
  <c r="AH39" i="3" s="1"/>
  <c r="S56" i="3"/>
  <c r="AH58" i="3" s="1"/>
  <c r="S69" i="3"/>
  <c r="S28" i="3"/>
  <c r="AH29" i="3" s="1"/>
  <c r="S47" i="3"/>
  <c r="AH48" i="3" s="1"/>
  <c r="S33" i="3"/>
  <c r="S68" i="3"/>
  <c r="S45" i="3"/>
  <c r="S30" i="3"/>
  <c r="S25" i="3"/>
  <c r="AH25" i="3" s="1"/>
  <c r="S29" i="3"/>
  <c r="S44" i="3"/>
  <c r="S53" i="3"/>
  <c r="AH54" i="3" s="1"/>
  <c r="S27" i="3"/>
  <c r="AH27" i="3" s="1"/>
  <c r="S48" i="3"/>
  <c r="AH49" i="3" s="1"/>
  <c r="S58" i="3"/>
  <c r="AH60" i="3" s="1"/>
  <c r="S57" i="3"/>
  <c r="S54" i="3"/>
  <c r="S64" i="3"/>
  <c r="AH65" i="3" s="1"/>
  <c r="S59" i="3"/>
  <c r="AH61" i="3" s="1"/>
  <c r="B41" i="3"/>
  <c r="S39" i="3"/>
  <c r="AH40" i="3" s="1"/>
  <c r="S51" i="3"/>
  <c r="AH52" i="3" s="1"/>
  <c r="S49" i="3"/>
  <c r="AH50" i="3" s="1"/>
  <c r="S50" i="3"/>
  <c r="AH51" i="3" s="1"/>
  <c r="S65" i="3"/>
  <c r="AH66" i="3" s="1"/>
  <c r="S40" i="3"/>
  <c r="AH41" i="3" s="1"/>
  <c r="S36" i="3"/>
  <c r="AH37" i="3" s="1"/>
  <c r="S31" i="3"/>
  <c r="S55" i="3"/>
  <c r="S26" i="3"/>
  <c r="AH26" i="3" s="1"/>
  <c r="S66" i="3"/>
  <c r="AH67" i="3" s="1"/>
  <c r="B59" i="4"/>
  <c r="AA34" i="3"/>
  <c r="AA38" i="3"/>
  <c r="AA42" i="3"/>
  <c r="L36" i="3"/>
  <c r="L35" i="3" s="1"/>
  <c r="L34" i="3" s="1"/>
  <c r="L33" i="3" s="1"/>
  <c r="L32" i="3" s="1"/>
  <c r="L31" i="3" s="1"/>
  <c r="L30" i="3" s="1"/>
  <c r="L29" i="3" s="1"/>
  <c r="L28" i="3" s="1"/>
  <c r="L27" i="3" s="1"/>
  <c r="L26" i="3" s="1"/>
  <c r="B47" i="3" s="1"/>
  <c r="AA32" i="3"/>
  <c r="AA44" i="3"/>
  <c r="AA31" i="3"/>
  <c r="AA40" i="3"/>
  <c r="AA45" i="3"/>
  <c r="AA35" i="3"/>
  <c r="AA27" i="3"/>
  <c r="AA39" i="3"/>
  <c r="AA26" i="3"/>
  <c r="AA43" i="3"/>
  <c r="AA29" i="3"/>
  <c r="AA25" i="3"/>
  <c r="AA28" i="3"/>
  <c r="AA30" i="3"/>
  <c r="AA37" i="3"/>
  <c r="AA36" i="3"/>
  <c r="AA33" i="3"/>
  <c r="AA41" i="3"/>
  <c r="K279" i="3"/>
  <c r="K278" i="3" s="1"/>
  <c r="K277" i="3" s="1"/>
  <c r="K276" i="3" s="1"/>
  <c r="K275" i="3" s="1"/>
  <c r="K274" i="3" s="1"/>
  <c r="K273" i="3" s="1"/>
  <c r="K272" i="3" s="1"/>
  <c r="K271" i="3" s="1"/>
  <c r="K270" i="3" s="1"/>
  <c r="K269" i="3" s="1"/>
  <c r="B283" i="3" s="1"/>
  <c r="AH110" i="3"/>
  <c r="AH108" i="3"/>
  <c r="B199" i="7" l="1"/>
  <c r="S160" i="3"/>
  <c r="S161" i="3"/>
  <c r="S162" i="3"/>
  <c r="S164" i="3"/>
  <c r="S159" i="3"/>
  <c r="S165" i="3"/>
  <c r="S158" i="3"/>
  <c r="S163" i="3"/>
  <c r="B291" i="6"/>
  <c r="V7" i="3"/>
  <c r="B7" i="4"/>
  <c r="B19" i="5" s="1"/>
  <c r="B131" i="6"/>
  <c r="B229" i="6"/>
  <c r="B76" i="6"/>
  <c r="B130" i="6"/>
  <c r="I114" i="4"/>
  <c r="I113" i="4"/>
  <c r="B227" i="6"/>
  <c r="B75" i="6"/>
  <c r="B125" i="6"/>
  <c r="B103" i="3"/>
  <c r="B74" i="5" s="1"/>
  <c r="B346" i="6" s="1"/>
  <c r="AH127" i="3"/>
  <c r="AI123" i="3" s="1"/>
  <c r="I101" i="4"/>
  <c r="I105" i="4"/>
  <c r="I109" i="4"/>
  <c r="I103" i="4"/>
  <c r="I115" i="4"/>
  <c r="I99" i="4"/>
  <c r="I112" i="4"/>
  <c r="W40" i="5"/>
  <c r="B183" i="6"/>
  <c r="I117" i="4"/>
  <c r="I108" i="4"/>
  <c r="I110" i="4"/>
  <c r="B196" i="6"/>
  <c r="B345" i="6"/>
  <c r="I104" i="4"/>
  <c r="I102" i="4"/>
  <c r="I100" i="4"/>
  <c r="B264" i="6"/>
  <c r="I107" i="4"/>
  <c r="I111" i="4"/>
  <c r="I106" i="4"/>
  <c r="I116" i="4"/>
  <c r="K5" i="5"/>
  <c r="B188" i="6"/>
  <c r="B267" i="6"/>
  <c r="B86" i="6"/>
  <c r="I85" i="6" s="1"/>
  <c r="B265" i="6"/>
  <c r="B306" i="6"/>
  <c r="P281" i="3"/>
  <c r="B124" i="6"/>
  <c r="B167" i="6"/>
  <c r="B55" i="8" s="1"/>
  <c r="P274" i="3"/>
  <c r="P283" i="3"/>
  <c r="B8" i="6"/>
  <c r="B9" i="6" s="1"/>
  <c r="B27" i="6"/>
  <c r="I80" i="5"/>
  <c r="I74" i="5"/>
  <c r="I82" i="5"/>
  <c r="I77" i="5"/>
  <c r="I72" i="5"/>
  <c r="I75" i="5"/>
  <c r="I83" i="5"/>
  <c r="I73" i="5"/>
  <c r="I81" i="5"/>
  <c r="I76" i="5"/>
  <c r="I84" i="5"/>
  <c r="I78" i="5"/>
  <c r="I79" i="5"/>
  <c r="B73" i="6"/>
  <c r="B74" i="6" s="1"/>
  <c r="B18" i="8" s="1"/>
  <c r="B64" i="5"/>
  <c r="B250" i="6" s="1"/>
  <c r="B66" i="8" s="1"/>
  <c r="S5" i="5"/>
  <c r="K40" i="5"/>
  <c r="B20" i="5"/>
  <c r="B30" i="6" s="1"/>
  <c r="G41" i="5"/>
  <c r="P279" i="3"/>
  <c r="G5" i="5"/>
  <c r="P271" i="3"/>
  <c r="P282" i="3"/>
  <c r="W41" i="5"/>
  <c r="K6" i="5"/>
  <c r="P268" i="3"/>
  <c r="P280" i="3"/>
  <c r="P269" i="3"/>
  <c r="P287" i="3"/>
  <c r="P277" i="3"/>
  <c r="B68" i="4"/>
  <c r="P272" i="3"/>
  <c r="B67" i="4"/>
  <c r="P286" i="3"/>
  <c r="AH31" i="3"/>
  <c r="AH44" i="3"/>
  <c r="P278" i="3"/>
  <c r="AH33" i="3"/>
  <c r="P273" i="3"/>
  <c r="P270" i="3"/>
  <c r="AH59" i="3"/>
  <c r="P275" i="3"/>
  <c r="P276" i="3"/>
  <c r="AH45" i="3"/>
  <c r="P284" i="3"/>
  <c r="P285" i="3"/>
  <c r="AH46" i="3"/>
  <c r="AH53" i="3"/>
  <c r="B50" i="3"/>
  <c r="B63" i="4"/>
  <c r="B26" i="6"/>
  <c r="B181" i="3"/>
  <c r="B85" i="4"/>
  <c r="B93" i="4" s="1"/>
  <c r="B31" i="6" s="1"/>
  <c r="AH56" i="3"/>
  <c r="AH34" i="3"/>
  <c r="AH47" i="3"/>
  <c r="B62" i="4"/>
  <c r="B95" i="6" s="1"/>
  <c r="B96" i="6" s="1"/>
  <c r="B87" i="7" s="1"/>
  <c r="B30" i="8" s="1"/>
  <c r="AH63" i="3"/>
  <c r="AH32" i="3"/>
  <c r="AH36" i="3"/>
  <c r="AH68" i="3"/>
  <c r="AH42" i="3"/>
  <c r="AH69" i="3"/>
  <c r="AH30" i="3"/>
  <c r="AH70" i="3"/>
  <c r="AH57" i="3"/>
  <c r="B342" i="6"/>
  <c r="B344" i="6" s="1"/>
  <c r="B240" i="7" s="1"/>
  <c r="B102" i="8" s="1"/>
  <c r="V10" i="3"/>
  <c r="V8" i="3"/>
  <c r="V11" i="3"/>
  <c r="V17" i="3"/>
  <c r="V9" i="3"/>
  <c r="V12" i="3"/>
  <c r="V15" i="3"/>
  <c r="V18" i="3"/>
  <c r="V13" i="3"/>
  <c r="V16" i="3"/>
  <c r="V14" i="3"/>
  <c r="AH55" i="3"/>
  <c r="AH43" i="3"/>
  <c r="B284" i="3"/>
  <c r="W6" i="5" l="1"/>
  <c r="B202" i="7"/>
  <c r="B294" i="6"/>
  <c r="B232" i="6"/>
  <c r="B233" i="6" s="1"/>
  <c r="B330" i="6"/>
  <c r="B187" i="6"/>
  <c r="AI86" i="3"/>
  <c r="AI89" i="3"/>
  <c r="AI97" i="3"/>
  <c r="AI110" i="3"/>
  <c r="AI108" i="3"/>
  <c r="AI96" i="3"/>
  <c r="AI112" i="3"/>
  <c r="AI116" i="3"/>
  <c r="AI83" i="3"/>
  <c r="AI121" i="3"/>
  <c r="AI81" i="3"/>
  <c r="AI78" i="3"/>
  <c r="AI105" i="3"/>
  <c r="AI90" i="3"/>
  <c r="AI79" i="3"/>
  <c r="AI104" i="3"/>
  <c r="AI88" i="3"/>
  <c r="AI115" i="3"/>
  <c r="AI82" i="3"/>
  <c r="AI125" i="3"/>
  <c r="AI107" i="3"/>
  <c r="AI113" i="3"/>
  <c r="AI126" i="3"/>
  <c r="AI124" i="3"/>
  <c r="AI120" i="3"/>
  <c r="AI91" i="3"/>
  <c r="AI118" i="3"/>
  <c r="AI101" i="3"/>
  <c r="AI94" i="3"/>
  <c r="AI117" i="3"/>
  <c r="AI111" i="3"/>
  <c r="AI102" i="3"/>
  <c r="AI93" i="3"/>
  <c r="AI92" i="3"/>
  <c r="AI103" i="3"/>
  <c r="AI80" i="3"/>
  <c r="AI114" i="3"/>
  <c r="AI119" i="3"/>
  <c r="AI122" i="3"/>
  <c r="AI109" i="3"/>
  <c r="AI84" i="3"/>
  <c r="AI98" i="3"/>
  <c r="AI106" i="3"/>
  <c r="AI85" i="3"/>
  <c r="AI99" i="3"/>
  <c r="AI87" i="3"/>
  <c r="AI95" i="3"/>
  <c r="AI100" i="3"/>
  <c r="AH74" i="3"/>
  <c r="AI28" i="3" s="1"/>
  <c r="B266" i="6"/>
  <c r="B72" i="8" s="1"/>
  <c r="B177" i="7"/>
  <c r="I191" i="7" s="1"/>
  <c r="B90" i="8"/>
  <c r="B77" i="7"/>
  <c r="I76" i="7" s="1"/>
  <c r="B24" i="8"/>
  <c r="I87" i="6"/>
  <c r="I86" i="6"/>
  <c r="I246" i="7"/>
  <c r="I241" i="7"/>
  <c r="I240" i="7"/>
  <c r="I247" i="7"/>
  <c r="I239" i="7"/>
  <c r="I242" i="7"/>
  <c r="I244" i="7"/>
  <c r="I243" i="7"/>
  <c r="I245" i="7"/>
  <c r="B347" i="6"/>
  <c r="B241" i="7" s="1"/>
  <c r="B103" i="8" s="1"/>
  <c r="B6" i="7"/>
  <c r="B6" i="8" s="1"/>
  <c r="I88" i="7"/>
  <c r="I86" i="7"/>
  <c r="I90" i="7"/>
  <c r="I89" i="7"/>
  <c r="I92" i="7"/>
  <c r="I91" i="7"/>
  <c r="I87" i="7"/>
  <c r="I93" i="7"/>
  <c r="I348" i="6"/>
  <c r="I341" i="6"/>
  <c r="I340" i="6"/>
  <c r="I342" i="6"/>
  <c r="I343" i="6"/>
  <c r="I346" i="6"/>
  <c r="I344" i="6"/>
  <c r="I345" i="6"/>
  <c r="I347" i="6"/>
  <c r="I306" i="6"/>
  <c r="I314" i="6"/>
  <c r="I307" i="6"/>
  <c r="I315" i="6"/>
  <c r="I311" i="6"/>
  <c r="I308" i="6"/>
  <c r="I305" i="6"/>
  <c r="I309" i="6"/>
  <c r="I310" i="6"/>
  <c r="I312" i="6"/>
  <c r="I313" i="6"/>
  <c r="B166" i="6"/>
  <c r="B195" i="6"/>
  <c r="I257" i="6"/>
  <c r="I250" i="6"/>
  <c r="I249" i="6"/>
  <c r="I251" i="6"/>
  <c r="I252" i="6"/>
  <c r="I254" i="6"/>
  <c r="I256" i="6"/>
  <c r="I253" i="6"/>
  <c r="I255" i="6"/>
  <c r="B87" i="6"/>
  <c r="B268" i="6"/>
  <c r="B269" i="6" s="1"/>
  <c r="B73" i="8" s="1"/>
  <c r="B307" i="6"/>
  <c r="G40" i="5"/>
  <c r="B113" i="6"/>
  <c r="I94" i="6"/>
  <c r="I92" i="6"/>
  <c r="I95" i="6"/>
  <c r="I93" i="6"/>
  <c r="B32" i="6"/>
  <c r="B11" i="6"/>
  <c r="B12" i="6" s="1"/>
  <c r="I67" i="6"/>
  <c r="I75" i="6"/>
  <c r="I68" i="6"/>
  <c r="I76" i="6"/>
  <c r="I69" i="6"/>
  <c r="I77" i="6"/>
  <c r="I70" i="6"/>
  <c r="I78" i="6"/>
  <c r="I71" i="6"/>
  <c r="I79" i="6"/>
  <c r="I80" i="6"/>
  <c r="I73" i="6"/>
  <c r="I66" i="6"/>
  <c r="I72" i="6"/>
  <c r="I74" i="6"/>
  <c r="B78" i="6"/>
  <c r="B79" i="6" s="1"/>
  <c r="B19" i="8" s="1"/>
  <c r="B65" i="5"/>
  <c r="B251" i="6" s="1"/>
  <c r="B67" i="8" s="1"/>
  <c r="G6" i="5"/>
  <c r="S41" i="5"/>
  <c r="AA5" i="5"/>
  <c r="B157" i="6" s="1"/>
  <c r="B158" i="6" s="1"/>
  <c r="B48" i="8" s="1"/>
  <c r="I63" i="5"/>
  <c r="I64" i="5"/>
  <c r="I65" i="5"/>
  <c r="I66" i="5"/>
  <c r="I67" i="5"/>
  <c r="I12" i="6"/>
  <c r="I8" i="6"/>
  <c r="I11" i="6"/>
  <c r="I9" i="6"/>
  <c r="I10" i="6"/>
  <c r="I15" i="6"/>
  <c r="I6" i="6"/>
  <c r="I13" i="6"/>
  <c r="I16" i="6"/>
  <c r="I7" i="6"/>
  <c r="I5" i="6"/>
  <c r="I14" i="6"/>
  <c r="S6" i="5"/>
  <c r="K41" i="5"/>
  <c r="B71" i="4"/>
  <c r="B98" i="6" s="1"/>
  <c r="B99" i="6" s="1"/>
  <c r="B88" i="7" s="1"/>
  <c r="B31" i="8" s="1"/>
  <c r="I52" i="4"/>
  <c r="I48" i="4"/>
  <c r="I55" i="4"/>
  <c r="I56" i="4"/>
  <c r="I51" i="4"/>
  <c r="I50" i="4"/>
  <c r="I57" i="4"/>
  <c r="I46" i="4"/>
  <c r="I59" i="4"/>
  <c r="I58" i="4"/>
  <c r="I60" i="4"/>
  <c r="I49" i="4"/>
  <c r="I54" i="4"/>
  <c r="I53" i="4"/>
  <c r="I61" i="4"/>
  <c r="I62" i="4"/>
  <c r="I47" i="4"/>
  <c r="B25" i="6"/>
  <c r="R8" i="4"/>
  <c r="R15" i="4"/>
  <c r="R14" i="4"/>
  <c r="R9" i="4"/>
  <c r="R11" i="4"/>
  <c r="R16" i="4"/>
  <c r="R12" i="4"/>
  <c r="R13" i="4"/>
  <c r="R17" i="4"/>
  <c r="R7" i="4"/>
  <c r="R10" i="4"/>
  <c r="I80" i="4"/>
  <c r="I81" i="4"/>
  <c r="I75" i="4"/>
  <c r="I86" i="4"/>
  <c r="I83" i="4"/>
  <c r="I77" i="4"/>
  <c r="I88" i="4"/>
  <c r="I94" i="4"/>
  <c r="I91" i="4"/>
  <c r="I85" i="4"/>
  <c r="I82" i="4"/>
  <c r="I89" i="4"/>
  <c r="I93" i="4"/>
  <c r="I84" i="4"/>
  <c r="I92" i="4"/>
  <c r="I87" i="4"/>
  <c r="I76" i="4"/>
  <c r="I79" i="4"/>
  <c r="I78" i="4"/>
  <c r="I90" i="4"/>
  <c r="AI41" i="5" l="1"/>
  <c r="B295" i="6" s="1"/>
  <c r="B296" i="6" s="1"/>
  <c r="B85" i="8" s="1"/>
  <c r="AI65" i="3"/>
  <c r="AI68" i="3"/>
  <c r="AI73" i="3"/>
  <c r="AI63" i="3"/>
  <c r="AI54" i="3"/>
  <c r="AI30" i="3"/>
  <c r="AI72" i="3"/>
  <c r="AI36" i="3"/>
  <c r="AI52" i="3"/>
  <c r="AI47" i="3"/>
  <c r="AI62" i="3"/>
  <c r="AI46" i="3"/>
  <c r="AI50" i="3"/>
  <c r="AI44" i="3"/>
  <c r="AI69" i="3"/>
  <c r="AI64" i="3"/>
  <c r="AI70" i="3"/>
  <c r="AI31" i="3"/>
  <c r="AI37" i="3"/>
  <c r="AI40" i="5"/>
  <c r="AO43" i="5" s="1"/>
  <c r="AI67" i="3"/>
  <c r="AI45" i="3"/>
  <c r="AI34" i="3"/>
  <c r="AI60" i="3"/>
  <c r="AI56" i="3"/>
  <c r="AI27" i="3"/>
  <c r="AI41" i="3"/>
  <c r="AI32" i="3"/>
  <c r="AI39" i="3"/>
  <c r="AI26" i="3"/>
  <c r="AI57" i="3"/>
  <c r="AI59" i="3"/>
  <c r="AI49" i="3"/>
  <c r="AI40" i="3"/>
  <c r="AI33" i="3"/>
  <c r="AI42" i="3"/>
  <c r="AI38" i="3"/>
  <c r="AI61" i="3"/>
  <c r="AI43" i="3"/>
  <c r="AI53" i="3"/>
  <c r="AI66" i="3"/>
  <c r="AI58" i="3"/>
  <c r="AI51" i="3"/>
  <c r="AI55" i="3"/>
  <c r="AI48" i="3"/>
  <c r="AI29" i="3"/>
  <c r="AI71" i="3"/>
  <c r="I272" i="6"/>
  <c r="I262" i="6"/>
  <c r="I267" i="6"/>
  <c r="AI25" i="3"/>
  <c r="AI35" i="3"/>
  <c r="I264" i="6"/>
  <c r="I274" i="6"/>
  <c r="I271" i="6"/>
  <c r="I266" i="6"/>
  <c r="I263" i="6"/>
  <c r="I273" i="6"/>
  <c r="I269" i="6"/>
  <c r="I265" i="6"/>
  <c r="I268" i="6"/>
  <c r="I270" i="6"/>
  <c r="I178" i="7"/>
  <c r="I186" i="7"/>
  <c r="I179" i="7"/>
  <c r="I188" i="7"/>
  <c r="I183" i="7"/>
  <c r="I189" i="7"/>
  <c r="I187" i="7"/>
  <c r="I180" i="7"/>
  <c r="I177" i="7"/>
  <c r="I190" i="7"/>
  <c r="I77" i="7"/>
  <c r="I195" i="6"/>
  <c r="I203" i="6"/>
  <c r="I194" i="6"/>
  <c r="I201" i="6"/>
  <c r="I196" i="6"/>
  <c r="I204" i="6"/>
  <c r="I197" i="6"/>
  <c r="I205" i="6"/>
  <c r="I202" i="6"/>
  <c r="I198" i="6"/>
  <c r="I206" i="6"/>
  <c r="I208" i="6"/>
  <c r="I199" i="6"/>
  <c r="I207" i="6"/>
  <c r="I200" i="6"/>
  <c r="I209" i="6"/>
  <c r="I78" i="7"/>
  <c r="I81" i="7"/>
  <c r="I182" i="7"/>
  <c r="I176" i="7"/>
  <c r="I181" i="7"/>
  <c r="I185" i="7"/>
  <c r="I184" i="7"/>
  <c r="I80" i="7"/>
  <c r="I79" i="7"/>
  <c r="B178" i="7"/>
  <c r="B91" i="8"/>
  <c r="I170" i="6"/>
  <c r="B54" i="8"/>
  <c r="B78" i="7"/>
  <c r="B25" i="8"/>
  <c r="I169" i="6"/>
  <c r="I168" i="6"/>
  <c r="I172" i="6"/>
  <c r="B7" i="7"/>
  <c r="B7" i="8" s="1"/>
  <c r="I165" i="6"/>
  <c r="I9" i="7"/>
  <c r="I6" i="7"/>
  <c r="I13" i="7"/>
  <c r="I8" i="7"/>
  <c r="I15" i="7"/>
  <c r="I7" i="7"/>
  <c r="I11" i="7"/>
  <c r="I12" i="7"/>
  <c r="I5" i="7"/>
  <c r="I14" i="7"/>
  <c r="I10" i="7"/>
  <c r="AA6" i="5"/>
  <c r="B133" i="6" s="1"/>
  <c r="B134" i="6" s="1"/>
  <c r="I171" i="6"/>
  <c r="I166" i="6"/>
  <c r="I167" i="6"/>
  <c r="I157" i="6"/>
  <c r="I154" i="6"/>
  <c r="I155" i="6"/>
  <c r="I156" i="6"/>
  <c r="AG8" i="5"/>
  <c r="B122" i="6"/>
  <c r="B123" i="6" s="1"/>
  <c r="AG11" i="5"/>
  <c r="AG13" i="5"/>
  <c r="AG12" i="5"/>
  <c r="AG7" i="5"/>
  <c r="AG10" i="5"/>
  <c r="AG9" i="5"/>
  <c r="I25" i="5"/>
  <c r="I32" i="5"/>
  <c r="I27" i="5"/>
  <c r="I22" i="5"/>
  <c r="I21" i="5"/>
  <c r="I33" i="5"/>
  <c r="I24" i="5"/>
  <c r="I19" i="5"/>
  <c r="I28" i="5"/>
  <c r="I29" i="5"/>
  <c r="I34" i="5"/>
  <c r="I26" i="5"/>
  <c r="I18" i="5"/>
  <c r="I23" i="5"/>
  <c r="I30" i="5"/>
  <c r="I20" i="5"/>
  <c r="I31" i="5"/>
  <c r="I35" i="5"/>
  <c r="B189" i="6" l="1"/>
  <c r="B190" i="6" s="1"/>
  <c r="B159" i="7" s="1"/>
  <c r="B333" i="6"/>
  <c r="B334" i="6" s="1"/>
  <c r="B201" i="7" s="1"/>
  <c r="B203" i="7" s="1"/>
  <c r="B97" i="8" s="1"/>
  <c r="AO52" i="5"/>
  <c r="AO54" i="5"/>
  <c r="AO53" i="5"/>
  <c r="AO48" i="5"/>
  <c r="AO55" i="5"/>
  <c r="B184" i="6"/>
  <c r="B185" i="6" s="1"/>
  <c r="B292" i="6"/>
  <c r="B293" i="6" s="1"/>
  <c r="B328" i="6"/>
  <c r="B329" i="6" s="1"/>
  <c r="AO57" i="5"/>
  <c r="AO47" i="5"/>
  <c r="AO40" i="5"/>
  <c r="AO56" i="5"/>
  <c r="AO44" i="5"/>
  <c r="AO58" i="5"/>
  <c r="B280" i="6"/>
  <c r="B78" i="8" s="1"/>
  <c r="B217" i="7"/>
  <c r="AO41" i="5"/>
  <c r="AO42" i="5"/>
  <c r="AO50" i="5"/>
  <c r="AO46" i="5"/>
  <c r="B24" i="6"/>
  <c r="B28" i="6" s="1"/>
  <c r="I35" i="6" s="1"/>
  <c r="AO51" i="5"/>
  <c r="AO45" i="5"/>
  <c r="AO49" i="5"/>
  <c r="B117" i="7"/>
  <c r="B100" i="7"/>
  <c r="B37" i="8" s="1"/>
  <c r="B99" i="7"/>
  <c r="B116" i="7"/>
  <c r="B160" i="6"/>
  <c r="B161" i="6" s="1"/>
  <c r="B49" i="8" s="1"/>
  <c r="B29" i="6"/>
  <c r="B33" i="6" s="1"/>
  <c r="B281" i="6"/>
  <c r="B79" i="8" s="1"/>
  <c r="I115" i="6"/>
  <c r="I106" i="6"/>
  <c r="I108" i="6"/>
  <c r="I111" i="6"/>
  <c r="I104" i="6"/>
  <c r="I112" i="6"/>
  <c r="I107" i="6"/>
  <c r="I105" i="6"/>
  <c r="I103" i="6"/>
  <c r="I110" i="6"/>
  <c r="I113" i="6"/>
  <c r="I114" i="6"/>
  <c r="I109" i="6"/>
  <c r="B149" i="7" l="1"/>
  <c r="B61" i="8" s="1"/>
  <c r="I283" i="6"/>
  <c r="I279" i="6"/>
  <c r="I281" i="6"/>
  <c r="I282" i="6"/>
  <c r="I284" i="6"/>
  <c r="I57" i="6"/>
  <c r="I42" i="6"/>
  <c r="I30" i="6"/>
  <c r="I280" i="6"/>
  <c r="I41" i="6"/>
  <c r="I58" i="6"/>
  <c r="I28" i="6"/>
  <c r="I24" i="6"/>
  <c r="I37" i="6"/>
  <c r="I22" i="6"/>
  <c r="I50" i="6"/>
  <c r="I34" i="6"/>
  <c r="I21" i="6"/>
  <c r="I59" i="6"/>
  <c r="I36" i="6"/>
  <c r="I55" i="6"/>
  <c r="I47" i="6"/>
  <c r="I39" i="6"/>
  <c r="I31" i="6"/>
  <c r="I51" i="6"/>
  <c r="I327" i="6"/>
  <c r="I322" i="6"/>
  <c r="I323" i="6"/>
  <c r="I324" i="6"/>
  <c r="B216" i="7"/>
  <c r="I333" i="6"/>
  <c r="B198" i="7"/>
  <c r="B200" i="7" s="1"/>
  <c r="I326" i="6"/>
  <c r="I328" i="6"/>
  <c r="I325" i="6"/>
  <c r="I331" i="6"/>
  <c r="I330" i="6"/>
  <c r="I321" i="6"/>
  <c r="I334" i="6"/>
  <c r="I332" i="6"/>
  <c r="I329" i="6"/>
  <c r="I27" i="6"/>
  <c r="I29" i="6"/>
  <c r="I25" i="6"/>
  <c r="I56" i="6"/>
  <c r="I48" i="6"/>
  <c r="I32" i="6"/>
  <c r="I54" i="6"/>
  <c r="I40" i="6"/>
  <c r="B21" i="7"/>
  <c r="I34" i="7" s="1"/>
  <c r="I23" i="6"/>
  <c r="I46" i="6"/>
  <c r="I53" i="6"/>
  <c r="I60" i="6"/>
  <c r="I43" i="6"/>
  <c r="I289" i="6"/>
  <c r="I290" i="6"/>
  <c r="I295" i="6"/>
  <c r="I291" i="6"/>
  <c r="I296" i="6"/>
  <c r="I299" i="6"/>
  <c r="I297" i="6"/>
  <c r="I298" i="6"/>
  <c r="I294" i="6"/>
  <c r="I292" i="6"/>
  <c r="I293" i="6"/>
  <c r="B84" i="8"/>
  <c r="I300" i="6"/>
  <c r="I44" i="6"/>
  <c r="I49" i="6"/>
  <c r="I33" i="6"/>
  <c r="I61" i="6"/>
  <c r="B51" i="7"/>
  <c r="I70" i="7" s="1"/>
  <c r="I26" i="6"/>
  <c r="I38" i="6"/>
  <c r="I45" i="6"/>
  <c r="I52" i="6"/>
  <c r="I181" i="6"/>
  <c r="I183" i="6"/>
  <c r="I182" i="6"/>
  <c r="I180" i="6"/>
  <c r="B148" i="7"/>
  <c r="B158" i="7"/>
  <c r="I179" i="6"/>
  <c r="I184" i="6"/>
  <c r="I185" i="6"/>
  <c r="I178" i="6"/>
  <c r="I177" i="6"/>
  <c r="B36" i="8"/>
  <c r="I101" i="7"/>
  <c r="I109" i="7"/>
  <c r="I99" i="7"/>
  <c r="I108" i="7"/>
  <c r="I102" i="7"/>
  <c r="I98" i="7"/>
  <c r="I106" i="7"/>
  <c r="I103" i="7"/>
  <c r="I107" i="7"/>
  <c r="I104" i="7"/>
  <c r="I100" i="7"/>
  <c r="I105" i="7"/>
  <c r="I128" i="7"/>
  <c r="I123" i="7"/>
  <c r="I116" i="7"/>
  <c r="I124" i="7"/>
  <c r="I117" i="7"/>
  <c r="I125" i="7"/>
  <c r="I127" i="7"/>
  <c r="I118" i="7"/>
  <c r="I126" i="7"/>
  <c r="I119" i="7"/>
  <c r="I120" i="7"/>
  <c r="I129" i="7"/>
  <c r="I121" i="7"/>
  <c r="I115" i="7"/>
  <c r="I122" i="7"/>
  <c r="B52" i="7"/>
  <c r="B22" i="7"/>
  <c r="B13" i="8" s="1"/>
  <c r="I32" i="7" l="1"/>
  <c r="I43" i="7"/>
  <c r="I38" i="7"/>
  <c r="I30" i="7"/>
  <c r="I20" i="7"/>
  <c r="I45" i="7"/>
  <c r="I35" i="7"/>
  <c r="I33" i="7"/>
  <c r="I25" i="7"/>
  <c r="I27" i="7"/>
  <c r="I44" i="7"/>
  <c r="I62" i="7"/>
  <c r="I40" i="7"/>
  <c r="I24" i="7"/>
  <c r="I37" i="7"/>
  <c r="I39" i="7"/>
  <c r="I36" i="7"/>
  <c r="I55" i="7"/>
  <c r="I42" i="7"/>
  <c r="I29" i="7"/>
  <c r="I31" i="7"/>
  <c r="I21" i="7"/>
  <c r="I26" i="7"/>
  <c r="I28" i="7"/>
  <c r="I41" i="7"/>
  <c r="I23" i="7"/>
  <c r="B12" i="8"/>
  <c r="I51" i="7"/>
  <c r="I198" i="7"/>
  <c r="I196" i="7"/>
  <c r="I210" i="7"/>
  <c r="I206" i="7"/>
  <c r="I204" i="7"/>
  <c r="I209" i="7"/>
  <c r="I199" i="7"/>
  <c r="I197" i="7"/>
  <c r="I208" i="7"/>
  <c r="B96" i="8"/>
  <c r="I207" i="7"/>
  <c r="I205" i="7"/>
  <c r="I200" i="7"/>
  <c r="I202" i="7"/>
  <c r="I201" i="7"/>
  <c r="I203" i="7"/>
  <c r="I52" i="7"/>
  <c r="I232" i="7"/>
  <c r="I233" i="7"/>
  <c r="I216" i="7"/>
  <c r="I217" i="7"/>
  <c r="I228" i="7"/>
  <c r="I226" i="7"/>
  <c r="I223" i="7"/>
  <c r="I227" i="7"/>
  <c r="I218" i="7"/>
  <c r="I220" i="7"/>
  <c r="I219" i="7"/>
  <c r="I224" i="7"/>
  <c r="I231" i="7"/>
  <c r="I229" i="7"/>
  <c r="I222" i="7"/>
  <c r="I230" i="7"/>
  <c r="I234" i="7"/>
  <c r="I221" i="7"/>
  <c r="I215" i="7"/>
  <c r="I225" i="7"/>
  <c r="I53" i="7"/>
  <c r="I58" i="7"/>
  <c r="I60" i="7"/>
  <c r="I56" i="7"/>
  <c r="I50" i="7"/>
  <c r="I63" i="7"/>
  <c r="I68" i="7"/>
  <c r="I64" i="7"/>
  <c r="I22" i="7"/>
  <c r="I59" i="7"/>
  <c r="I61" i="7"/>
  <c r="I65" i="7"/>
  <c r="I57" i="7"/>
  <c r="I67" i="7"/>
  <c r="I54" i="7"/>
  <c r="I166" i="7"/>
  <c r="I158" i="7"/>
  <c r="I165" i="7"/>
  <c r="I161" i="7"/>
  <c r="I157" i="7"/>
  <c r="I163" i="7"/>
  <c r="I171" i="7"/>
  <c r="I170" i="7"/>
  <c r="I167" i="7"/>
  <c r="I169" i="7"/>
  <c r="I159" i="7"/>
  <c r="I160" i="7"/>
  <c r="I164" i="7"/>
  <c r="I168" i="7"/>
  <c r="I162" i="7"/>
  <c r="I66" i="7"/>
  <c r="I69" i="7"/>
  <c r="I71" i="7"/>
  <c r="I152" i="7"/>
  <c r="I151" i="7"/>
  <c r="I150" i="7"/>
  <c r="I148" i="7"/>
  <c r="B60" i="8"/>
  <c r="I149" i="7"/>
  <c r="I147" i="7"/>
</calcChain>
</file>

<file path=xl/sharedStrings.xml><?xml version="1.0" encoding="utf-8"?>
<sst xmlns="http://schemas.openxmlformats.org/spreadsheetml/2006/main" count="3353" uniqueCount="1121">
  <si>
    <t>Term</t>
  </si>
  <si>
    <t>Value</t>
  </si>
  <si>
    <t>unit</t>
  </si>
  <si>
    <t>Source</t>
  </si>
  <si>
    <t>piece</t>
  </si>
  <si>
    <t>(Virta Global 2021)</t>
  </si>
  <si>
    <t>kg/piece</t>
  </si>
  <si>
    <t>kg</t>
  </si>
  <si>
    <t>year</t>
  </si>
  <si>
    <t>Production capacity in the year 2019*</t>
  </si>
  <si>
    <t>Production capacity in the year 2016*</t>
  </si>
  <si>
    <t>source: (Yu and Sumangil 2021)</t>
  </si>
  <si>
    <t>source: (Mayyas et al. 2019)</t>
  </si>
  <si>
    <t>country</t>
  </si>
  <si>
    <t>capacity in MWh</t>
  </si>
  <si>
    <t>share</t>
  </si>
  <si>
    <t>capacity in MWh (fully commissioned, under construction &amp; announced)</t>
  </si>
  <si>
    <t>China</t>
  </si>
  <si>
    <t>Japan</t>
  </si>
  <si>
    <t>Rep. of Korea</t>
  </si>
  <si>
    <t>USA</t>
  </si>
  <si>
    <t>Hungary</t>
  </si>
  <si>
    <t>Czechia</t>
  </si>
  <si>
    <t>Poland</t>
  </si>
  <si>
    <t>Finland</t>
  </si>
  <si>
    <t>United Kingdom</t>
  </si>
  <si>
    <t>France</t>
  </si>
  <si>
    <t>total</t>
  </si>
  <si>
    <t>Germany</t>
  </si>
  <si>
    <t>Russia</t>
  </si>
  <si>
    <t>Conclusion for production capacity and share in the year 2020 within this study*</t>
  </si>
  <si>
    <t>*Share of production capacities over the countries are assumed to be equal to the shares of production amounts over the countries.</t>
  </si>
  <si>
    <t>Virta Global, 2021. The global electric vehicle market overview in 2021: statistics &amp; forecasts. https://www.virta.global/global-electric-vehicle-market (accessed 25/08/2021).</t>
  </si>
  <si>
    <t>weight%</t>
  </si>
  <si>
    <t>Production capacity in the year 2015</t>
  </si>
  <si>
    <t>Production capacity in the year 2016</t>
  </si>
  <si>
    <t>Conclusion for production capacity in the year 2016 and the production share considered within this study</t>
  </si>
  <si>
    <t>source: (Chung et al. 2015)</t>
  </si>
  <si>
    <t>source: (Lebedeva et al. 2016) Table 3</t>
  </si>
  <si>
    <t>capacity in MWh (fully and partially commissioned + under construction + announced</t>
  </si>
  <si>
    <t>Share</t>
  </si>
  <si>
    <t>capacity in MWh (total and announced capacity)</t>
  </si>
  <si>
    <t>Korea</t>
  </si>
  <si>
    <t>US</t>
  </si>
  <si>
    <t>EU</t>
  </si>
  <si>
    <t>RoW</t>
  </si>
  <si>
    <t>Norway</t>
  </si>
  <si>
    <t>India</t>
  </si>
  <si>
    <t>South Africa</t>
  </si>
  <si>
    <t>(Shiau et al. 2009)</t>
  </si>
  <si>
    <t>global production of BEBs:</t>
  </si>
  <si>
    <t>BEB weight</t>
  </si>
  <si>
    <t>Comment</t>
  </si>
  <si>
    <t>years</t>
  </si>
  <si>
    <t>BEB production in pieces</t>
  </si>
  <si>
    <t>BEB production in kg</t>
  </si>
  <si>
    <t>global in-use stock of BEBs:</t>
  </si>
  <si>
    <t>global in-use stock of BEBs (sum of BEB production amounts from 2015 to 2020):</t>
  </si>
  <si>
    <t>Development of BEB production</t>
  </si>
  <si>
    <t>(OICA 2021)</t>
  </si>
  <si>
    <t>It is assumed that the lifetime is the same as for internal combustion engine vehicles.</t>
  </si>
  <si>
    <t>global production of HEBs:</t>
  </si>
  <si>
    <t>HEB weight</t>
  </si>
  <si>
    <t>global in-use stock of HEBs:</t>
  </si>
  <si>
    <t>global in-use stock of HEBs (sum of HEB production amounts from 2015 to 2020):</t>
  </si>
  <si>
    <t>HEB production in pieces</t>
  </si>
  <si>
    <t>HEB production in kg</t>
  </si>
  <si>
    <t>Development of HEB production</t>
  </si>
  <si>
    <t>Lifetime of BEB</t>
  </si>
  <si>
    <t>Lifetime of HEB</t>
  </si>
  <si>
    <t>global production of ICEBs:</t>
  </si>
  <si>
    <t>ICEB weight</t>
  </si>
  <si>
    <t>Lifetime of ICEB</t>
  </si>
  <si>
    <t>ICEB production in kg</t>
  </si>
  <si>
    <t>global production of ICEBs and ICETs:</t>
  </si>
  <si>
    <t>ICEB share on the commercial vehicles (bus, trucks and light commercial vehicles)</t>
  </si>
  <si>
    <t>Commercial vehicle production in pieces</t>
  </si>
  <si>
    <t>ICET production in kg</t>
  </si>
  <si>
    <t>ICET weight</t>
  </si>
  <si>
    <t>Lifetime of ICET</t>
  </si>
  <si>
    <t>global in-use stock of ICEBs (sum of ICEB production amounts from 2009 to 2020):</t>
  </si>
  <si>
    <t>global production of ICETs:</t>
  </si>
  <si>
    <t>global in-use stock of ICETs (sum of ICET production amounts from 2009 to 2020):</t>
  </si>
  <si>
    <t>Vehicle data</t>
  </si>
  <si>
    <t>Country</t>
  </si>
  <si>
    <t>References:</t>
  </si>
  <si>
    <t>Netherlands</t>
  </si>
  <si>
    <t>Schweden</t>
  </si>
  <si>
    <t>Canada</t>
  </si>
  <si>
    <t>Market share</t>
  </si>
  <si>
    <t>Production amount in kg</t>
  </si>
  <si>
    <t>Sales in pieces</t>
  </si>
  <si>
    <t>AUSTRIA</t>
  </si>
  <si>
    <t>BELGIUM</t>
  </si>
  <si>
    <t>FINLAND</t>
  </si>
  <si>
    <t>FRANCE</t>
  </si>
  <si>
    <t>GERMANY</t>
  </si>
  <si>
    <t>ITALY</t>
  </si>
  <si>
    <t>PORTUGAL</t>
  </si>
  <si>
    <t>SPAIN</t>
  </si>
  <si>
    <t xml:space="preserve">UNITED KINGDOM  </t>
  </si>
  <si>
    <t xml:space="preserve">CZECH REPUBLIC </t>
  </si>
  <si>
    <t>HUNGARY</t>
  </si>
  <si>
    <t>POLAND</t>
  </si>
  <si>
    <t>ROMANIA</t>
  </si>
  <si>
    <t>SLOVAKIA</t>
  </si>
  <si>
    <t>SLOVENIA</t>
  </si>
  <si>
    <t>SERBIA</t>
  </si>
  <si>
    <t>RUSSIA</t>
  </si>
  <si>
    <t>AZERBAIJAN</t>
  </si>
  <si>
    <t>BELARUS</t>
  </si>
  <si>
    <t>KAZAKHSTAN</t>
  </si>
  <si>
    <t>UKRAINE</t>
  </si>
  <si>
    <t xml:space="preserve">UZBEKISTAN </t>
  </si>
  <si>
    <t>TURKEY</t>
  </si>
  <si>
    <t xml:space="preserve">CANADA  </t>
  </si>
  <si>
    <t>MEXICO</t>
  </si>
  <si>
    <t>ARGENTINA</t>
  </si>
  <si>
    <t>BRAZIL</t>
  </si>
  <si>
    <t>COLOMBIA</t>
  </si>
  <si>
    <t>CHINA</t>
  </si>
  <si>
    <t>INDIA</t>
  </si>
  <si>
    <t>INDONESIA</t>
  </si>
  <si>
    <t>IRAN</t>
  </si>
  <si>
    <t>JAPAN</t>
  </si>
  <si>
    <t>MALAYSIA</t>
  </si>
  <si>
    <t xml:space="preserve">PAKISTAN </t>
  </si>
  <si>
    <t>PHILIPPINES</t>
  </si>
  <si>
    <t>SOUTH KOREA</t>
  </si>
  <si>
    <t xml:space="preserve">TAIWAN </t>
  </si>
  <si>
    <t>THAILAND</t>
  </si>
  <si>
    <t>ALGERIA</t>
  </si>
  <si>
    <t>EGYPT, yearly only</t>
  </si>
  <si>
    <t>MOROCCO</t>
  </si>
  <si>
    <t>SOUTH AFRICA</t>
  </si>
  <si>
    <t>NETHERLANDS</t>
  </si>
  <si>
    <t>SWEDEN</t>
  </si>
  <si>
    <t>MYANMAR</t>
  </si>
  <si>
    <t>Battery electric bus:</t>
  </si>
  <si>
    <t>Production shares per country are assumed to be equal for BEVs and BEBs.</t>
  </si>
  <si>
    <t>Hybrid electric bus:</t>
  </si>
  <si>
    <t>Belgium</t>
  </si>
  <si>
    <t>Italy</t>
  </si>
  <si>
    <t>Portugal</t>
  </si>
  <si>
    <t>Belarus</t>
  </si>
  <si>
    <t>Kazakhastan</t>
  </si>
  <si>
    <t>Ukraine</t>
  </si>
  <si>
    <t>Turkey</t>
  </si>
  <si>
    <t>Brazil</t>
  </si>
  <si>
    <t>Indonesia</t>
  </si>
  <si>
    <t>Iran</t>
  </si>
  <si>
    <t>Pakistan</t>
  </si>
  <si>
    <t>Internal combustion engine bus:</t>
  </si>
  <si>
    <t>Sales of buses in pieces</t>
  </si>
  <si>
    <t>Market share of buses</t>
  </si>
  <si>
    <t>Production amount of buses in kg</t>
  </si>
  <si>
    <t>Bus production countries</t>
  </si>
  <si>
    <t>Truck production countries</t>
  </si>
  <si>
    <t>Sales of trucks in pieces</t>
  </si>
  <si>
    <t>Market share of trucks</t>
  </si>
  <si>
    <t>Production amount of trucks in kg</t>
  </si>
  <si>
    <t>Spain</t>
  </si>
  <si>
    <t>Serbia</t>
  </si>
  <si>
    <t>Mexico</t>
  </si>
  <si>
    <t>Australia</t>
  </si>
  <si>
    <t>Taiwan</t>
  </si>
  <si>
    <t>Vehicle components (batteries, bodies, electronics, chassis, panels &amp; HVAC, fluids and powertrain) data</t>
  </si>
  <si>
    <t>Weight% of LIB in BEB</t>
  </si>
  <si>
    <t>Weight% of LIB in HEB</t>
  </si>
  <si>
    <t>Production amount of LIBs used in BEB</t>
  </si>
  <si>
    <t>Production amount of LIBs used in HEB</t>
  </si>
  <si>
    <t>Production amount of LIBs used in transport sector</t>
  </si>
  <si>
    <t>Production amount of LIB used in BEB</t>
  </si>
  <si>
    <t>Production amount of LIB used in HEB</t>
  </si>
  <si>
    <t>In-use stock of LIBs used in BEB</t>
  </si>
  <si>
    <t>In-use stock of LIBs used in HEB</t>
  </si>
  <si>
    <t>Weight% of LIB in BEC</t>
  </si>
  <si>
    <t>Weight% of LIB in PHEC</t>
  </si>
  <si>
    <t>Weight% of LIB in HEC</t>
  </si>
  <si>
    <t>Production amount of LIBs used in BEC</t>
  </si>
  <si>
    <t>Production amount of LIBs used in PHEC</t>
  </si>
  <si>
    <t>Production amount of LIBs used in HEC</t>
  </si>
  <si>
    <t>Development of BEC production</t>
  </si>
  <si>
    <t>Development of PHEC production</t>
  </si>
  <si>
    <t>Development of HEC production</t>
  </si>
  <si>
    <t>Production amount of LIB used in BEC</t>
  </si>
  <si>
    <t>Production amount of LIB used in PHEC</t>
  </si>
  <si>
    <t>Production amount of LIB used in HEC</t>
  </si>
  <si>
    <t>In-use stock of LIBs used in BEC</t>
  </si>
  <si>
    <t>In-use stock of LIBs used in PHEC</t>
  </si>
  <si>
    <t>In-use stock of LIBs used in HEC</t>
  </si>
  <si>
    <t>Weight% of Body in BEC</t>
  </si>
  <si>
    <t>Weight% of Body in PHEC</t>
  </si>
  <si>
    <t>Weight% of Body in HEC</t>
  </si>
  <si>
    <t>Weight% of Body in BEB</t>
  </si>
  <si>
    <t>Weight% of Body in HEB</t>
  </si>
  <si>
    <t>Weight% of Body in ICEB</t>
  </si>
  <si>
    <t>Weight% of Body in ICET</t>
  </si>
  <si>
    <t>Production amounts</t>
  </si>
  <si>
    <t>Production amount of Bos used in BEC</t>
  </si>
  <si>
    <t>Production amount of Bos used in PHEC</t>
  </si>
  <si>
    <t>Production amount of Bos used in HEC</t>
  </si>
  <si>
    <t>Production amount of Bos used in BEB</t>
  </si>
  <si>
    <t>Weight% of Body in ICEC</t>
  </si>
  <si>
    <t>Production amount of Bos used in ICEC</t>
  </si>
  <si>
    <t>Production amount of Bos used in HEB</t>
  </si>
  <si>
    <t>Production amount of Bos used in ICEB</t>
  </si>
  <si>
    <t>Production amount of Bos used in ICET</t>
  </si>
  <si>
    <t>Excel sheet "Data_Sankey_Mobility.xlsx" tab "Weight%"</t>
  </si>
  <si>
    <t>global production of BECs:</t>
  </si>
  <si>
    <t>global in-use stock of BECs:</t>
  </si>
  <si>
    <t>BEC production in pieces</t>
  </si>
  <si>
    <t>BEC production in kg</t>
  </si>
  <si>
    <t xml:space="preserve">Production amounts per country were only found combined for BEC and PHEC. </t>
  </si>
  <si>
    <t>HEC production in pieces</t>
  </si>
  <si>
    <t>HEC production in kg</t>
  </si>
  <si>
    <t>global production of HECs:</t>
  </si>
  <si>
    <t>HEC weight</t>
  </si>
  <si>
    <t>global in-use stock of HECs:</t>
  </si>
  <si>
    <t>global in-use stock of HECs (sum of HEC production amounts from 2009 to 2020):</t>
  </si>
  <si>
    <t>Lifetime of HEC</t>
  </si>
  <si>
    <t>global production of PHECs:</t>
  </si>
  <si>
    <t>PHEC weight</t>
  </si>
  <si>
    <t>global in-use stock of PHECs:</t>
  </si>
  <si>
    <t>PHEC production in pieces</t>
  </si>
  <si>
    <t>PHEC production in kg</t>
  </si>
  <si>
    <t>BEC weight</t>
  </si>
  <si>
    <t>Battery electric car:</t>
  </si>
  <si>
    <t>Plug-in hybrid electric car:</t>
  </si>
  <si>
    <t>global production of ICECs:</t>
  </si>
  <si>
    <t>ICEC weight</t>
  </si>
  <si>
    <t>global in-use stock of ICECs:</t>
  </si>
  <si>
    <t>global in-use stock of ICECs (sum of ICEC production amounts from 2009 to 2020):</t>
  </si>
  <si>
    <t>Average lifetime of an ICEC:</t>
  </si>
  <si>
    <t>ICEC production in pieces</t>
  </si>
  <si>
    <t>ICEC production in kg</t>
  </si>
  <si>
    <t>Development of ICEC production</t>
  </si>
  <si>
    <t>Internal combustion engine car:</t>
  </si>
  <si>
    <t>Hybrid electric car:</t>
  </si>
  <si>
    <t>Development of ICEB production</t>
  </si>
  <si>
    <t>Development of ICET production</t>
  </si>
  <si>
    <t>Production amount of Bo used in BEC</t>
  </si>
  <si>
    <t>Production amount of Bo used in PHEC</t>
  </si>
  <si>
    <t>Production amount of Bo used in HEC</t>
  </si>
  <si>
    <t>Production amount of Bo used in BEB</t>
  </si>
  <si>
    <t>Bodies (Bos)</t>
  </si>
  <si>
    <t>Production amount of Bo used in HEB</t>
  </si>
  <si>
    <t>Production amount of Bo used in ICEC</t>
  </si>
  <si>
    <t>Production amount of Bo used in ICEB</t>
  </si>
  <si>
    <t>Production amount of Bo used in ICET</t>
  </si>
  <si>
    <t>Countries producing car bodies</t>
  </si>
  <si>
    <t>Sales of car bodies in pieces</t>
  </si>
  <si>
    <t>Countries producing bus bodies</t>
  </si>
  <si>
    <t>Sales of bus bodies in pieces</t>
  </si>
  <si>
    <t>Countries producing truck bodies</t>
  </si>
  <si>
    <t>Sales of truck bodies in pieces</t>
  </si>
  <si>
    <t>VIETNAM</t>
  </si>
  <si>
    <t>Countries producing vehicle bodies</t>
  </si>
  <si>
    <t>EGYPT</t>
  </si>
  <si>
    <t>AUSTRALIA</t>
  </si>
  <si>
    <t>Production amount of vehicle bodies</t>
  </si>
  <si>
    <t>REP. OF KOREA</t>
  </si>
  <si>
    <t>In-use stock of Bos used in BEC</t>
  </si>
  <si>
    <t>In-use stock of Bos used in PHEC</t>
  </si>
  <si>
    <t>In-use stock of Bos used in HEC</t>
  </si>
  <si>
    <t>In-use stock of Bos used in ICEC</t>
  </si>
  <si>
    <t>In-use stock of Bos used in BEB</t>
  </si>
  <si>
    <t>In-use stock of Bos used in HEB</t>
  </si>
  <si>
    <t>In-use stock of Bos used in ICEB</t>
  </si>
  <si>
    <t>In-use stock of Bos used in ICET</t>
  </si>
  <si>
    <t>Chassis (Cha)</t>
  </si>
  <si>
    <t>Weight% of Chassis in BEC</t>
  </si>
  <si>
    <t>Weight% of Chassis in PHEC</t>
  </si>
  <si>
    <t>Weight% of Chassis in HEC</t>
  </si>
  <si>
    <t>Weight% of Chassis in ICEC</t>
  </si>
  <si>
    <t>Weight% of Chassis in BEB</t>
  </si>
  <si>
    <t>Weight% of Chassis in HEB</t>
  </si>
  <si>
    <t>Weight% of Chassis in ICEB</t>
  </si>
  <si>
    <t>Weight% of Chassis in ICET</t>
  </si>
  <si>
    <t>Production amount of Cha used in BEC</t>
  </si>
  <si>
    <t>Production amount of Cha used in PHEC</t>
  </si>
  <si>
    <t>Production amount of Cha used in HEC</t>
  </si>
  <si>
    <t>Production amount of Cha used in ICEC</t>
  </si>
  <si>
    <t>Production amount of Cha used in BEB</t>
  </si>
  <si>
    <t>Production amount of Cha used in HEB</t>
  </si>
  <si>
    <t>Production amount of Cha used in ICEB</t>
  </si>
  <si>
    <t>Production amount of Cha used in ICET</t>
  </si>
  <si>
    <t>In-use stock of Cha used in BEC</t>
  </si>
  <si>
    <t>In-use stock of Cha used in PHEC</t>
  </si>
  <si>
    <t>In-use stock of Cha used in HEC</t>
  </si>
  <si>
    <t>In-use stock of Cha used in ICEC</t>
  </si>
  <si>
    <t>In-use stock of Cha used in BEB</t>
  </si>
  <si>
    <t>In-use stock of Cha used in HEB</t>
  </si>
  <si>
    <t>In-use stock of Cha used in ICEB</t>
  </si>
  <si>
    <t>In-use stock of Cha used in ICET</t>
  </si>
  <si>
    <t>Electronics (Ele)</t>
  </si>
  <si>
    <t>Production amount of Ele used in BEC</t>
  </si>
  <si>
    <t>Production amount of Ele used in PHEC</t>
  </si>
  <si>
    <t>Production amount of Ele used in HEC</t>
  </si>
  <si>
    <t>Production amount of Ele used in ICEC</t>
  </si>
  <si>
    <t>Production amount of Ele used in BEB</t>
  </si>
  <si>
    <t>Production amount of Ele used in HEB</t>
  </si>
  <si>
    <t>Production amount of Ele used in ICEB</t>
  </si>
  <si>
    <t>Production amount of Ele used in ICET</t>
  </si>
  <si>
    <t>In-use stock of Ele used in BEC</t>
  </si>
  <si>
    <t>In-use stock of Ele used in PHEC</t>
  </si>
  <si>
    <t>In-use stock of Ele used in HEC</t>
  </si>
  <si>
    <t>In-use stock of Ele used in ICEC</t>
  </si>
  <si>
    <t>In-use stock of Ele used in BEB</t>
  </si>
  <si>
    <t>In-use stock of Ele used in HEB</t>
  </si>
  <si>
    <t>In-use stock of Ele used in ICEB</t>
  </si>
  <si>
    <t>In-use stock of Ele used in ICET</t>
  </si>
  <si>
    <t>Fluids (Flu)</t>
  </si>
  <si>
    <t>Lithium-ion batteries (LIBs)</t>
  </si>
  <si>
    <t>Weight% of Fluids in BEC</t>
  </si>
  <si>
    <t>Weight% of Fluids in PHEC</t>
  </si>
  <si>
    <t>Weight% of Fluids in HEC</t>
  </si>
  <si>
    <t>Weight% of Fluids in ICEC</t>
  </si>
  <si>
    <t>Weight% of Fluids in BEB</t>
  </si>
  <si>
    <t>Weight% of Fluids in HEB</t>
  </si>
  <si>
    <t>Weight% of Fluids in ICEB</t>
  </si>
  <si>
    <t>Weight% of Fluids in ICET</t>
  </si>
  <si>
    <t>Production amount of Fluids used in BEC</t>
  </si>
  <si>
    <t>Production amount of Fluids used in PHEC</t>
  </si>
  <si>
    <t>Production amount of Fluids used in HEC</t>
  </si>
  <si>
    <t>Production amount of Fluids used in ICEC</t>
  </si>
  <si>
    <t>Production amount of Fluids used in BEB</t>
  </si>
  <si>
    <t>Production amount of Fluids used in HEB</t>
  </si>
  <si>
    <t>Production amount of Fluids used in ICEB</t>
  </si>
  <si>
    <t>Production amount of Fluids used in ICET</t>
  </si>
  <si>
    <t>In-use stock of Fluids used in BEC</t>
  </si>
  <si>
    <t>In-use stock of Fluids used in PHEC</t>
  </si>
  <si>
    <t>In-use stock of Fluids used in HEC</t>
  </si>
  <si>
    <t>In-use stock of Fluids used in ICEC</t>
  </si>
  <si>
    <t>In-use stock of Fluids used in BEB</t>
  </si>
  <si>
    <t>In-use stock of Fluids used in HEB</t>
  </si>
  <si>
    <t>In-use stock of Fluids used in ICEB</t>
  </si>
  <si>
    <t>In-use stock of Fluids used in ICET</t>
  </si>
  <si>
    <t>Weight% of PbAcBs in PHEC</t>
  </si>
  <si>
    <t>Weight% of PbAcBs in HEC</t>
  </si>
  <si>
    <t>Weight% of PbAcBs in ICEC</t>
  </si>
  <si>
    <t>Weight% of PbAcBs in HEB</t>
  </si>
  <si>
    <t>Weight% of PbAcBs in ICEB</t>
  </si>
  <si>
    <t>Weight% of PbAcBs in ICET</t>
  </si>
  <si>
    <t>Production amount of PbAcBs used in PHEC</t>
  </si>
  <si>
    <t>Production amount of PbAcBs used in HEC</t>
  </si>
  <si>
    <t>Production amount of PbAcBs used in ICEC</t>
  </si>
  <si>
    <t>Production amount of PbAcBs used in HEB</t>
  </si>
  <si>
    <t>Production amount of PbAcBs used in ICEB</t>
  </si>
  <si>
    <t>Production amount of PbAcBs used in ICET</t>
  </si>
  <si>
    <t>In-use stock of PbAcBs used in PHEC</t>
  </si>
  <si>
    <t>In-use stock of PbAcBs used in HEC</t>
  </si>
  <si>
    <t>In-use stock of PbAcBs used in ICEC</t>
  </si>
  <si>
    <t>In-use stock of PbAcBs used in HEB</t>
  </si>
  <si>
    <t>In-use stock of PbAcBs used in ICEB</t>
  </si>
  <si>
    <t>In-use stock of PbAcBs used in ICET</t>
  </si>
  <si>
    <t>Lead-acid batteries (PbAcBs)</t>
  </si>
  <si>
    <t>Electric motor (Emot)</t>
  </si>
  <si>
    <t>Weight% of Emot in BEC</t>
  </si>
  <si>
    <t>Weight% of Emot in PHEC</t>
  </si>
  <si>
    <t>Weight% of Emot in HEC</t>
  </si>
  <si>
    <t>Weight% of Emot in BEB</t>
  </si>
  <si>
    <t>Weight% of Emot in HEB</t>
  </si>
  <si>
    <t>Production amount of Emot used in BEC</t>
  </si>
  <si>
    <t>Production amount of Emot used in PHEC</t>
  </si>
  <si>
    <t>Production amount of Emot used in HEC</t>
  </si>
  <si>
    <t>Production amount of Emot used in BEB</t>
  </si>
  <si>
    <t>Production amount of Emot used in HEB</t>
  </si>
  <si>
    <t>In-use stock of Emot used in BEC</t>
  </si>
  <si>
    <t>In-use stock of Emot used in PHEC</t>
  </si>
  <si>
    <t>In-use stock of Emot used in HEC</t>
  </si>
  <si>
    <t>In-use stock of Emot used in BEB</t>
  </si>
  <si>
    <t>In-use stock of Emot used in HEB</t>
  </si>
  <si>
    <t>Internal combustion engine (ICE)</t>
  </si>
  <si>
    <t>Weight% of ICE in PHEC</t>
  </si>
  <si>
    <t>Weight% of ICE in HEC</t>
  </si>
  <si>
    <t>Weight% of ICE in ICEC</t>
  </si>
  <si>
    <t>Weight% of ICE in HEB</t>
  </si>
  <si>
    <t>Weight% of ICE in ICEB</t>
  </si>
  <si>
    <t>Weight% of ICE in ICET</t>
  </si>
  <si>
    <t>Production amount of ICE used in PHEC</t>
  </si>
  <si>
    <t>Production amount of ICE used in HEC</t>
  </si>
  <si>
    <t>Production amount of ICE used in ICEC</t>
  </si>
  <si>
    <t>Production amount of ICE used in HEB</t>
  </si>
  <si>
    <t>Production amount of ICE used in ICEB</t>
  </si>
  <si>
    <t>Production amount of ICE used in ICET</t>
  </si>
  <si>
    <t>In-use stock of ICE used in PHEC</t>
  </si>
  <si>
    <t>In-use stock of ICE used in HEC</t>
  </si>
  <si>
    <t>In-use stock of ICE used in ICEC</t>
  </si>
  <si>
    <t>In-use stock of ICE used in HEB</t>
  </si>
  <si>
    <t>In-use stock of ICE used in ICEB</t>
  </si>
  <si>
    <t>In-use stock of ICE used in ICET</t>
  </si>
  <si>
    <t>Exhaust (Exh)</t>
  </si>
  <si>
    <t>Weight% of Exhaust in BEC</t>
  </si>
  <si>
    <t>Weight% of Exhaust in PHEC</t>
  </si>
  <si>
    <t>Weight% of Exhaust in HEC</t>
  </si>
  <si>
    <t>Weight% of Exhaust in ICEC</t>
  </si>
  <si>
    <t>Weight% of Exhaust in BEB</t>
  </si>
  <si>
    <t>Weight% of Exhaust in HEB</t>
  </si>
  <si>
    <t>Weight% of Exhaust in ICEB</t>
  </si>
  <si>
    <t>Weight% of Exhaust in ICET</t>
  </si>
  <si>
    <t>Production amount of Exhaust used in BEC</t>
  </si>
  <si>
    <t>Production amount of Exhaust used in PHEC</t>
  </si>
  <si>
    <t>Production amount of Exhaust used in HEC</t>
  </si>
  <si>
    <t>Production amount of Exhaust used in ICEC</t>
  </si>
  <si>
    <t>Production amount of Exhaust used in BEB</t>
  </si>
  <si>
    <t>Production amount of Exhaust used in HEB</t>
  </si>
  <si>
    <t>Production amount of Exhaust used in ICEB</t>
  </si>
  <si>
    <t>Production amount of Exhaust used in ICET</t>
  </si>
  <si>
    <t>In-use stock of Exhaust used in BEC</t>
  </si>
  <si>
    <t>In-use stock of Exhaust used in PHEC</t>
  </si>
  <si>
    <t>In-use stock of Exhaust used in HEC</t>
  </si>
  <si>
    <t>In-use stock of Exhaust used in ICEC</t>
  </si>
  <si>
    <t>In-use stock of Exhaust used in BEB</t>
  </si>
  <si>
    <t>In-use stock of Exhaust used in HEB</t>
  </si>
  <si>
    <t>In-use stock of Exhaust used in ICEB</t>
  </si>
  <si>
    <t>In-use stock of Exhaust used in ICET</t>
  </si>
  <si>
    <t>Countries producing car chassis</t>
  </si>
  <si>
    <t>Sales of car chassis in pieces</t>
  </si>
  <si>
    <t>Countries producing bus chassis</t>
  </si>
  <si>
    <t>Sales of bus chassis in pieces</t>
  </si>
  <si>
    <t>Sales of truck chassis in pieces</t>
  </si>
  <si>
    <t>Countries producing vehicle chassis</t>
  </si>
  <si>
    <t>Production amount of vehicle chassis</t>
  </si>
  <si>
    <t>Export shares based on BACI</t>
  </si>
  <si>
    <t>Exporting countries</t>
  </si>
  <si>
    <t>Malaysia</t>
  </si>
  <si>
    <t>Philippines</t>
  </si>
  <si>
    <t>Singapore</t>
  </si>
  <si>
    <t>Estimated production shares</t>
  </si>
  <si>
    <t>Estimated production amounts</t>
  </si>
  <si>
    <t>Denmark</t>
  </si>
  <si>
    <t>Romania</t>
  </si>
  <si>
    <t>Slovakia</t>
  </si>
  <si>
    <t>Sweden</t>
  </si>
  <si>
    <t>Thailand</t>
  </si>
  <si>
    <t>Instrumental panel and Heating, ventilation and air conditioning (PHVA)</t>
  </si>
  <si>
    <t>Production amount of PHVA used in BEC</t>
  </si>
  <si>
    <t>Production amount of PHVA used in PHEC</t>
  </si>
  <si>
    <t>Production amount of PHVA used in HEC</t>
  </si>
  <si>
    <t>Production amount of PHVA used in ICEC</t>
  </si>
  <si>
    <t>Production amount of PHVA used in BEB</t>
  </si>
  <si>
    <t>Production amount of PHVA used in HEB</t>
  </si>
  <si>
    <t>Production amount of PHVA used in ICEB</t>
  </si>
  <si>
    <t>Production amount of PHVA used in ICET</t>
  </si>
  <si>
    <t>Weight% of PHVA in BEC</t>
  </si>
  <si>
    <t>Weight% of PHVA in PHEC</t>
  </si>
  <si>
    <t>Weight% of PHVA in HEC</t>
  </si>
  <si>
    <t>Weight% of PHVA in ICEC</t>
  </si>
  <si>
    <t>Weight% of PHVA in BEB</t>
  </si>
  <si>
    <t>Weight% of PHVA in HEB</t>
  </si>
  <si>
    <t>Weight% of PHVA in ICEB</t>
  </si>
  <si>
    <t>Weight% of PHVA in ICET</t>
  </si>
  <si>
    <t>In-use stock of PHVA used in BEC</t>
  </si>
  <si>
    <t>In-use stock of PHVA used in PHEC</t>
  </si>
  <si>
    <t>In-use stock of PHVA used in HEC</t>
  </si>
  <si>
    <t>In-use stock of PHVA used in ICEC</t>
  </si>
  <si>
    <t>In-use stock of PHVA used in BEB</t>
  </si>
  <si>
    <t>In-use stock of PHVA used in HEB</t>
  </si>
  <si>
    <t>In-use stock of PHVA used in ICEB</t>
  </si>
  <si>
    <t>In-use stock of PHVA used in ICET</t>
  </si>
  <si>
    <t>Austria</t>
  </si>
  <si>
    <t>Hongkong</t>
  </si>
  <si>
    <t>Viet Nam</t>
  </si>
  <si>
    <t>Saudi Arabia</t>
  </si>
  <si>
    <t>Bulgaria</t>
  </si>
  <si>
    <t>Colombia</t>
  </si>
  <si>
    <t>Slovenia</t>
  </si>
  <si>
    <t>United Arab Emirates</t>
  </si>
  <si>
    <t xml:space="preserve">Components of vehicle components (lithium-ion battery cells and cases, Lead-acid battery cells and cases, safety glass, aluminium wire, permanent magnets and parts of internal combustion engines) </t>
  </si>
  <si>
    <t>Weight ratio of cells in LIBs</t>
  </si>
  <si>
    <t>Weight ratio of cases in LIBs</t>
  </si>
  <si>
    <t>Lithium-ion battery cells and cases (LIBcc)</t>
  </si>
  <si>
    <t>In-use stock of LIBcc used in the mobility sector</t>
  </si>
  <si>
    <t>Production amount of LIBcc used in the mobility sector</t>
  </si>
  <si>
    <t>Lead-acid battery cells and cases (PbACBcc)</t>
  </si>
  <si>
    <t>Weight ratio of cells in PbAcBs</t>
  </si>
  <si>
    <t>Weight ratio of cases in PbAcBs</t>
  </si>
  <si>
    <t>Production amount of PbAcBcc used in the mobility sector</t>
  </si>
  <si>
    <t>Production amount of Cha used in the mobility sector</t>
  </si>
  <si>
    <t>Production amount of Ele used in the mobility sector</t>
  </si>
  <si>
    <t>Production amount of PHVA used in the mobility sector</t>
  </si>
  <si>
    <t>Production amount of Fluids used in the mobility sector</t>
  </si>
  <si>
    <t>Production amount of PbAcBs used in the mobility sector</t>
  </si>
  <si>
    <t>Production amount of Emot used in the mobility sector</t>
  </si>
  <si>
    <t>Production amount of ICE used in the mobility sector</t>
  </si>
  <si>
    <t>Production amount of Exhaust used in the mobility sector</t>
  </si>
  <si>
    <t>In-use stock of Exhaust used in the mobility sector</t>
  </si>
  <si>
    <t>In-use stock of ICE used in the mobility sector</t>
  </si>
  <si>
    <t>In-use stock of Emot used in the mobility sector</t>
  </si>
  <si>
    <t>In-use stock of PbAcBs used in the mobility sector</t>
  </si>
  <si>
    <t>In-use stock of Fluids used in the mobility sector</t>
  </si>
  <si>
    <t>In-use stock of PHVA used in the mobility sector</t>
  </si>
  <si>
    <t>In-use stock of Ele used in the mobility sector</t>
  </si>
  <si>
    <t>In-use stock of Cha used in the mobility sector</t>
  </si>
  <si>
    <t>In-use stock of Bos used in the mobility sector</t>
  </si>
  <si>
    <t>In-use stock of LIBs used in mobility sector</t>
  </si>
  <si>
    <t>In-use stock of PbAcBcc used in the mobility sector</t>
  </si>
  <si>
    <t>Luxembourg</t>
  </si>
  <si>
    <t>Safety glass (S_glass)</t>
  </si>
  <si>
    <t>Weight ratio of S_glass in PHEC body</t>
  </si>
  <si>
    <t>Weight ratio of S_glass in HEC body</t>
  </si>
  <si>
    <t>Weight ratio of S_glass in ICEC body</t>
  </si>
  <si>
    <t>Weight ratio of S_glass in BEB body</t>
  </si>
  <si>
    <t>Weight ratio of S_glass in HEB body</t>
  </si>
  <si>
    <t>Weight ratio of S_glass in ICEB body</t>
  </si>
  <si>
    <t>Weight ratio of S_glass in ICET body</t>
  </si>
  <si>
    <t>Production amount of S_glass used in the mobility sector</t>
  </si>
  <si>
    <t>In-use stock of S_glass used in the mobility sector</t>
  </si>
  <si>
    <t>Production amount of S_glass used in BEC body</t>
  </si>
  <si>
    <t>Production amount of S_glass used in PHEC body</t>
  </si>
  <si>
    <t>Production amount of S_glass used in HEC body</t>
  </si>
  <si>
    <t>Production amount of S_glass used in ICEC body</t>
  </si>
  <si>
    <t>Production amount of S_glass used in BEB body</t>
  </si>
  <si>
    <t>Production amount of S_glass used in HEB body</t>
  </si>
  <si>
    <t>Production amount of S_glass used in ICEB body</t>
  </si>
  <si>
    <t>Production amount of S_glass used in ICET body</t>
  </si>
  <si>
    <t>In-use stock of S_glass used in BEC body</t>
  </si>
  <si>
    <t>In-use stock of S_glass used in PHEC body</t>
  </si>
  <si>
    <t>In-use stock of S_glass used in HEC body</t>
  </si>
  <si>
    <t>In-use stock of S_glass used in ICEC body</t>
  </si>
  <si>
    <t>In-use stock of S_glass used in BEB body</t>
  </si>
  <si>
    <t>In-use stock of S_glass used in HEB body</t>
  </si>
  <si>
    <t>In-use stock of S_glass used in ICEB body</t>
  </si>
  <si>
    <t>In-use stock of S_glass used in ICET body</t>
  </si>
  <si>
    <t>Morocco</t>
  </si>
  <si>
    <t>Aluminium wire (Al_wire)</t>
  </si>
  <si>
    <t>Estimated production amounts (in kg)</t>
  </si>
  <si>
    <t>Production amount of Al_wire used in BEC electronics</t>
  </si>
  <si>
    <t>Production amount of Al_wire used in PHEC electronics</t>
  </si>
  <si>
    <t>Production amount of Al_wire used in HEC electronics</t>
  </si>
  <si>
    <t>Production amount of Al_wire used in ICEC electronics</t>
  </si>
  <si>
    <t>Production amount of Al_wire used in BEB electronics</t>
  </si>
  <si>
    <t>Production amount of Al_wire used in HEB electronics</t>
  </si>
  <si>
    <t>Production amount of Al_wire used in ICEB electronics</t>
  </si>
  <si>
    <t>Production amount of Al_wire used in ICET electronics</t>
  </si>
  <si>
    <t>Production amount of Al_wire used in the mobility sector</t>
  </si>
  <si>
    <t>In-use stock of Al_wire used in BEC electronics</t>
  </si>
  <si>
    <t>In-use stock of Al_wire used in PHEC electronics</t>
  </si>
  <si>
    <t>In-use stock of Al_wire used in HEC electronics</t>
  </si>
  <si>
    <t>In-use stock of Al_wire used in ICEC electronics</t>
  </si>
  <si>
    <t>In-use stock of Al_wire used in BEB electronics</t>
  </si>
  <si>
    <t>In-use stock of Al_wire used in HEB electronics</t>
  </si>
  <si>
    <t>In-use stock of Al_wire used in ICEB electronics</t>
  </si>
  <si>
    <t>In-use stock of Al_wire used in ICET electronics</t>
  </si>
  <si>
    <t>In-use stock of Al_wire used in the mobility sector</t>
  </si>
  <si>
    <t>Bahrain</t>
  </si>
  <si>
    <t>Permanent magnets (Mag)</t>
  </si>
  <si>
    <t>Lithuania</t>
  </si>
  <si>
    <t>Weight ratio of Mag used in electric motors</t>
  </si>
  <si>
    <t>Production amount of Mag used in the mobility sector</t>
  </si>
  <si>
    <t>In-use stock of Mag used in the mobility sector</t>
  </si>
  <si>
    <t>Magnet manufacturing shares</t>
  </si>
  <si>
    <t>Internal combustion engine equipment (ICEeq)</t>
  </si>
  <si>
    <t xml:space="preserve">Weight ratio of ICEeq used in ICE </t>
  </si>
  <si>
    <t>Production amount of ICEeq used in the mobility sector</t>
  </si>
  <si>
    <t>In-use stock of ICEeq used in the mobility sector</t>
  </si>
  <si>
    <t xml:space="preserve">Components of vehicle components (Aluminium foil, aluminium plates, niobium alloys, vanadium alloys) </t>
  </si>
  <si>
    <t>Unit</t>
  </si>
  <si>
    <t>Croatia</t>
  </si>
  <si>
    <t>Greece</t>
  </si>
  <si>
    <t>Switzerland</t>
  </si>
  <si>
    <t>Weight ratio of Mag used in internal combustion engine equipment</t>
  </si>
  <si>
    <t>Weight ratio of Mag used in instrumental panel and HVAC</t>
  </si>
  <si>
    <t>Weight ratio of Mag used in bodies</t>
  </si>
  <si>
    <t>Weight ratio of Mag used in chassis</t>
  </si>
  <si>
    <t>Production amount of Mag used in electric motors</t>
  </si>
  <si>
    <t>Production amount of Mag used in internal combustion engine equipment</t>
  </si>
  <si>
    <t>In-use stock of Mag used in internal combustion engine equipment</t>
  </si>
  <si>
    <t>Production amount of Mag used in instrumental panel and HVAC</t>
  </si>
  <si>
    <t>In-use stock of Mag used in instrumental panel and HVAC</t>
  </si>
  <si>
    <t>Production amount of Mag used in body</t>
  </si>
  <si>
    <t>In-use stock of Mag used in body</t>
  </si>
  <si>
    <t>Production amount of Mag used in chassis</t>
  </si>
  <si>
    <t>In-use stock of Mag used in chassis</t>
  </si>
  <si>
    <t>Aluminium foil (Al_fo)</t>
  </si>
  <si>
    <t>Weight ratio of Al_fo in LIB cells</t>
  </si>
  <si>
    <t>Production amount of Al_fo used in the mobility sector</t>
  </si>
  <si>
    <t>In-use stock of Al_fo used in the mobility sector</t>
  </si>
  <si>
    <t>Aluminium plates (Al_pl)</t>
  </si>
  <si>
    <t>Weight ratio of Al_pl in LIB cells and cases</t>
  </si>
  <si>
    <t>Weight ratio of Al_pl in vehicle bodies</t>
  </si>
  <si>
    <t>Weight ratio of Al_pl in car chassis including wheels and tires</t>
  </si>
  <si>
    <t>Weight ratio of Al_pl in truck chassis including wheels and tires</t>
  </si>
  <si>
    <t>Weight ratio of Al_pl in instrumental panels and HVAC of cars and trucks</t>
  </si>
  <si>
    <t>Weight ratio of Al_pl in instrumental panels and HVAC of buses</t>
  </si>
  <si>
    <t>Weight ratio of Al_pl in internal combustion engine equipment</t>
  </si>
  <si>
    <t>Weight ratio of Al_pl in exhaust</t>
  </si>
  <si>
    <t>Production amount of Bos used in the mobility sector</t>
  </si>
  <si>
    <t>In-use stock of Mag used in electric motors</t>
  </si>
  <si>
    <t>Production amount of Al_pl used in LIB cells and cases</t>
  </si>
  <si>
    <t>In-use stock of Al_pl used in LIB cells and cases</t>
  </si>
  <si>
    <t>Production amount of Al_pl used in vehicle bodies</t>
  </si>
  <si>
    <t>In-use stock of Al_pl used in vehicle bodies</t>
  </si>
  <si>
    <t>Production amount of Al_pl used in car chassis</t>
  </si>
  <si>
    <t>Production amount of Al_pl used in truck chassis</t>
  </si>
  <si>
    <t>In-use stock of Al_pl used in car chassis</t>
  </si>
  <si>
    <t>In-use stock of Al_pl used in truck chassis</t>
  </si>
  <si>
    <t>In-use stock of Al_pl used in internal combustion engine equipment of vehicles</t>
  </si>
  <si>
    <t>Production amount of Al_pl used in internal combustion engine equipment of vehicles</t>
  </si>
  <si>
    <t>Production amount of Al_pl used in instrumental panels and HVAC of cars and trucks</t>
  </si>
  <si>
    <t>In-use stock of Al_pl used in instrumental panels and HVAC of cars and trucks</t>
  </si>
  <si>
    <t>Production amount of Al_pl used in instrumental panels and HVAC of buses</t>
  </si>
  <si>
    <t>In-use stock of Al_pl used in instrumental panels and HVAC of buses</t>
  </si>
  <si>
    <t>Production amount of Al_pl used in vehicle exhaust</t>
  </si>
  <si>
    <t>In-use stock of Al_pl used in vehicle exhaust</t>
  </si>
  <si>
    <t>Production amount of Al_pl used in the mobility sector</t>
  </si>
  <si>
    <t>In-use stock of Al_pl used in the mobility sector</t>
  </si>
  <si>
    <t>Weight ratio of Al_pl in electric motors</t>
  </si>
  <si>
    <t>Production amount of Al_pl used in electric motors of vehicles</t>
  </si>
  <si>
    <t>In-use stock of Al_pl used in electric motors of vehicles</t>
  </si>
  <si>
    <t>Weight ratio of Nb_al in vehicle bodies</t>
  </si>
  <si>
    <t>Niobium alloys (Nb_al)</t>
  </si>
  <si>
    <t>Production amount of Nb_al used in the mobility sector</t>
  </si>
  <si>
    <t>In-use stock of Nb_al used in the mobility sector</t>
  </si>
  <si>
    <t>Vanadium alloys (V_al)</t>
  </si>
  <si>
    <t>Weight ratio of V_al in vehicle chassis</t>
  </si>
  <si>
    <t>Production amount of V_al used in the mobility sector</t>
  </si>
  <si>
    <t>In-use stock of V_al used in the mobility sector</t>
  </si>
  <si>
    <t>Latvia</t>
  </si>
  <si>
    <t>New Zealand</t>
  </si>
  <si>
    <t>Raw materials</t>
  </si>
  <si>
    <t>Antimony powder (Sb_pow)</t>
  </si>
  <si>
    <t>Weight ratio of Sb_pow used in PbAcBcc</t>
  </si>
  <si>
    <t>Weight ratio of Sb_pow used in Ele</t>
  </si>
  <si>
    <t>Production amount of Sb_pow used in PbAcBcc</t>
  </si>
  <si>
    <t>Production amount of Sb_pow used in Ele</t>
  </si>
  <si>
    <t>In-use stock of Sb_pow used in PbAcBcc</t>
  </si>
  <si>
    <t>In-use stock of Sb_pow used in Ele</t>
  </si>
  <si>
    <t>Production amount of Sb_pow used in the mobility sector</t>
  </si>
  <si>
    <t>In-use stock of Sb_pow used in the mobility sector</t>
  </si>
  <si>
    <t>Codes of exporting countries</t>
  </si>
  <si>
    <t>Aluminium unwrought (Al_un)</t>
  </si>
  <si>
    <t>Weight ratio of Al_un used in Al_pl or Al_fo</t>
  </si>
  <si>
    <t>Weight ratio of Al_un used in Al_wi</t>
  </si>
  <si>
    <t>Weight ratio of Al_un used in Ele</t>
  </si>
  <si>
    <t>Production amount of Al_un used in Al_pl</t>
  </si>
  <si>
    <t>Production amount of Al_un used in Al_fo</t>
  </si>
  <si>
    <t>Production amount of Al_un used in Al_wi</t>
  </si>
  <si>
    <t>Production amount of Al_un used in Ele</t>
  </si>
  <si>
    <t>In-use stock of Al_un used in Al_pl</t>
  </si>
  <si>
    <t>In-use stock of Al_un used in Al_fo</t>
  </si>
  <si>
    <t>In-use stock of Al_un used in Al_wi</t>
  </si>
  <si>
    <t>In-use stock of Al_un used in Ele</t>
  </si>
  <si>
    <t>Production amount of Al_un used in the mobility sector</t>
  </si>
  <si>
    <t>In-use stock of Al_un used in the mobility sector</t>
  </si>
  <si>
    <t>Barytes (Bary)</t>
  </si>
  <si>
    <t>Weight ratio of Bary used in car chassis</t>
  </si>
  <si>
    <t>Weight ratio of Bary used in bus chassis</t>
  </si>
  <si>
    <t>Weight ratio of Bary used in truck chassis</t>
  </si>
  <si>
    <t>Weight ratio of Bary used in body</t>
  </si>
  <si>
    <t>Production amount of Bary used in car chassis</t>
  </si>
  <si>
    <t>Production amount of Bary used in bus chassis</t>
  </si>
  <si>
    <t>Production amount of Bary used in truck chassis</t>
  </si>
  <si>
    <t>Production amount of Bary used in body</t>
  </si>
  <si>
    <t>Production amount of Bary used in the mobility sector</t>
  </si>
  <si>
    <t>In-use stock of Bary used in car chassis</t>
  </si>
  <si>
    <t>In-use stock of Bary used in bus chassis</t>
  </si>
  <si>
    <t>In-use stock of Bary used in truck chassis</t>
  </si>
  <si>
    <t>In-use stock of Bary used in body</t>
  </si>
  <si>
    <t>In-use stock of Bary used in the mobility sector</t>
  </si>
  <si>
    <t>Beryllium powder (Be_pow)</t>
  </si>
  <si>
    <t>Weight ratio of Be_pow used in electronics</t>
  </si>
  <si>
    <t>Borates (Bora)</t>
  </si>
  <si>
    <t>Weight ratio of Borates used in fluids</t>
  </si>
  <si>
    <t>Weight ratio of Borates used in safety glass</t>
  </si>
  <si>
    <t>Production amount of Borates used in fluids</t>
  </si>
  <si>
    <t>Production amount of Borates used in safety glass</t>
  </si>
  <si>
    <t>Production amount of Borates used in the mobility sector</t>
  </si>
  <si>
    <t>In-use stock of Borates used in fluids</t>
  </si>
  <si>
    <t>In-use stock of Borates used in safety glass</t>
  </si>
  <si>
    <t>In-use stock of Borates used in the mobility sector</t>
  </si>
  <si>
    <t>Cobalt powder (Co_pow)</t>
  </si>
  <si>
    <t>Weight ratio of Co_pow used in LIBcc</t>
  </si>
  <si>
    <t>Weight ratio of Co_pow used in Cha of BEC</t>
  </si>
  <si>
    <t>Weight ratio of Co_pow used in Cha of ICEC</t>
  </si>
  <si>
    <t>Weight ratio of Co_pow used in Cha of BEB</t>
  </si>
  <si>
    <t>Weight ratio of Co_pow used in Cha of HEB</t>
  </si>
  <si>
    <t>Weight ratio of Co_pow used in Cha of ICEB</t>
  </si>
  <si>
    <t>Weight ratio of Co_pow used in Cha of ICET</t>
  </si>
  <si>
    <t>Production amount of Co_pow used in LIBcc</t>
  </si>
  <si>
    <t>Production amount of Co_pow used in Cha of BEC</t>
  </si>
  <si>
    <t>Production amount of Co_pow used in Cha of ICEC</t>
  </si>
  <si>
    <t>Production amount of Co_pow used in Cha of BEB</t>
  </si>
  <si>
    <t>Production amount of Co_pow used in Cha of HEB</t>
  </si>
  <si>
    <t>Production amount of Co_pow used in Cha of ICEB</t>
  </si>
  <si>
    <t>Production amount of Co_pow used in Cha of ICET</t>
  </si>
  <si>
    <t>In-use stock of Co_pow used in LIBcc</t>
  </si>
  <si>
    <t>In-use stock of Co_pow used in Cha of BEC</t>
  </si>
  <si>
    <t>In-use stock of Co_pow used in Cha of ICEC</t>
  </si>
  <si>
    <t>In-use stock of Co_pow used in Cha of BEB</t>
  </si>
  <si>
    <t>In-use stock of Co_pow used in Cha of HEB</t>
  </si>
  <si>
    <t>In-use stock of Co_pow used in Cha of ICEB</t>
  </si>
  <si>
    <t>In-use stock of Co_pow used in Cha of ICET</t>
  </si>
  <si>
    <t>Production amount of Co_pow used in the mobility sector</t>
  </si>
  <si>
    <t>In-use stock of Co_pow used in the mobility sector</t>
  </si>
  <si>
    <t>Weight ratio of Co_pow used in permanent magnets</t>
  </si>
  <si>
    <t>Production amount of Co_pow used in permanent magnets</t>
  </si>
  <si>
    <t>In-use stock of Co_pow used in permanent magnets</t>
  </si>
  <si>
    <t>Fluorcarbons (PFC)</t>
  </si>
  <si>
    <t>Weight ratio of PFC used in PHVA of cars</t>
  </si>
  <si>
    <t>Weight ratio of PFC used in PHVA of buses and trucks</t>
  </si>
  <si>
    <t>Production amount of PFC used in PHVA of cars</t>
  </si>
  <si>
    <t>Production amount of PFC used in PHVA of buses and trucks</t>
  </si>
  <si>
    <t>Production amount of PFC used in the mobility sector</t>
  </si>
  <si>
    <t>In-use stock of PFC used in PHVA of cars</t>
  </si>
  <si>
    <t>In-use stock of PFC used in PHVA of buses and trucks</t>
  </si>
  <si>
    <t>In-use stock of PFC used in the mobility sector</t>
  </si>
  <si>
    <t>Rare Earth Elements (REEs)</t>
  </si>
  <si>
    <t>Weight ratio of REEs used in exhaust</t>
  </si>
  <si>
    <t>Weight ratio of REEs used in permanent magnets</t>
  </si>
  <si>
    <t>Production amount of REEs used in exhaust</t>
  </si>
  <si>
    <t>Production amount of REEs used in permanent magnets</t>
  </si>
  <si>
    <t>In-use stock of REEs used in exhaust</t>
  </si>
  <si>
    <t>In-use stock of REEs used in permanent magnets</t>
  </si>
  <si>
    <t>Production amount of REEs used in the mobility sector</t>
  </si>
  <si>
    <t>In-use stock of REEs used in the mobility sector</t>
  </si>
  <si>
    <t>Weight ratio of Li used in LIBcc</t>
  </si>
  <si>
    <t>Production amount of Li used in the mobility sector</t>
  </si>
  <si>
    <t>In-use stock of Li used in the mobility sector</t>
  </si>
  <si>
    <t>Lithium (Li)</t>
  </si>
  <si>
    <t>Magnesium powder (Mg pow)</t>
  </si>
  <si>
    <t>Weight ratio of Mg pow used in PHVA</t>
  </si>
  <si>
    <t>Weight ratio of Mg pow used in chassis, wheels and tires</t>
  </si>
  <si>
    <t>Production amount of Mg pow used in PHVA</t>
  </si>
  <si>
    <t>Production amount of Mg pow used in chassis, wheels and tires</t>
  </si>
  <si>
    <t>Production amount of Mg pow used in ICE eq</t>
  </si>
  <si>
    <t>Weight ratio of Mg pow used in ICE eq.</t>
  </si>
  <si>
    <t>In-use stock of Mg pow used in PHVA</t>
  </si>
  <si>
    <t>In-use stock of Mg pow used in chassis, wheels and tires</t>
  </si>
  <si>
    <t>In-use stock of Mg pow used in ICE eq</t>
  </si>
  <si>
    <t>Production amount of Mg pow used in the mobility sector</t>
  </si>
  <si>
    <t>In-use stock of Mg pow used in the mobility sector</t>
  </si>
  <si>
    <t>Natural graphite (NGr)</t>
  </si>
  <si>
    <t>Weight ratio of NGr used in LIBcc</t>
  </si>
  <si>
    <t>Production amount of NGr used in the mobility sector</t>
  </si>
  <si>
    <t>In-use stock of NGr used in the mobility sector</t>
  </si>
  <si>
    <t>Codes of production countries</t>
  </si>
  <si>
    <t>Natural rubber (NRU)</t>
  </si>
  <si>
    <t>Weight ratio of NRU used in chassis of cars</t>
  </si>
  <si>
    <t>Weight ratio of NRU used in chassis of trucks</t>
  </si>
  <si>
    <t>Weight ratio of NRU used in PHVA</t>
  </si>
  <si>
    <t>Production amount of NRU used in chassis of cars</t>
  </si>
  <si>
    <t>Production amount of NRU used in chassis of trucks</t>
  </si>
  <si>
    <t>Production amount of NRU used in PHVA</t>
  </si>
  <si>
    <t>In-use stock of NRU used in chassis of cars</t>
  </si>
  <si>
    <t>In-use stock of NRU used in chassis of trucks</t>
  </si>
  <si>
    <t>In-use stock of NRU used in PHVA</t>
  </si>
  <si>
    <t>Production amount of NRU used in the mobility sector</t>
  </si>
  <si>
    <t>In-use stock of NRU used in the mobility sector</t>
  </si>
  <si>
    <t>Niobium powder (Nb pow)</t>
  </si>
  <si>
    <t>Weight ratio of Nb pow used in niobium alloys</t>
  </si>
  <si>
    <t>Production amount of Nb pow used in niobium alloys</t>
  </si>
  <si>
    <t>In-use stock of Nb pow used in niobium alloys</t>
  </si>
  <si>
    <t>Platinum group metals (PGMs)</t>
  </si>
  <si>
    <t>Weight ratio of PGMs used in internal combustion engine equipment</t>
  </si>
  <si>
    <t>Weight ratio of PGMs used in electronics</t>
  </si>
  <si>
    <t>Production amount of PGMs used in internal combustion engine equipment</t>
  </si>
  <si>
    <t>Production amount of PGMs used in electronics</t>
  </si>
  <si>
    <t>In-use stock of PGMs used in internal combustion engine equipment</t>
  </si>
  <si>
    <t>In-use stock of PGMs used in electronics</t>
  </si>
  <si>
    <t>Production amount of PGMs used in the mobility sector</t>
  </si>
  <si>
    <t>In-use stock of PGMs used in the mobility sector</t>
  </si>
  <si>
    <t>Scandium (Sc)</t>
  </si>
  <si>
    <t>Weight ratio of Sc used in aluminium plates</t>
  </si>
  <si>
    <t>Production amount of Sc used in aluminium plates</t>
  </si>
  <si>
    <t>In-use stock of Sc used in aluminium plates</t>
  </si>
  <si>
    <t>Silicon metal (Si met)</t>
  </si>
  <si>
    <t>Weight ratio of Si met used in electronics</t>
  </si>
  <si>
    <t>Production amount of Si met used in the mobility sector</t>
  </si>
  <si>
    <t>In-use stock of Si met used in the mobility sector</t>
  </si>
  <si>
    <t>Tantalum powder (Ta pow)</t>
  </si>
  <si>
    <t>Weight ratio of Ta pow used in electronics</t>
  </si>
  <si>
    <t>Production amount of Ta pow used in the mobility sector</t>
  </si>
  <si>
    <t>In-use stock of Ta pow used in the mobility sector</t>
  </si>
  <si>
    <t>Titanium powder (Ti pow)</t>
  </si>
  <si>
    <t>Weight ratio of Ti pow used in chassis</t>
  </si>
  <si>
    <t>Weight ratio of Ti pow used in internal combustion engine equipment</t>
  </si>
  <si>
    <t>Weight ratio of Ti pow used in exhaust</t>
  </si>
  <si>
    <t>Production amount of Ti pow used in chassis</t>
  </si>
  <si>
    <t>Production amount of Ti pow used in internal combustion engine equipment</t>
  </si>
  <si>
    <t>Production amount of Ti pow used in exhaust</t>
  </si>
  <si>
    <t>In-use stock of Ti pow used in chassis</t>
  </si>
  <si>
    <t>In-use stock of Ti pow used in internal combustion engine equipment</t>
  </si>
  <si>
    <t>In-use stock of Ti pow used in exhaust</t>
  </si>
  <si>
    <t>Production amount of Ti pow used in the mobility sector</t>
  </si>
  <si>
    <t>In-use stock of Ti pow used in the mobility sector</t>
  </si>
  <si>
    <t>Vanadium powder (V pow)</t>
  </si>
  <si>
    <t>Weight ratio of V pow used in lithium-ion battery cells and cases</t>
  </si>
  <si>
    <t>Weight ratio of V pow used in vanadium alloys</t>
  </si>
  <si>
    <t>Production amount of V pow used in lithium-ion battery cells and cases</t>
  </si>
  <si>
    <t>Production amount of V pow used in vanadium alloys</t>
  </si>
  <si>
    <t>In-use stock of V pow used in lithium-ion battery cells and cases</t>
  </si>
  <si>
    <t>In-use stock of V pow used in vanadium alloys</t>
  </si>
  <si>
    <t>Production amount of V pow used in the mobility sector</t>
  </si>
  <si>
    <t>In-use stock of V pow used in the mobility sector</t>
  </si>
  <si>
    <t>Intermediate raw materials</t>
  </si>
  <si>
    <t>Antimony oxides (Sb_ox)</t>
  </si>
  <si>
    <t>Weight ratio of Sb_ox used in Antimony powder</t>
  </si>
  <si>
    <t>Production amount of Sb_ox used in Antimony powder</t>
  </si>
  <si>
    <t>In-use stock of Sb_ox used in Antimony powder</t>
  </si>
  <si>
    <t>Aluminium oxide (Al_ox)</t>
  </si>
  <si>
    <t>Weight ratio of Al_ox used in Aluminium unwrought</t>
  </si>
  <si>
    <t>Production amount of Al_ox used in Aluminium unwrought</t>
  </si>
  <si>
    <t>In-use stock of Al_ox used in Aluminium unwrought</t>
  </si>
  <si>
    <t>Aluminium waste &amp; scrap (Al_sc)</t>
  </si>
  <si>
    <t>Weight ratio of Al_sc used in Aluminium unwrought</t>
  </si>
  <si>
    <t>Production amount of Al_sc used in Aluminium unwrought</t>
  </si>
  <si>
    <t>In-use stock of Al_sc used in Aluminium unwrought</t>
  </si>
  <si>
    <t>Weight ratio of Be_sc used in Beryllium powder</t>
  </si>
  <si>
    <t>Production amount of Be_sc used in Beryllium powder</t>
  </si>
  <si>
    <t>In-use stock of Be_sc used in Beryllium powder</t>
  </si>
  <si>
    <t>Beryllium waste &amp; scrap (Be_sc)</t>
  </si>
  <si>
    <t>Production amount of Be_pow used in the mobility sector</t>
  </si>
  <si>
    <t>In-use stock of Be_pow used in the mobility sector</t>
  </si>
  <si>
    <t>Boric acid (Bo_ac)</t>
  </si>
  <si>
    <t>Cobalt intermediates (Co_int)</t>
  </si>
  <si>
    <t>Weight ratio of Co_int used in cobalt powder</t>
  </si>
  <si>
    <t>Production amount of Co_int used in cobalt powder</t>
  </si>
  <si>
    <t>In-use stock of Co_int used in cobalt powder</t>
  </si>
  <si>
    <t>Weight ratio of Bo_ac used in borates</t>
  </si>
  <si>
    <t>Production amount of Bo_ac used in borates</t>
  </si>
  <si>
    <t>In-use stock of Bo_ac used in borates</t>
  </si>
  <si>
    <t>Weight ratio of Co_sc used in cobalt powder</t>
  </si>
  <si>
    <t>Production amount of Co_sc used in cobalt powder</t>
  </si>
  <si>
    <t>In-use stock of Co_sc used in cobalt powder</t>
  </si>
  <si>
    <t>Cobalt waste &amp; scrap (Co_sc)</t>
  </si>
  <si>
    <t>Hydrogen fluoride (HF)</t>
  </si>
  <si>
    <t>Weight ratio of HF used in Fluorocarbons</t>
  </si>
  <si>
    <t>Production amount of HF used in Fluorocarbons</t>
  </si>
  <si>
    <t>In-use stock of HF used in Fluorocarbons</t>
  </si>
  <si>
    <t>Magnesium unwrought (Mg_un)</t>
  </si>
  <si>
    <t>Weight ratio of Mg_un used in magnesium powder</t>
  </si>
  <si>
    <t>Production amount of Mg_un used in magnesium powder</t>
  </si>
  <si>
    <t>In-use stock of Mg_un used in magnesium powder</t>
  </si>
  <si>
    <t>Magnesium waste &amp; scrap (Mg_sc)</t>
  </si>
  <si>
    <t>Weight ratio of Mg_sc used in magnesium powder</t>
  </si>
  <si>
    <t>Production amount of Mg_sc used in magnesium powder</t>
  </si>
  <si>
    <t>In-use stock of Mg_sc used in magnesium powder</t>
  </si>
  <si>
    <t>Tantalum waste &amp; scrap (Ta_sc)</t>
  </si>
  <si>
    <t>Weight ratio of Ta_sc used in tantalum powder</t>
  </si>
  <si>
    <t>Production amount of Ta_sc used in tantalum powder</t>
  </si>
  <si>
    <t>In-use stock of Ta_sc used in tantalum powder</t>
  </si>
  <si>
    <t>Titanium oxide (Ti_ox)</t>
  </si>
  <si>
    <t>Weight ratio of Ti_ox used in titanium powder</t>
  </si>
  <si>
    <t>Production amount of Ti_ox used in titanium powder</t>
  </si>
  <si>
    <t>In-use stock of Ti_ox used in titanium powder</t>
  </si>
  <si>
    <t>Weight ratio of Ti_ox used in electronics</t>
  </si>
  <si>
    <t>Production amount of Ti_ox used in electronics</t>
  </si>
  <si>
    <t>Production amount of Ti_ox used in the mobility sector</t>
  </si>
  <si>
    <t>In-use stock of Ti_ox used in electronics</t>
  </si>
  <si>
    <t>In-use stock of Ti_ox used in the mobility sector</t>
  </si>
  <si>
    <t>Titanium waste &amp; scrap (Ti_sc)</t>
  </si>
  <si>
    <t>Weight ratio of Ti_sc used in titanium powder</t>
  </si>
  <si>
    <t>Production amount of Ti_sc used in titanium powder</t>
  </si>
  <si>
    <t>In-use stock of Ti_sc used in titanium powder</t>
  </si>
  <si>
    <t>Vanadium oxide (V_ox)</t>
  </si>
  <si>
    <t>Weight ratio of V_ox used in vanadium powder</t>
  </si>
  <si>
    <t>Production amount of V_ox used in vanadium powder</t>
  </si>
  <si>
    <t>In-use stock of V_ox used in vanadium powder</t>
  </si>
  <si>
    <t>Minerals</t>
  </si>
  <si>
    <t>Antimony ore (Sb_ore)</t>
  </si>
  <si>
    <t>Weight ratio of Sb_ore used in Antimony oxide</t>
  </si>
  <si>
    <t>Production amount of Sb_ore used in Antimony oxide</t>
  </si>
  <si>
    <t>In-use stock of Sb_ore used in Antimony oxide</t>
  </si>
  <si>
    <t>Bauxite ore (BX_ore)</t>
  </si>
  <si>
    <t>Weight ratio of BX_ore used in Aluminium oxide</t>
  </si>
  <si>
    <t>Production amount of BX_ore used in Aluminium oxide</t>
  </si>
  <si>
    <t>In-use stock of BX_ore used in Aluminium oxide</t>
  </si>
  <si>
    <t>Baryte ore (Ba_ore)</t>
  </si>
  <si>
    <t>Weight ratio of Ba_ore used in Barytes</t>
  </si>
  <si>
    <t>Production amount of Ba_ore used in Barytes</t>
  </si>
  <si>
    <t>In-use stock of Ba_ore used in Barytes</t>
  </si>
  <si>
    <t>Beryllium ore (Be_ore)</t>
  </si>
  <si>
    <t>Weight ratio of Be_ore used in Beryllium powder</t>
  </si>
  <si>
    <t>Production amount of Be_ore used in Beryllium powder</t>
  </si>
  <si>
    <t>In-use stock of Be_ore used in Beryllium powder</t>
  </si>
  <si>
    <t>Borate mineral (Bo_min)</t>
  </si>
  <si>
    <t>Weight ratio of Bo_min used in Boric acid</t>
  </si>
  <si>
    <t>Production amount of Bo_min used in Boric acid</t>
  </si>
  <si>
    <t>In-use stock of Bo_min used in Boric acid</t>
  </si>
  <si>
    <t>Cobalt ore (Co_ore)</t>
  </si>
  <si>
    <t>Weight ratio of Co_ore used in Cobalt intermediates</t>
  </si>
  <si>
    <t>Production amount of Co_ore used in Cobalt intermediates</t>
  </si>
  <si>
    <t>In-use stock of Co_ore used in Cobalt intermediates</t>
  </si>
  <si>
    <t>Fluorspar (FSP)</t>
  </si>
  <si>
    <t>Weight ratio of FSP used in Hydrogen fluoride</t>
  </si>
  <si>
    <t>Production amount of FSP used in Hydrogen fluoride</t>
  </si>
  <si>
    <t>In-use stock of FSP used in Hydrogen fluoride</t>
  </si>
  <si>
    <t>Rare Earth oxides (REO)</t>
  </si>
  <si>
    <t>Weight ratio of REO used in Rare Earth elements</t>
  </si>
  <si>
    <t>Production amounts of REO used in Rare Earth elements</t>
  </si>
  <si>
    <t>In-use stock of REO used in Rare Earth elements</t>
  </si>
  <si>
    <t>Lithium ore (Li_ore)</t>
  </si>
  <si>
    <t>Weight ratio of Li_ore used in Lithium</t>
  </si>
  <si>
    <t>Production amount of Li_ore used in Lithium</t>
  </si>
  <si>
    <t>In-use stock of Li_ore used in Lithium</t>
  </si>
  <si>
    <t>Magnesium ore (Mg_ore)</t>
  </si>
  <si>
    <t>Weight ratio of Mg_ore used in magnesium unwrought</t>
  </si>
  <si>
    <t>Production amount of Mg_ore used in magnesium unwrought</t>
  </si>
  <si>
    <t>In-use stock of Mg_ore used in magnesium unwrought</t>
  </si>
  <si>
    <t>Niobium ore (Nb_ore)</t>
  </si>
  <si>
    <t>Weight ratio of Nb_ore used in niobium powder</t>
  </si>
  <si>
    <t>Production amount of Nb_ore used in niobium powder</t>
  </si>
  <si>
    <t>In-use stock of Nb_ore used in niobium powder</t>
  </si>
  <si>
    <t>Platinum Group Metal ore (PGM_ore)</t>
  </si>
  <si>
    <t>Weight ratio of PGM_ore used in Platinum Group Metals</t>
  </si>
  <si>
    <t>Production amount of PGM_ore used in Platinum Group Metals</t>
  </si>
  <si>
    <t>In-use stock of PGM_ore used in Platinum Group Metals</t>
  </si>
  <si>
    <t>Scandium ore (Sc_ore)</t>
  </si>
  <si>
    <t>Weight ratio of Sc_ore used in Scandium</t>
  </si>
  <si>
    <t>Production amount of Sc_ore used in Scandium</t>
  </si>
  <si>
    <t>In-use stock of Sc_ore used in Scandium</t>
  </si>
  <si>
    <t>Silicon ore (Si_ore)</t>
  </si>
  <si>
    <t>Weight ratio of Si_ore used in Silicon metal</t>
  </si>
  <si>
    <t>Production amount of Si_ore used in Silicon metal</t>
  </si>
  <si>
    <t>In-use stock of Si_ore used in Silicon metal</t>
  </si>
  <si>
    <t>Tantalum ore (Ta_ore)</t>
  </si>
  <si>
    <t>Weight ratio of Ta_ore used in Tantalum powder</t>
  </si>
  <si>
    <t>Production amount of Ta_ore used in Tantalum powder</t>
  </si>
  <si>
    <t>In-use stock of Ta_ore used in Tantalum powder</t>
  </si>
  <si>
    <t>Titanium ore (Ti_ore)</t>
  </si>
  <si>
    <t>Weight ratio of Ti_ore used in Titanium oxide</t>
  </si>
  <si>
    <t>Production amount of Ti_ore used in Titanium oxide</t>
  </si>
  <si>
    <t>In-use stock of Ti_ore used in Titanium oxide</t>
  </si>
  <si>
    <t>Vanadium ore (V_ore)</t>
  </si>
  <si>
    <t>Weight ratio of V_ore used in Vanadium oxide</t>
  </si>
  <si>
    <t>Production amount of V_ore used in Vanadium oxide</t>
  </si>
  <si>
    <t>In-use stock of V_ore used in Vanadium oxide</t>
  </si>
  <si>
    <t>Codes of producing countries</t>
  </si>
  <si>
    <t>Data about the temporal relevance for vehicle components</t>
  </si>
  <si>
    <t>The considered time horizon of the study is 5 years.</t>
  </si>
  <si>
    <t>Component</t>
  </si>
  <si>
    <t>lifetime</t>
  </si>
  <si>
    <t>number of replacement times over time horizon</t>
  </si>
  <si>
    <t>source</t>
  </si>
  <si>
    <t>comments</t>
  </si>
  <si>
    <t>Lithium ion battery</t>
  </si>
  <si>
    <t>10-20 years</t>
  </si>
  <si>
    <t>Body</t>
  </si>
  <si>
    <t>Chassis</t>
  </si>
  <si>
    <t>assumption</t>
  </si>
  <si>
    <t>50000 km</t>
  </si>
  <si>
    <t>Electronics</t>
  </si>
  <si>
    <t xml:space="preserve">Instrumental panel, heating and air conditioning </t>
  </si>
  <si>
    <t>6-7 years</t>
  </si>
  <si>
    <t>Brake fluids</t>
  </si>
  <si>
    <t>Antifreezing fluids</t>
  </si>
  <si>
    <t>Washing fluids</t>
  </si>
  <si>
    <t>Glues</t>
  </si>
  <si>
    <t>(Sun et al. 2021)</t>
  </si>
  <si>
    <t>Lead-acid battery</t>
  </si>
  <si>
    <t>Internal combustion engine</t>
  </si>
  <si>
    <t>10 years</t>
  </si>
  <si>
    <t>Exhaust</t>
  </si>
  <si>
    <t>2.5 years</t>
  </si>
  <si>
    <t>All intermetiate products (i.e. LIBcc, PbAcBcc, Sglass, Alwi, ICEeq, Mag, Alfo, Alpl, Nbal and Val) and raw materials used in the vehicle components are assumed to have the same lifetime as the components, in which they are included.</t>
  </si>
  <si>
    <t>Wheels &amp; Tires</t>
  </si>
  <si>
    <t>Safety glass used in vehicle</t>
  </si>
  <si>
    <t>13 years</t>
  </si>
  <si>
    <t>Electric motors used in vehicles</t>
  </si>
  <si>
    <t>15-20 years</t>
  </si>
  <si>
    <t xml:space="preserve">Development of production amount determined based on (IEA 2022). </t>
  </si>
  <si>
    <t>(Berjoza and Jurgena 2017a), (Berjoza and Jurgena 2017b)</t>
  </si>
  <si>
    <t>Source: (Wikipedia 2023)</t>
  </si>
  <si>
    <t>(Carlier 2021), (Nikkei Asia 2022)</t>
  </si>
  <si>
    <t xml:space="preserve">It is assumed that the sources consider HEV and PHEV as hybrid cars. </t>
  </si>
  <si>
    <t>(Reynolds and Kandlikar 2007)</t>
  </si>
  <si>
    <t>(Green Car Congress 2013)</t>
  </si>
  <si>
    <t>(OICA 2023)</t>
  </si>
  <si>
    <t>(EPA 2021)</t>
  </si>
  <si>
    <t>(Lehner et al. 2015)</t>
  </si>
  <si>
    <t>(Nordelöf et al. 2019)</t>
  </si>
  <si>
    <t>Development of production amount over time is estimated based on (Tavakoli et al. 2020).</t>
  </si>
  <si>
    <t>estimaed based on (Sustainable Bus 2020) and (OICA 2021)</t>
  </si>
  <si>
    <t>(Intercity Transit 2012)</t>
  </si>
  <si>
    <t>(Zaheer 2020)</t>
  </si>
  <si>
    <t>(azcentral 2017), (Heawley 2021), (Weight of Stuff 2020), (MORR Transportation Consulting Ltd. 2014)</t>
  </si>
  <si>
    <t>(Nordelöf et al. 2019), (Gorzelany 2017)</t>
  </si>
  <si>
    <t>(Gorzelany 2017)</t>
  </si>
  <si>
    <t>The production shares are determined based on data from (OICA 2023).</t>
  </si>
  <si>
    <t>Development of production amount is adapted from (OICA 2023).</t>
  </si>
  <si>
    <t>azcentral, 2017. What Is the Weight of a City Bus? https://getawaytips.azcentral.com/what-is-the-weight-of-a-city-bus-12373480.html (accessed 24/01/2023).</t>
  </si>
  <si>
    <t xml:space="preserve">Berjoza, D., Jurgena, I., 2017a. Effects of change in the weight of electric vehicles on their performance characteristics. Agronomy Research. 15, 952-63. </t>
  </si>
  <si>
    <t>Berjoza, D., Jurgena, I., 2017b. Influence of batteries weight on electric automobile performance. https://doi.org/10.22616/ERDev2017.16.N316.</t>
  </si>
  <si>
    <t>Bureau of Transportation Statistics, 2017. 7-9 Gasoline Hybrid and Electric Vehicle Sales: 2000–2015. https://www.bts.gov/archive/publications/pocket_guide_to_transportation/2017/7_Environment/table7_9 (accessed 23/05/2022).</t>
  </si>
  <si>
    <t>Carlier, M., 2021. Global hybrid electric vehicle production from 2015 to 2025. https://www.statista.com/statistics/797375/global-hybrid-electric-vehicle-production/ (accessed 24/01/2023).</t>
  </si>
  <si>
    <t>Edmondson, J., Wyatt, D., 2021. High Voltage Hybrid Cars, Buses and Trucks 2021-2041. https://www.idtechex.com/en/research-report/high-voltage-hybrid-cars-buses-and-trucks-2021-2041/788 (accessed 23/05/2022).</t>
  </si>
  <si>
    <t xml:space="preserve">EPA, 2021. The 2020 EPA Automotive Trends Report - Greenhouse Gas Emissions, Fuel Economy, and Technology since 1975, in U.S.E.P. Agency (ed.). </t>
  </si>
  <si>
    <t>Gorzelany, J., 2017. Cars And Trucks That Run For 200,000 Miles Or More. https://www.forbes.com/sites/jimgorzelany/2017/03/30/cars-and-trucks-that-run-for-200000-miles-or-more/?sh=19ca4286222d (accessed 24/01/2023).</t>
  </si>
  <si>
    <t>Green Car Congress, 2013. Polk finds average age of US light vehicles continues to increase. https://www.greencarcongress.com/2013/08/polk-20130807.html (accessed 24/01/2023).</t>
  </si>
  <si>
    <t>Heawley, D., 2021. How Much Does a Semi Truck Weigh? https://www.jdpower.com/cars/shopping-guides/how-much-does-a-semi-truck-weigh (accessed 21/01/2023).</t>
  </si>
  <si>
    <t>IEA, 2022. Global EV Data Explorer. https://www.iea.org/data-and-statistics/data-tools/global-ev-data-explorer (accessed 24/01/2023).</t>
  </si>
  <si>
    <t>Intercity Transit, 2012. Hybrid Bus Fact Sheet. https://www.intercitytransit.com/sites/default/files/2016-07/HybridFactSheet20120802.pdf (accessed 21/01/2023).</t>
  </si>
  <si>
    <t>Lehner, S., Rogge, M., Becker, J., Sauer, D.U., 2015. Battery Design for Successful Electrification in Public Transport. Energies. 8, 6715-37. 10.3390/en8076715.</t>
  </si>
  <si>
    <t xml:space="preserve">MORR Transportation Consulting Ltd., 2014. AN ANALYSIS OF TRANSIT BUS AXLE WEIGHT ISSUES, in American Public Transportation Association (ed.). </t>
  </si>
  <si>
    <t>Nikkei Asia, 2022. Global EV sales overtake hybrid cars for first time in 2021. https://asia.nikkei.com/Business/Automobiles/Global-EV-sales-overtake-hybrid-cars-for-first-time-in-2021 (accessed 24/01/2023).</t>
  </si>
  <si>
    <t>Nordelöf, A., Romare, M., Tivander, J., 2019. Life cycle assessment of city buses powered by electricity, hydrogenated vegetable oil or diesel. Transportation Research Part D: Transport and Environment. 75, 211-22. https://doi.org/10.1016/j.trd.2019.08.019.</t>
  </si>
  <si>
    <t>OICA, 2023. 2020 Production Statistics. https://www.oica.net/category/production-statistics/2020-statistics/ (accessed 24/01/2023).</t>
  </si>
  <si>
    <t>Reynolds, C., Kandlikar, M., 2007. How hybrid-electric vehicles are different from conventional vehicles: The effect of weight and power on fuel consumption. Environ. Res. Lett. 2. 10.1088/1748-9326/2/1/014003.</t>
  </si>
  <si>
    <t>Shiau, C.-S.N., Samaras, C., Hauffe, R., Michalek, J.J., 2009. Impact of battery weight and charging patterns on the economic and environmental benefits of plug-in hybrid vehicles. Energy Policy. 37 (7), 2653-63. https://doi.org/10.1016/j.enpol.2009.02.040.</t>
  </si>
  <si>
    <t>Sustainable Bus, 2020. The outlook: over 10 million battery-electric buses and trucks to be sold this decade. https://www.sustainable-bus.com/news/the-outlook-over-10-million-battery-electric-buses-and-trucks-to-be-sold-this-decade/ (accessed 24/01/2023).</t>
  </si>
  <si>
    <t>Tavakoli, A., Saha, S., Arif, M., Haque, M.E., Mendis, N., Oo, A., 2020. Impacts of Grid integration of Solar PV andElectric Vehicle on Grid Stability, PowerQuality and Energy Economics: A Review. IET Energy Systems Integration. 2. 10.1049/iet-esi.2019.0047.</t>
  </si>
  <si>
    <t>Valoriser Consultants Inc., 2017. Electric bus market in China. https://valoriserconsultants.com/electric-bus-market-in-china/ (accessed).</t>
  </si>
  <si>
    <t>Weight of Stuff, 2020. How Much Does a Truck Weigh? (All US Truck Classification Weights). (updated 21/01/2023) https://weightofstuff.com/how-much-does-a-truck-weigh/ (accessed).</t>
  </si>
  <si>
    <t>Wikipedia, 2023. Electric car use by country. https://en.wikipedia.org/wiki/Electric_car_use_by_country (accessed 24/01/2023).</t>
  </si>
  <si>
    <t>Zaheer, H., 2020. Commercial &amp; Off-Highway Vehicle market: COVID-19 to affect next 18-24 months for conventional (ICE), but BEV growth remains strong through 2025. https://powertechresearch.com/commercial-and-off-highway-vehicles-market-covid-19-to-affect-2020-but-solid-ev-growth-projections-through-2019-25/ (accessed 24/01/2023).</t>
  </si>
  <si>
    <t>Wiring (Wir)</t>
  </si>
  <si>
    <t>Production amount of Wir used in BEC</t>
  </si>
  <si>
    <t>Production amount of Wir used in PHEC</t>
  </si>
  <si>
    <t>Production amount of Wir used in HEC</t>
  </si>
  <si>
    <t>Production amount of Wir used in ICEC</t>
  </si>
  <si>
    <t>Production amount of Wir used in BEB</t>
  </si>
  <si>
    <t>Production amount of Wir used in HEB</t>
  </si>
  <si>
    <t>Production amount of Wir used in ICEB</t>
  </si>
  <si>
    <t>Production amount of Wir used in ICET</t>
  </si>
  <si>
    <t>Production amount of Wir used in the mobility sector</t>
  </si>
  <si>
    <t>In-use stock of Wir used in BEC</t>
  </si>
  <si>
    <t>In-use stock of Wir used in PHEC</t>
  </si>
  <si>
    <t>In-use stock of Wir used in HEC</t>
  </si>
  <si>
    <t>In-use stock of Wir used in ICEC</t>
  </si>
  <si>
    <t>In-use stock of Wir used in BEB</t>
  </si>
  <si>
    <t>In-use stock of Wir used in HEB</t>
  </si>
  <si>
    <t>In-use stock of Wir used in ICEB</t>
  </si>
  <si>
    <t>In-use stock of Wir used in ICET</t>
  </si>
  <si>
    <t>In-use stock of Wir used in the mobility sector</t>
  </si>
  <si>
    <t>Weight% of Wiring in BEC, ICEC and ICET</t>
  </si>
  <si>
    <t>Weight% of Wiring in PHEC</t>
  </si>
  <si>
    <t>Weight% of Wiring in HEC</t>
  </si>
  <si>
    <t>Weight% of Wiring in BEB</t>
  </si>
  <si>
    <t>Weight% of Wiring in HEB</t>
  </si>
  <si>
    <t>Weight% of Wiring in ICEB</t>
  </si>
  <si>
    <t>Weight% of Electronics in BEC, ICEC and ICET</t>
  </si>
  <si>
    <t>Weight% of Electronics in PHEC</t>
  </si>
  <si>
    <t>Weight% of Electronics in HEC</t>
  </si>
  <si>
    <t>Weight% of Electronics in BEB</t>
  </si>
  <si>
    <t>Weight% of Electronics in HEB</t>
  </si>
  <si>
    <t>Weight% of Electronics in ICEB</t>
  </si>
  <si>
    <t>Exporting countries codes</t>
  </si>
  <si>
    <t>Mayyas, A., Steward, D., Mann, M., 2019. The case for recycling: Overview and challenges in the material supply chain for automotive li-ion batteries. Sustainable Materials and Technologies. 19, e00087. https://doi.org/10.1016/j.susmat.2018.e00087.</t>
  </si>
  <si>
    <t>Yu, A., Sumangil, M., 2021. Top electric vehicle markets dominate lithium-ion battery capacity growth. https://www.spglobal.com/marketintelligence/en/news-insights/blog/top-electric-vehicle-markets-dominate-lithium-ion-battery-capacity-growth (accessed 25/08/2021).</t>
  </si>
  <si>
    <t>Weight ratio of S_glass in car body</t>
  </si>
  <si>
    <t>Weight ratio of Al_wire in vehicle wiring</t>
  </si>
  <si>
    <t>References</t>
  </si>
  <si>
    <t xml:space="preserve">Chung, D., Elgqvist, E., Santhanagopalan, S., 2015. Automotive Lithium-ion Battery (LIB) Supply Chain and U.S. Competitiveness Considerations, in C.E.M.A.C. (CEMAC) (ed.). </t>
  </si>
  <si>
    <t xml:space="preserve">Lebedeva, N., Di Persio, F., Boon-Breet, L., 2016. Lithium ion battery value chain and related opportunities for Europe, in J.R. Center (ed.). </t>
  </si>
  <si>
    <t>source: (Smith et al. 2022)</t>
  </si>
  <si>
    <t>Weight ratio of Al_pl in BEB chassis including wheels and tires</t>
  </si>
  <si>
    <t>Weight ratio of Al_pl in HEB chassis including wheels and tires</t>
  </si>
  <si>
    <t>Weight ratio of Al_pl in ICEB chassis including wheels and tires</t>
  </si>
  <si>
    <t>Production amount of Al_pl used in BEB chassis</t>
  </si>
  <si>
    <t>Production amount of Al_pl used in HEB chassis</t>
  </si>
  <si>
    <t>Production amount of Al_pl used in ICEB chassis</t>
  </si>
  <si>
    <t>In-use stock of Al_pl used in BEB chassis</t>
  </si>
  <si>
    <t>In-use stock of Al_pl used in HEB chassis</t>
  </si>
  <si>
    <t>In-use stock of Al_pl used in ICEB chassis</t>
  </si>
  <si>
    <t>Smith, B.J., Riddle, M.E., Earlam, M.R., Iloeje, C., Diamond, D., 2022. Rare Earth Permanent Magnets - Supply Chain Deep Dive Assessment, (United States). 10.2172/1871577.</t>
  </si>
  <si>
    <t>Weight ratio of Co_pow used in Cha of HEC</t>
  </si>
  <si>
    <t>Weight ratio of Co_pow used in Cha of PHEC</t>
  </si>
  <si>
    <t>Production amount of Co_pow used in Cha of PHEC</t>
  </si>
  <si>
    <t>Production amount of Co_pow used in Cha of HEC</t>
  </si>
  <si>
    <t>In-use stock of Co_pow used in Cha of PHEC</t>
  </si>
  <si>
    <t>In-use stock of Co_pow used in Cha of HEC</t>
  </si>
  <si>
    <t xml:space="preserve">*Following Burnham et al. (2006), the weight of heating and air conditioning is 44 kg and the weight of the instrumental panel is 53 kg in cars. </t>
  </si>
  <si>
    <t>weight%*</t>
  </si>
  <si>
    <t>**Following Das and Warren (2012), heating and air conditioning is 2% of the total weight and the instrumental panel is 1% of the total weight.</t>
  </si>
  <si>
    <t>weight%**</t>
  </si>
  <si>
    <t>Weight ratio of Mg pow used in Al plates</t>
  </si>
  <si>
    <t>Production amount of Mg pow used in Al plates</t>
  </si>
  <si>
    <t>In-use stock of Mg pow used in Al plates</t>
  </si>
  <si>
    <t>Weight ratio of NRU used in chassis of BEB</t>
  </si>
  <si>
    <t>Weight ratio of NRU used in chassis of HEB</t>
  </si>
  <si>
    <t>Weight ratio of NRU used in chassis of ICEB</t>
  </si>
  <si>
    <t>Production amount of NRU used in chassis of BEB</t>
  </si>
  <si>
    <t>Production amount of NRU used in chassis of HEB</t>
  </si>
  <si>
    <t>Production amount of NRU used in chassis of ICEB</t>
  </si>
  <si>
    <t>In-use stock of NRU used in chassis of BEB</t>
  </si>
  <si>
    <t>In-use stock of NRU used in chassis of HEB</t>
  </si>
  <si>
    <t>In-use stock of NRU used in chassis of ICEB</t>
  </si>
  <si>
    <t>Production amounts (in kg) based on (FAOSTAT 2022)</t>
  </si>
  <si>
    <t>Weight ratio of Si met used in Al plates</t>
  </si>
  <si>
    <t>Production amount of Si met used in electronics</t>
  </si>
  <si>
    <t>Production amount of Si met used in Al plates</t>
  </si>
  <si>
    <t>In-use stock of Si met used in electronics</t>
  </si>
  <si>
    <t>In-use stock of Si met used in Al plates</t>
  </si>
  <si>
    <t>Production amount of Ti pow used in Al plates</t>
  </si>
  <si>
    <t>In-use stock of Ti pow used in Al plates</t>
  </si>
  <si>
    <t>Weight ratio of Ti pow used in Al plates</t>
  </si>
  <si>
    <t>Burnham, A., Wang, M.Q., Wu, Y., 2006. Development and applications of GREET 2.7 -- The Transportation Vehicle-CycleModel, (United States), Medium: ED. 10.2172/898530.</t>
  </si>
  <si>
    <t xml:space="preserve">Das, S., Warren, D., 2012. Technical Cost Modeling - Life Cycle Analysis Basis for Program Focus, in Oak Ridge National Laboratory (ed.). </t>
  </si>
  <si>
    <t>FAOSTAT, 2022. Rubber, natural. http://data.un.org/Data.aspx?d=FAO&amp;f=itemCode%3A836#FAO (accessed 24/01/2023).</t>
  </si>
  <si>
    <t xml:space="preserve">Idoine, N.E., Raycraft, E.R., Shaw, R.A., Hobbs, S.F., Deady, E.A., Everett, P., Evans, E.J., Mills, A.J., 2022. WORLD MINERAL PRODUCTION 2016–20, in British Geological Survey (ed.). </t>
  </si>
  <si>
    <t>(EDF-Group 2023)</t>
  </si>
  <si>
    <t>(Automobile Association Developments 2023)</t>
  </si>
  <si>
    <t>The average distance of a vehicle in Switzerland is estimated as 16000 km/year following CSO Ireland (2023) and Bolla et al. (2018). The average distance of a Swiss vehicle over 5 years is thus 80000 km.</t>
  </si>
  <si>
    <t>(Singapore car servicing 2022)</t>
  </si>
  <si>
    <t>(Renault Group 2021)</t>
  </si>
  <si>
    <t>(Riverdale Automotive 2017)</t>
  </si>
  <si>
    <t>(Walker 2022)</t>
  </si>
  <si>
    <t>(Westbroek et al. 2021)</t>
  </si>
  <si>
    <t>Automobile Association Developments, 2023. How long do car tyres last for? And what to think about when buying new tyres. https://www.theaa.com/driving-advice/safety/tyre-life-and-age (accessed 01/03/2023).</t>
  </si>
  <si>
    <t xml:space="preserve">Bolla, M., Held, M., Küng, L., Georges, G., Boulouchos, K., 2018. Vehicle motion patterns for energy research: Comparison of annual mileage using vehicleand person-based data, 18th Swiss Transport Research Conference (STRC 2018) (STRC). </t>
  </si>
  <si>
    <t>CSO Ireland, 2023. Transport Omnibus 2019. https://www.cso.ie/en/releasesandpublications/ep/p-tranom/transportomnibus2019/roadtrafficvolumes/ (accessed 01/03/2023).</t>
  </si>
  <si>
    <t>EDF-Group, 2023. How do electric car batteries work? https://www.edfenergy.com/electric-cars/batteries (accessed 01/03/2023).</t>
  </si>
  <si>
    <t>Renault Group, 2021. Learn all you need to know about the motor of an electric car. https://www.renaultgroup.com/en/news-on-air/news/learn-all-you-need-to-know-about-the-motor-of-an-electric-car/ (accessed 01/03/2023).</t>
  </si>
  <si>
    <t>Riverdale Automotive, 2017. What Is the Average Lifespan of a Vehicle Engine? https://riverdaleautomotive.com/2017/08/what-is-the-average-lifespan-of-a-vehicle-engine/ (accessed 01/03/2023).</t>
  </si>
  <si>
    <t>Singapore car servicing, 2022. How Long Does A Car Aircon Last? https://www.singaporecarservicing.com/articles/how-long-does-a-car-aircon-last.html (accessed 01/03/2023).</t>
  </si>
  <si>
    <t>Sun, X., Bach, V., Finkbeiner, M., Yang, J., 2021. Criticality Assessment of the Life Cycle of Passenger Vehicles Produced in China. Circular Economy and Sustainability. https://doi.org/10.1007/s43615-021-00012-5.</t>
  </si>
  <si>
    <t>Walker, 2022. Why Exhaust Systems Wear Out - Determining the Lifespan of the Exhaust System. https://www.walkerexhaust.com/support/exhaust-101/why-exhaust-systems-wear-out.html (accessed 01/03/2023).</t>
  </si>
  <si>
    <t>Westbroek, C.D., Bitting, J., Craglia, M., Azevedo, J.M.C., Cullen, J.M., 2021. Global material flow analysis of glass: From raw materials to end of life. Journal of Industrial Ecology. 25 (2), 333-43. https://doi.org/10.1111/jiec.13112.</t>
  </si>
  <si>
    <t>Replacement times are estimated following Sun et al. (2021). Their study considers the entire vehicle use phase. It is assumed that the here considered 5 years time horizon is equal to half of the vehicle lifetime considered by Sun et al. (2021) and thus half of their estimated replacement times are assumed.</t>
  </si>
  <si>
    <t>Development of production amount from 2015 to 2020 adapted from Edmondson and Wyatt (2021) and from 2005 to 2015 adapted from Bureau of Transportation Statistics (2017).</t>
  </si>
  <si>
    <t>The production shares are determined based on data from OICA (2023). The production shares of hybrid electric vehicles per country are assumed to be equal to the production share of internal combustion engine vehicles.</t>
  </si>
  <si>
    <t>Development of production amount is adapted from OICA (2021).</t>
  </si>
  <si>
    <t xml:space="preserve">The production shares are determined based on data from OICA (2023). </t>
  </si>
  <si>
    <t>(Sustainable Bus 2020), (Fortune Business Insights 2022)</t>
  </si>
  <si>
    <t>Fortune Business Insights, 2022. Electric Bus Market Size Worth 544 Thousand Units, Globally, by 2028 at 16% CAGR. https://www.globenewswire.com/news-release/2022/10/11/2531437/0/en/Electric-Bus-Market-Size-Worth-544-Thousand-Units-Globally-by-2028-at-16-CAGR.html (accessed 18/05/2023).</t>
  </si>
  <si>
    <t>Development of production amount over time is estimated based on Valoriser Consultants Inc. (2017).</t>
  </si>
  <si>
    <t>The production shares are determined based on data from OICA (2023). The production shares of hybrid electric buses per country are assumed to be equal to the production shares of internal combustion engine buses.</t>
  </si>
  <si>
    <t>Production amounts (in kg) based on Idoine et al. (2022)</t>
  </si>
  <si>
    <t>Production amounts in kg based on Idoine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</si>
</sst>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_ * #,##0_ ;_ * \-#,##0_ ;_ * &quot;-&quot;??_ ;_ @_ "/>
    <numFmt numFmtId="165" formatCode="0.0%"/>
    <numFmt numFmtId="166" formatCode="0.0000%"/>
    <numFmt numFmtId="167" formatCode="0.000%"/>
    <numFmt numFmtId="168" formatCode="0.0000"/>
    <numFmt numFmtId="169" formatCode="0.00000"/>
    <numFmt numFmtId="170" formatCode="0.00000%"/>
  </numFmts>
  <fonts count="12">
    <font>
      <sz val="10"/>
      <color theme="1"/>
      <name val="Segoe UI"/>
      <family val="2"/>
    </font>
    <font>
      <sz val="10"/>
      <color theme="1"/>
      <name val="Segoe UI"/>
      <family val="2"/>
    </font>
    <font>
      <u/>
      <sz val="11"/>
      <color theme="10"/>
      <name val="Calibri"/>
      <family val="2"/>
    </font>
    <font>
      <b/>
      <sz val="10"/>
      <color theme="1"/>
      <name val="Segoe UI"/>
      <family val="2"/>
    </font>
    <font>
      <u/>
      <sz val="10"/>
      <color theme="10"/>
      <name val="Segoe UI"/>
      <family val="2"/>
    </font>
    <font>
      <sz val="10"/>
      <name val="Segoe UI"/>
      <family val="2"/>
    </font>
    <font>
      <sz val="10"/>
      <color rgb="FFFF0000"/>
      <name val="Segoe UI"/>
      <family val="2"/>
    </font>
    <font>
      <b/>
      <sz val="12"/>
      <color theme="1"/>
      <name val="Segoe UI"/>
      <family val="2"/>
    </font>
    <font>
      <sz val="12"/>
      <name val="Helv"/>
    </font>
    <font>
      <sz val="9.8000000000000007"/>
      <color rgb="FF6897BB"/>
      <name val="JetBrains Mono"/>
      <family val="3"/>
    </font>
    <font>
      <sz val="9.8000000000000007"/>
      <name val="Segoe UI"/>
      <family val="2"/>
    </font>
    <font>
      <sz val="12"/>
      <color theme="1"/>
      <name val="Segoe UI"/>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8" fillId="0" borderId="0"/>
    <xf numFmtId="0" fontId="8" fillId="0" borderId="0"/>
  </cellStyleXfs>
  <cellXfs count="184">
    <xf numFmtId="0" fontId="0" fillId="0" borderId="0" xfId="0"/>
    <xf numFmtId="0" fontId="0" fillId="0" borderId="0" xfId="0" applyAlignment="1">
      <alignment wrapText="1"/>
    </xf>
    <xf numFmtId="9" fontId="0" fillId="0" borderId="0" xfId="0" applyNumberFormat="1"/>
    <xf numFmtId="164" fontId="0" fillId="0" borderId="0" xfId="1" applyNumberFormat="1" applyFont="1"/>
    <xf numFmtId="164" fontId="0" fillId="0" borderId="0" xfId="0" applyNumberFormat="1"/>
    <xf numFmtId="0" fontId="3" fillId="0" borderId="0" xfId="0" applyFont="1" applyBorder="1" applyAlignment="1">
      <alignment horizontal="left"/>
    </xf>
    <xf numFmtId="0" fontId="0" fillId="0" borderId="0" xfId="0" applyFont="1" applyBorder="1" applyAlignment="1">
      <alignment horizontal="left"/>
    </xf>
    <xf numFmtId="164" fontId="0" fillId="0" borderId="0" xfId="1" applyNumberFormat="1" applyFont="1" applyBorder="1" applyAlignment="1">
      <alignment horizontal="left"/>
    </xf>
    <xf numFmtId="9" fontId="0" fillId="0" borderId="0" xfId="3" applyFont="1" applyBorder="1" applyAlignment="1">
      <alignment horizontal="left"/>
    </xf>
    <xf numFmtId="165" fontId="0" fillId="0" borderId="0" xfId="3" applyNumberFormat="1" applyFont="1" applyBorder="1" applyAlignment="1">
      <alignment horizontal="left"/>
    </xf>
    <xf numFmtId="0" fontId="0" fillId="0" borderId="0" xfId="0" applyFont="1" applyFill="1" applyBorder="1" applyAlignment="1">
      <alignment horizontal="left"/>
    </xf>
    <xf numFmtId="1" fontId="0" fillId="0" borderId="0" xfId="0" applyNumberFormat="1"/>
    <xf numFmtId="9" fontId="0" fillId="0" borderId="0" xfId="3" applyFont="1"/>
    <xf numFmtId="10" fontId="0" fillId="0" borderId="0" xfId="0" applyNumberFormat="1"/>
    <xf numFmtId="0" fontId="0" fillId="0" borderId="0" xfId="0" applyAlignment="1">
      <alignment vertical="center"/>
    </xf>
    <xf numFmtId="10" fontId="0" fillId="0" borderId="0" xfId="3" applyNumberFormat="1" applyFont="1"/>
    <xf numFmtId="9" fontId="5" fillId="0" borderId="0" xfId="3" applyFont="1" applyAlignment="1" applyProtection="1"/>
    <xf numFmtId="0" fontId="5" fillId="0" borderId="0" xfId="2" applyFont="1" applyAlignment="1" applyProtection="1">
      <alignment vertical="center"/>
    </xf>
    <xf numFmtId="0" fontId="0" fillId="0" borderId="0" xfId="0" applyAlignment="1">
      <alignment horizontal="left" vertical="center"/>
    </xf>
    <xf numFmtId="0" fontId="1" fillId="0" borderId="0" xfId="0" applyFont="1"/>
    <xf numFmtId="0" fontId="3" fillId="0" borderId="0" xfId="0" applyFont="1"/>
    <xf numFmtId="0" fontId="7" fillId="0" borderId="0" xfId="0" applyFont="1"/>
    <xf numFmtId="0" fontId="0" fillId="0" borderId="1" xfId="0" applyBorder="1"/>
    <xf numFmtId="0" fontId="0" fillId="0" borderId="2" xfId="0" applyBorder="1"/>
    <xf numFmtId="0" fontId="0" fillId="0" borderId="3" xfId="0" applyBorder="1"/>
    <xf numFmtId="0" fontId="0" fillId="0" borderId="4" xfId="0" applyFont="1" applyBorder="1"/>
    <xf numFmtId="164" fontId="0" fillId="0" borderId="0" xfId="1" applyNumberFormat="1" applyFont="1" applyBorder="1"/>
    <xf numFmtId="0" fontId="0" fillId="0" borderId="0" xfId="0" applyFont="1" applyBorder="1"/>
    <xf numFmtId="0" fontId="0" fillId="0" borderId="0" xfId="0" applyBorder="1"/>
    <xf numFmtId="0" fontId="0" fillId="0" borderId="5" xfId="0" applyBorder="1"/>
    <xf numFmtId="0" fontId="0" fillId="0" borderId="4" xfId="0" applyBorder="1"/>
    <xf numFmtId="0" fontId="0" fillId="0" borderId="4" xfId="0" applyFont="1" applyBorder="1" applyAlignment="1">
      <alignment wrapText="1"/>
    </xf>
    <xf numFmtId="0" fontId="0" fillId="0" borderId="0" xfId="0" applyBorder="1" applyAlignment="1">
      <alignment wrapText="1"/>
    </xf>
    <xf numFmtId="0" fontId="0" fillId="0" borderId="5" xfId="0" applyBorder="1" applyAlignment="1">
      <alignment wrapText="1"/>
    </xf>
    <xf numFmtId="9" fontId="0" fillId="0" borderId="0" xfId="0" applyNumberFormat="1" applyBorder="1"/>
    <xf numFmtId="9" fontId="0" fillId="0" borderId="0" xfId="3" applyFont="1" applyBorder="1"/>
    <xf numFmtId="164" fontId="0" fillId="0" borderId="7" xfId="1" applyNumberFormat="1" applyFont="1" applyBorder="1"/>
    <xf numFmtId="0" fontId="0" fillId="0" borderId="7" xfId="0" applyBorder="1"/>
    <xf numFmtId="0" fontId="6" fillId="0" borderId="0" xfId="0" applyFont="1" applyBorder="1" applyAlignment="1">
      <alignment wrapText="1"/>
    </xf>
    <xf numFmtId="0" fontId="0" fillId="0" borderId="6" xfId="0" applyBorder="1"/>
    <xf numFmtId="9" fontId="0" fillId="0" borderId="7" xfId="0" applyNumberFormat="1" applyBorder="1"/>
    <xf numFmtId="164" fontId="0" fillId="0" borderId="0" xfId="0" applyNumberFormat="1" applyBorder="1"/>
    <xf numFmtId="0" fontId="0" fillId="0" borderId="8" xfId="0" applyBorder="1"/>
    <xf numFmtId="0" fontId="0" fillId="0" borderId="0" xfId="0" applyFill="1" applyBorder="1"/>
    <xf numFmtId="3" fontId="5" fillId="0" borderId="0" xfId="4" applyNumberFormat="1" applyFont="1" applyFill="1" applyBorder="1" applyAlignment="1" applyProtection="1">
      <alignment vertical="center"/>
      <protection locked="0"/>
    </xf>
    <xf numFmtId="3" fontId="5" fillId="0" borderId="0" xfId="4" applyNumberFormat="1" applyFont="1" applyFill="1" applyBorder="1" applyAlignment="1">
      <alignment vertical="center"/>
    </xf>
    <xf numFmtId="0" fontId="5" fillId="0" borderId="0" xfId="2" applyFont="1" applyFill="1" applyBorder="1" applyAlignment="1" applyProtection="1"/>
    <xf numFmtId="3" fontId="5" fillId="0" borderId="4" xfId="5" applyNumberFormat="1" applyFont="1" applyFill="1" applyBorder="1" applyAlignment="1">
      <alignment horizontal="left" vertical="center"/>
    </xf>
    <xf numFmtId="10" fontId="0" fillId="0" borderId="0" xfId="3" applyNumberFormat="1" applyFont="1" applyBorder="1"/>
    <xf numFmtId="3" fontId="5" fillId="0" borderId="4"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3" fontId="5" fillId="0" borderId="6" xfId="0" applyNumberFormat="1" applyFont="1" applyFill="1" applyBorder="1" applyAlignment="1">
      <alignment horizontal="left" vertical="center"/>
    </xf>
    <xf numFmtId="3" fontId="0" fillId="0" borderId="7" xfId="0" applyNumberFormat="1" applyBorder="1"/>
    <xf numFmtId="0" fontId="3" fillId="0" borderId="0" xfId="0" applyFont="1" applyBorder="1"/>
    <xf numFmtId="9" fontId="0" fillId="0" borderId="5" xfId="3" applyFont="1" applyBorder="1"/>
    <xf numFmtId="0" fontId="5" fillId="0" borderId="5" xfId="2" applyFont="1" applyBorder="1" applyAlignment="1" applyProtection="1"/>
    <xf numFmtId="0" fontId="0" fillId="0" borderId="6" xfId="0" applyFill="1" applyBorder="1"/>
    <xf numFmtId="164" fontId="0" fillId="0" borderId="0" xfId="1" applyNumberFormat="1" applyFont="1" applyBorder="1" applyAlignment="1">
      <alignment wrapText="1"/>
    </xf>
    <xf numFmtId="0" fontId="0" fillId="0" borderId="5" xfId="0" applyFill="1" applyBorder="1" applyAlignment="1">
      <alignment wrapText="1"/>
    </xf>
    <xf numFmtId="10" fontId="5" fillId="0" borderId="0" xfId="3" applyNumberFormat="1" applyFont="1" applyBorder="1"/>
    <xf numFmtId="0" fontId="0" fillId="0" borderId="1" xfId="0" applyFont="1" applyBorder="1" applyAlignment="1">
      <alignment horizontal="left"/>
    </xf>
    <xf numFmtId="0" fontId="0" fillId="0" borderId="2" xfId="0" applyBorder="1" applyAlignment="1">
      <alignment wrapText="1"/>
    </xf>
    <xf numFmtId="0" fontId="0" fillId="0" borderId="2" xfId="0" applyFont="1" applyBorder="1" applyAlignment="1">
      <alignment horizontal="left"/>
    </xf>
    <xf numFmtId="0" fontId="0" fillId="0" borderId="0" xfId="0" applyFont="1" applyBorder="1" applyAlignment="1">
      <alignment wrapText="1"/>
    </xf>
    <xf numFmtId="0" fontId="0" fillId="0" borderId="5" xfId="0" applyFont="1" applyBorder="1" applyAlignment="1">
      <alignment wrapText="1"/>
    </xf>
    <xf numFmtId="1" fontId="0" fillId="0" borderId="0" xfId="0" applyNumberFormat="1" applyBorder="1"/>
    <xf numFmtId="1" fontId="0" fillId="0" borderId="5" xfId="0" applyNumberFormat="1" applyBorder="1"/>
    <xf numFmtId="0" fontId="0" fillId="0" borderId="4" xfId="0" applyBorder="1" applyAlignment="1">
      <alignment wrapText="1"/>
    </xf>
    <xf numFmtId="0" fontId="0" fillId="0" borderId="6" xfId="0" applyBorder="1" applyAlignment="1">
      <alignment wrapText="1"/>
    </xf>
    <xf numFmtId="164" fontId="0" fillId="0" borderId="7" xfId="0" applyNumberFormat="1" applyBorder="1"/>
    <xf numFmtId="165" fontId="0" fillId="0" borderId="0" xfId="3" applyNumberFormat="1" applyFont="1" applyBorder="1"/>
    <xf numFmtId="0" fontId="0" fillId="0" borderId="0" xfId="0" applyFont="1" applyBorder="1" applyAlignment="1"/>
    <xf numFmtId="0" fontId="0" fillId="0" borderId="5" xfId="0" applyFont="1" applyBorder="1"/>
    <xf numFmtId="0" fontId="0" fillId="0" borderId="7" xfId="0" applyFont="1" applyBorder="1" applyAlignment="1">
      <alignment horizontal="left"/>
    </xf>
    <xf numFmtId="164" fontId="0" fillId="0" borderId="7" xfId="1" applyNumberFormat="1" applyFont="1" applyBorder="1" applyAlignment="1">
      <alignment horizontal="left"/>
    </xf>
    <xf numFmtId="1" fontId="0" fillId="0" borderId="5" xfId="0" applyNumberFormat="1" applyFont="1" applyBorder="1"/>
    <xf numFmtId="43" fontId="0" fillId="0" borderId="0" xfId="1" applyNumberFormat="1" applyFont="1" applyBorder="1"/>
    <xf numFmtId="3" fontId="5" fillId="0" borderId="0" xfId="5" applyNumberFormat="1" applyFont="1" applyFill="1" applyBorder="1" applyAlignment="1">
      <alignment horizontal="left" vertical="center"/>
    </xf>
    <xf numFmtId="3"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9" fontId="5" fillId="0" borderId="0" xfId="3" applyFont="1" applyFill="1" applyBorder="1" applyAlignment="1" applyProtection="1">
      <alignment vertical="center"/>
      <protection locked="0"/>
    </xf>
    <xf numFmtId="164" fontId="5" fillId="0" borderId="0" xfId="1" applyNumberFormat="1" applyFont="1" applyFill="1" applyBorder="1" applyAlignment="1" applyProtection="1">
      <alignment vertical="center"/>
      <protection locked="0"/>
    </xf>
    <xf numFmtId="10" fontId="0" fillId="0" borderId="0" xfId="0" applyNumberFormat="1" applyBorder="1"/>
    <xf numFmtId="43" fontId="0" fillId="0" borderId="0" xfId="0" applyNumberFormat="1" applyBorder="1"/>
    <xf numFmtId="0" fontId="3" fillId="0" borderId="4" xfId="0" applyFont="1" applyBorder="1" applyAlignment="1">
      <alignment horizontal="left"/>
    </xf>
    <xf numFmtId="0" fontId="0" fillId="0" borderId="4" xfId="0" applyFont="1" applyBorder="1" applyAlignment="1">
      <alignment horizontal="left"/>
    </xf>
    <xf numFmtId="0" fontId="0" fillId="0" borderId="6" xfId="0" applyFont="1" applyBorder="1" applyAlignment="1">
      <alignment horizontal="left"/>
    </xf>
    <xf numFmtId="165" fontId="0" fillId="0" borderId="7" xfId="3" applyNumberFormat="1" applyFont="1" applyBorder="1" applyAlignment="1">
      <alignment horizontal="left"/>
    </xf>
    <xf numFmtId="3" fontId="5" fillId="0" borderId="7" xfId="0" applyNumberFormat="1" applyFont="1" applyFill="1" applyBorder="1" applyAlignment="1">
      <alignment horizontal="left" vertical="center"/>
    </xf>
    <xf numFmtId="1" fontId="0" fillId="0" borderId="8" xfId="0" applyNumberFormat="1" applyBorder="1"/>
    <xf numFmtId="0" fontId="3" fillId="0" borderId="0" xfId="0" applyFont="1" applyFill="1" applyBorder="1" applyAlignment="1">
      <alignment wrapText="1"/>
    </xf>
    <xf numFmtId="0" fontId="3" fillId="0" borderId="0" xfId="0" applyFont="1" applyFill="1" applyBorder="1" applyAlignment="1"/>
    <xf numFmtId="43" fontId="5" fillId="0" borderId="0" xfId="1" applyNumberFormat="1" applyFont="1" applyFill="1" applyBorder="1" applyAlignment="1" applyProtection="1">
      <alignment vertical="center"/>
      <protection locked="0"/>
    </xf>
    <xf numFmtId="0" fontId="0" fillId="0" borderId="0" xfId="0" applyFill="1" applyBorder="1" applyAlignment="1">
      <alignment wrapText="1"/>
    </xf>
    <xf numFmtId="0" fontId="2" fillId="0" borderId="0" xfId="2" applyAlignment="1" applyProtection="1"/>
    <xf numFmtId="0" fontId="0" fillId="0" borderId="0" xfId="0" applyAlignment="1"/>
    <xf numFmtId="0" fontId="0" fillId="0" borderId="0" xfId="0" applyFont="1" applyBorder="1" applyAlignment="1">
      <alignment horizontal="left" wrapText="1"/>
    </xf>
    <xf numFmtId="0" fontId="0" fillId="0" borderId="2" xfId="0" applyFont="1" applyBorder="1"/>
    <xf numFmtId="0" fontId="5" fillId="0" borderId="2" xfId="2" applyFont="1" applyBorder="1" applyAlignment="1" applyProtection="1"/>
    <xf numFmtId="0" fontId="0" fillId="0" borderId="4" xfId="0" applyFont="1" applyFill="1" applyBorder="1" applyAlignment="1">
      <alignment wrapText="1"/>
    </xf>
    <xf numFmtId="0" fontId="5" fillId="0" borderId="0" xfId="2" applyFont="1" applyBorder="1" applyAlignment="1" applyProtection="1"/>
    <xf numFmtId="0" fontId="4" fillId="0" borderId="0" xfId="2" applyFont="1" applyBorder="1" applyAlignment="1" applyProtection="1">
      <alignment wrapText="1"/>
    </xf>
    <xf numFmtId="0" fontId="5" fillId="0" borderId="0" xfId="2" applyFont="1" applyBorder="1" applyAlignment="1" applyProtection="1">
      <alignment wrapText="1"/>
    </xf>
    <xf numFmtId="0" fontId="0" fillId="0" borderId="5" xfId="0" applyFont="1" applyFill="1" applyBorder="1" applyAlignment="1">
      <alignment horizontal="left" wrapText="1"/>
    </xf>
    <xf numFmtId="0" fontId="0" fillId="0" borderId="4" xfId="0" applyFont="1" applyBorder="1" applyAlignment="1">
      <alignment horizontal="left" wrapText="1"/>
    </xf>
    <xf numFmtId="0" fontId="4" fillId="0" borderId="0" xfId="2" applyFont="1" applyBorder="1" applyAlignment="1" applyProtection="1"/>
    <xf numFmtId="9" fontId="5" fillId="0" borderId="0" xfId="3" applyFont="1" applyBorder="1" applyAlignment="1" applyProtection="1"/>
    <xf numFmtId="0" fontId="5" fillId="0" borderId="0" xfId="3" applyNumberFormat="1" applyFont="1" applyBorder="1" applyAlignment="1" applyProtection="1"/>
    <xf numFmtId="1" fontId="0" fillId="0" borderId="0" xfId="1" applyNumberFormat="1" applyFont="1" applyBorder="1"/>
    <xf numFmtId="0" fontId="0" fillId="0" borderId="7" xfId="0" applyFont="1" applyBorder="1"/>
    <xf numFmtId="9" fontId="5" fillId="0" borderId="7" xfId="3" applyFont="1" applyBorder="1" applyAlignment="1" applyProtection="1"/>
    <xf numFmtId="0" fontId="5" fillId="0" borderId="7" xfId="0" applyFont="1" applyBorder="1"/>
    <xf numFmtId="1" fontId="0" fillId="0" borderId="7" xfId="0" applyNumberFormat="1" applyBorder="1"/>
    <xf numFmtId="9" fontId="0" fillId="0" borderId="7" xfId="3" applyFont="1" applyBorder="1"/>
    <xf numFmtId="0" fontId="0" fillId="0" borderId="2" xfId="0" applyFill="1" applyBorder="1" applyAlignment="1">
      <alignment wrapText="1"/>
    </xf>
    <xf numFmtId="0" fontId="0" fillId="0" borderId="3" xfId="0" applyFill="1" applyBorder="1" applyAlignment="1">
      <alignment wrapText="1"/>
    </xf>
    <xf numFmtId="0" fontId="0" fillId="0" borderId="6" xfId="0" applyFont="1" applyBorder="1" applyAlignment="1">
      <alignment horizontal="left" wrapText="1"/>
    </xf>
    <xf numFmtId="0" fontId="0" fillId="0" borderId="0" xfId="0" applyAlignment="1">
      <alignment horizontal="left"/>
    </xf>
    <xf numFmtId="0" fontId="3" fillId="0" borderId="0" xfId="0" applyFont="1" applyAlignment="1">
      <alignment wrapText="1"/>
    </xf>
    <xf numFmtId="0" fontId="3" fillId="0" borderId="0" xfId="0" applyFont="1" applyAlignment="1"/>
    <xf numFmtId="0" fontId="0" fillId="0" borderId="0" xfId="3" applyNumberFormat="1" applyFont="1"/>
    <xf numFmtId="0" fontId="0" fillId="0" borderId="0" xfId="0" applyFill="1" applyBorder="1" applyAlignment="1">
      <alignment horizontal="left"/>
    </xf>
    <xf numFmtId="0" fontId="9" fillId="0" borderId="0" xfId="0" applyFont="1" applyAlignment="1">
      <alignment vertical="center"/>
    </xf>
    <xf numFmtId="0" fontId="0" fillId="0" borderId="0" xfId="0" applyAlignment="1">
      <alignment horizontal="left" wrapText="1"/>
    </xf>
    <xf numFmtId="0" fontId="11" fillId="0" borderId="0" xfId="0" applyFont="1"/>
    <xf numFmtId="43" fontId="0" fillId="0" borderId="0" xfId="0" applyNumberFormat="1"/>
    <xf numFmtId="3" fontId="0" fillId="0" borderId="0" xfId="0" applyNumberFormat="1" applyBorder="1"/>
    <xf numFmtId="164" fontId="5" fillId="0" borderId="0" xfId="1" applyNumberFormat="1" applyFont="1" applyBorder="1"/>
    <xf numFmtId="0" fontId="0" fillId="0" borderId="0" xfId="1" applyNumberFormat="1" applyFont="1" applyBorder="1"/>
    <xf numFmtId="0" fontId="3" fillId="0" borderId="7" xfId="0" applyFont="1" applyFill="1" applyBorder="1" applyAlignment="1">
      <alignment wrapText="1"/>
    </xf>
    <xf numFmtId="0" fontId="0" fillId="0" borderId="0" xfId="0" applyBorder="1" applyAlignment="1">
      <alignment horizontal="left"/>
    </xf>
    <xf numFmtId="10" fontId="0" fillId="0" borderId="7" xfId="0" applyNumberFormat="1" applyBorder="1"/>
    <xf numFmtId="0" fontId="0" fillId="0" borderId="7" xfId="0" applyFill="1" applyBorder="1"/>
    <xf numFmtId="166" fontId="0" fillId="0" borderId="0" xfId="3" applyNumberFormat="1" applyFont="1" applyBorder="1"/>
    <xf numFmtId="0" fontId="0" fillId="0" borderId="7" xfId="0" applyFont="1" applyBorder="1" applyAlignment="1">
      <alignment horizontal="left" wrapText="1"/>
    </xf>
    <xf numFmtId="0" fontId="0" fillId="0" borderId="7" xfId="0" applyBorder="1" applyAlignment="1">
      <alignment wrapText="1"/>
    </xf>
    <xf numFmtId="1" fontId="10" fillId="0" borderId="0" xfId="0" applyNumberFormat="1" applyFont="1" applyBorder="1" applyAlignment="1">
      <alignment vertical="center"/>
    </xf>
    <xf numFmtId="0" fontId="0" fillId="0" borderId="7" xfId="0" applyBorder="1" applyAlignment="1">
      <alignment horizontal="left"/>
    </xf>
    <xf numFmtId="1" fontId="10" fillId="0" borderId="7" xfId="0" applyNumberFormat="1" applyFont="1" applyBorder="1" applyAlignment="1">
      <alignment vertical="center"/>
    </xf>
    <xf numFmtId="10" fontId="0" fillId="0" borderId="7" xfId="3" applyNumberFormat="1" applyFont="1" applyBorder="1"/>
    <xf numFmtId="167" fontId="0" fillId="0" borderId="0" xfId="3" applyNumberFormat="1" applyFont="1" applyBorder="1"/>
    <xf numFmtId="168" fontId="0" fillId="0" borderId="0" xfId="0" applyNumberFormat="1" applyBorder="1"/>
    <xf numFmtId="169" fontId="0" fillId="0" borderId="0" xfId="3" applyNumberFormat="1" applyFont="1" applyBorder="1"/>
    <xf numFmtId="1" fontId="0" fillId="0" borderId="7" xfId="1" applyNumberFormat="1" applyFont="1" applyBorder="1"/>
    <xf numFmtId="1" fontId="0" fillId="0" borderId="5" xfId="1" applyNumberFormat="1" applyFont="1" applyBorder="1"/>
    <xf numFmtId="164" fontId="0" fillId="0" borderId="5" xfId="1" applyNumberFormat="1" applyFont="1" applyBorder="1"/>
    <xf numFmtId="0" fontId="0" fillId="0" borderId="0" xfId="3" applyNumberFormat="1" applyFont="1" applyBorder="1"/>
    <xf numFmtId="9" fontId="0" fillId="0" borderId="0" xfId="3" applyNumberFormat="1" applyFont="1" applyBorder="1"/>
    <xf numFmtId="170" fontId="0" fillId="0" borderId="0" xfId="3" applyNumberFormat="1" applyFont="1" applyBorder="1"/>
    <xf numFmtId="0" fontId="9" fillId="0" borderId="7" xfId="0" applyFont="1" applyBorder="1" applyAlignment="1">
      <alignment vertical="center"/>
    </xf>
    <xf numFmtId="0" fontId="0" fillId="0" borderId="0" xfId="0" applyBorder="1" applyAlignment="1">
      <alignment horizontal="left" wrapText="1"/>
    </xf>
    <xf numFmtId="0" fontId="0" fillId="0" borderId="2" xfId="0" applyFont="1"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2" fillId="0" borderId="5" xfId="2" applyBorder="1" applyAlignment="1" applyProtection="1">
      <alignment wrapText="1"/>
    </xf>
    <xf numFmtId="10" fontId="0" fillId="0" borderId="0" xfId="3" applyNumberFormat="1" applyFont="1" applyFill="1" applyBorder="1"/>
    <xf numFmtId="1" fontId="0" fillId="0" borderId="0" xfId="0" applyNumberFormat="1" applyFill="1" applyBorder="1"/>
    <xf numFmtId="0" fontId="0" fillId="0" borderId="5" xfId="0" applyFill="1" applyBorder="1"/>
    <xf numFmtId="0" fontId="0" fillId="0" borderId="0" xfId="0" applyFill="1"/>
    <xf numFmtId="1" fontId="0" fillId="0" borderId="5" xfId="0" applyNumberFormat="1" applyFill="1" applyBorder="1"/>
    <xf numFmtId="3" fontId="0" fillId="0" borderId="7" xfId="0" applyNumberFormat="1" applyFill="1" applyBorder="1"/>
    <xf numFmtId="0" fontId="0" fillId="0" borderId="8" xfId="0" applyFill="1" applyBorder="1"/>
    <xf numFmtId="9" fontId="0" fillId="0" borderId="5" xfId="3" applyFont="1" applyFill="1" applyBorder="1"/>
    <xf numFmtId="1" fontId="0" fillId="0" borderId="7" xfId="0" applyNumberFormat="1" applyFill="1" applyBorder="1"/>
    <xf numFmtId="0" fontId="0" fillId="0" borderId="0" xfId="0" applyBorder="1" applyAlignment="1">
      <alignment horizontal="left" vertical="center" wrapText="1"/>
    </xf>
    <xf numFmtId="0" fontId="0" fillId="0" borderId="0" xfId="0" applyBorder="1" applyAlignment="1">
      <alignment vertical="center" wrapText="1"/>
    </xf>
    <xf numFmtId="1" fontId="10" fillId="0" borderId="0" xfId="0" applyNumberFormat="1" applyFont="1" applyFill="1" applyBorder="1" applyAlignment="1">
      <alignment vertical="center"/>
    </xf>
    <xf numFmtId="0" fontId="0" fillId="0" borderId="7" xfId="0" applyFill="1" applyBorder="1" applyAlignment="1">
      <alignment horizontal="left"/>
    </xf>
    <xf numFmtId="1" fontId="10" fillId="0" borderId="7" xfId="0" applyNumberFormat="1" applyFont="1" applyFill="1" applyBorder="1" applyAlignment="1">
      <alignment vertical="center"/>
    </xf>
    <xf numFmtId="10" fontId="0" fillId="0" borderId="7" xfId="3" applyNumberFormat="1" applyFont="1" applyFill="1" applyBorder="1"/>
    <xf numFmtId="1" fontId="0" fillId="0" borderId="8" xfId="0" applyNumberFormat="1" applyFill="1" applyBorder="1"/>
    <xf numFmtId="164" fontId="10" fillId="0" borderId="0" xfId="1" applyNumberFormat="1" applyFont="1" applyFill="1" applyBorder="1" applyAlignment="1">
      <alignment vertical="center"/>
    </xf>
    <xf numFmtId="9" fontId="0" fillId="0" borderId="0" xfId="3" applyFont="1" applyFill="1" applyBorder="1"/>
    <xf numFmtId="1" fontId="0" fillId="0" borderId="5" xfId="1" applyNumberFormat="1" applyFont="1" applyFill="1" applyBorder="1"/>
    <xf numFmtId="1" fontId="5" fillId="0" borderId="7" xfId="0" applyNumberFormat="1" applyFont="1" applyFill="1" applyBorder="1"/>
    <xf numFmtId="9" fontId="0" fillId="0" borderId="7" xfId="3" applyFont="1" applyFill="1" applyBorder="1"/>
    <xf numFmtId="165" fontId="0" fillId="0" borderId="0" xfId="0" applyNumberFormat="1" applyBorder="1"/>
  </cellXfs>
  <cellStyles count="6">
    <cellStyle name="Komma" xfId="1" builtinId="3"/>
    <cellStyle name="Link" xfId="2" builtinId="8"/>
    <cellStyle name="Normal_PROV2001" xfId="5"/>
    <cellStyle name="Normal_PROV20012002" xfId="4"/>
    <cellStyle name="Prozent" xfId="3"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3" Type="http://schemas.openxmlformats.org/officeDocument/2006/relationships/worksheet" Target="worksheets/sheet3.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3.%20Paper/Flowchart/Data_Sankey_Mobility.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3_Battery_cell/Battery%20cell_global%20price%20and%20country%20production%20shar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3_Safety%20glass/Safety%20glass_global%20price%20and%20country%20production%20shar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3_Al%20wire/Al_wire_global%20price%20and%20country%20production%20amoun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3_Internal%20combustion%20engine%20equipment/ICE%20equipment%20global%20price%20and%20country%20production%20shar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4_Al%20foil/Al%20foil%20global%20price%20and%20country%20production%20shar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4_Al%20plate/Al%20plate%20global%20price%20and%20country%20production%20sha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4_Nb%20alloys/Nb_alloy%20global%20price%20and%20country%20production%20shar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4_V%20alloys/V%20alloys%20global%20price%20and%20country%20production%20shar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Antimony/Sb%20global%20price%20and%20country%20production%20shar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Barytes/Barytes%20global%20price%20and%20country%20production%20sha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Wiring/Wiring%20global%20production.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Beryllium/Beryllium%20powder%20global%20price%20and%20country%20production%20share.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Borates/Borates%20global%20price%20and%20country%20production%20share.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Cobalt/Cobalt%20price%20and%20country%20production%20shar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Fluorspar/Fluorcarbons%20fluoride%20global%20price%20and%20country%20prodcution%20shar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Rare%20Earth%20Elements/REE%20global%20price%20and%20country%20production%20share.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Lithium/Lithium%20carbonate%20global%20price%20and%20country%20production%20share.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Magnesium/Magnesium%20global%20price%20and%20country%20production%20share.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Niobium/Niobium%20powder%20global%20price%20and%20country%20production%20shar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Platinum%20Group%20Metals/PGMs%20global%20price%20and%20country%20production%20share.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Scandium/Scandium%20global%20price%20and%20country%20production%20s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Electronics/Electronics%20global%20price%20and%20country%20production%20shares.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Silicon%20metal/Silicon%20metal%20global%20price%20and%20country%20production%20share.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Tantalum/Tantalum_powder%20global%20price%20and%20country%20production%20share.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Titanium/Titanium%20global%20price%20and%20country%20production%20share.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Vanadium/Vanadium%20global%20price%20and%20country%20production%20share.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Aluminium/Al%20global%20price%20and%20country%20production%20sha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Panel_HVAC/Panel,%20radiators,%20HVAC%20global%20price%20and%20country%20production%20shar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Fluids/Fluids%20global%20price%20and%20country%20production%20shar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Batteries/Batteries%20global%20price%20and%20country%20production%20shar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Electric%20motor/Electric%20motor%20global%20price%20and%20country%20production%20sha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Internal%20combustion%20engine/Engine_global%20price%20and%20country%20production%20shar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2_Exhaust/Exhaust%20global%20price%20and%20country%20production%20s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
      <sheetName val="Flow_amounts"/>
      <sheetName val="Weight% of vehicle components"/>
    </sheetNames>
    <sheetDataSet>
      <sheetData sheetId="0">
        <row r="17">
          <cell r="B17">
            <v>0.22222222222222221</v>
          </cell>
        </row>
        <row r="18">
          <cell r="B18">
            <v>8.7499999999999994E-2</v>
          </cell>
        </row>
        <row r="19">
          <cell r="B19">
            <v>1.199288256227758E-2</v>
          </cell>
        </row>
        <row r="20">
          <cell r="B20">
            <v>0.13705583756345177</v>
          </cell>
        </row>
        <row r="21">
          <cell r="B21">
            <v>6.1827956989247311E-3</v>
          </cell>
        </row>
        <row r="22">
          <cell r="B22">
            <v>3.3033033033033031E-2</v>
          </cell>
        </row>
        <row r="23">
          <cell r="B23">
            <v>2.5271040526848407E-2</v>
          </cell>
        </row>
        <row r="24">
          <cell r="B24">
            <v>2.8188714838175758E-2</v>
          </cell>
        </row>
        <row r="25">
          <cell r="B25">
            <v>2.6593585250884313E-2</v>
          </cell>
        </row>
        <row r="26">
          <cell r="B26">
            <v>3.2756122615677265E-2</v>
          </cell>
        </row>
        <row r="27">
          <cell r="B27">
            <v>2.6268396196548614E-2</v>
          </cell>
        </row>
        <row r="28">
          <cell r="B28">
            <v>0.24474474474474475</v>
          </cell>
        </row>
        <row r="29">
          <cell r="B29">
            <v>0.22188398718162486</v>
          </cell>
        </row>
        <row r="30">
          <cell r="B30">
            <v>0.24750165847643843</v>
          </cell>
        </row>
        <row r="31">
          <cell r="B31">
            <v>0.20395395395395396</v>
          </cell>
        </row>
        <row r="32">
          <cell r="B32">
            <v>0.44178666330559041</v>
          </cell>
        </row>
        <row r="33">
          <cell r="B33">
            <v>0.44725575194669076</v>
          </cell>
        </row>
        <row r="34">
          <cell r="B34">
            <v>0.39787108530658505</v>
          </cell>
        </row>
        <row r="35">
          <cell r="B35">
            <v>0.19</v>
          </cell>
        </row>
        <row r="36">
          <cell r="B36">
            <v>0.15225225225225225</v>
          </cell>
        </row>
        <row r="37">
          <cell r="B37">
            <v>0.13803089754734207</v>
          </cell>
        </row>
        <row r="38">
          <cell r="B38">
            <v>0.15396728938350215</v>
          </cell>
        </row>
        <row r="39">
          <cell r="B39">
            <v>0.12687687687687688</v>
          </cell>
        </row>
        <row r="40">
          <cell r="B40">
            <v>0.12363592786197711</v>
          </cell>
        </row>
        <row r="41">
          <cell r="B41">
            <v>0.12</v>
          </cell>
        </row>
        <row r="42">
          <cell r="B42">
            <v>0.11134596149477974</v>
          </cell>
        </row>
        <row r="43">
          <cell r="B43">
            <v>0.11622601362567522</v>
          </cell>
        </row>
        <row r="44">
          <cell r="B44">
            <v>3.1428571428571431E-2</v>
          </cell>
        </row>
        <row r="45">
          <cell r="B45">
            <v>2.4043589986972917E-2</v>
          </cell>
        </row>
        <row r="46">
          <cell r="B46">
            <v>2.6819548688892941E-2</v>
          </cell>
        </row>
        <row r="47">
          <cell r="B47">
            <v>2.5301896824412792E-2</v>
          </cell>
        </row>
        <row r="48">
          <cell r="B48">
            <v>3.1165110945772945E-2</v>
          </cell>
        </row>
        <row r="49">
          <cell r="B49">
            <v>2.4992502667001974E-2</v>
          </cell>
        </row>
        <row r="50">
          <cell r="B50">
            <v>6.2633451957295375E-2</v>
          </cell>
        </row>
        <row r="51">
          <cell r="B51">
            <v>7.5317409081127606E-2</v>
          </cell>
        </row>
        <row r="52">
          <cell r="B52">
            <v>6.2633451957295375E-2</v>
          </cell>
        </row>
        <row r="53">
          <cell r="B53">
            <v>0.02</v>
          </cell>
        </row>
        <row r="54">
          <cell r="B54">
            <v>1.2857142857142857E-2</v>
          </cell>
        </row>
        <row r="55">
          <cell r="B55">
            <v>0.19309309309309308</v>
          </cell>
        </row>
        <row r="56">
          <cell r="B56">
            <v>0.16263345195729537</v>
          </cell>
        </row>
        <row r="57">
          <cell r="B57">
            <v>6.7421790722761596E-2</v>
          </cell>
        </row>
        <row r="58">
          <cell r="B58">
            <v>0.24</v>
          </cell>
        </row>
        <row r="59">
          <cell r="B59">
            <v>4.0241935483870971E-2</v>
          </cell>
        </row>
        <row r="60">
          <cell r="B60">
            <v>2.6426426426426425E-2</v>
          </cell>
        </row>
        <row r="61">
          <cell r="B61">
            <v>2.3958025609795076E-2</v>
          </cell>
        </row>
        <row r="62">
          <cell r="B62">
            <v>2.6724105455124637E-2</v>
          </cell>
        </row>
        <row r="63">
          <cell r="B63">
            <v>2.2022022022022022E-2</v>
          </cell>
        </row>
        <row r="64">
          <cell r="B64">
            <v>6.1657119272018071E-2</v>
          </cell>
        </row>
        <row r="65">
          <cell r="B65">
            <v>4.5081401642415218E-2</v>
          </cell>
        </row>
        <row r="66">
          <cell r="B66">
            <v>7.1393303275366762E-2</v>
          </cell>
        </row>
        <row r="67">
          <cell r="B67">
            <v>2.6426426426426425E-2</v>
          </cell>
        </row>
        <row r="68">
          <cell r="B68">
            <v>2.7327327327327327E-2</v>
          </cell>
        </row>
        <row r="69">
          <cell r="B69">
            <v>2.7027027027027029E-2</v>
          </cell>
        </row>
        <row r="70">
          <cell r="B70">
            <v>2.4774776482856274E-2</v>
          </cell>
        </row>
        <row r="71">
          <cell r="B71">
            <v>2.7635154504731162E-2</v>
          </cell>
        </row>
        <row r="72">
          <cell r="B72">
            <v>2.4502526191835874E-2</v>
          </cell>
        </row>
        <row r="73">
          <cell r="B73">
            <v>2.7331471488195654E-2</v>
          </cell>
        </row>
        <row r="74">
          <cell r="B74">
            <v>2.277277277277277E-2</v>
          </cell>
        </row>
        <row r="75">
          <cell r="B75">
            <v>2.2522522522522521E-2</v>
          </cell>
        </row>
        <row r="76">
          <cell r="B76">
            <v>0.05</v>
          </cell>
        </row>
        <row r="77">
          <cell r="B77">
            <v>2.3856479818501881E-2</v>
          </cell>
        </row>
        <row r="78">
          <cell r="B78">
            <v>1.744297432592094E-2</v>
          </cell>
        </row>
        <row r="79">
          <cell r="B79">
            <v>2.7623621065571476E-2</v>
          </cell>
        </row>
        <row r="80">
          <cell r="B80">
            <v>2.9129129129129128E-2</v>
          </cell>
        </row>
        <row r="81">
          <cell r="B81">
            <v>2.6408278228978663E-2</v>
          </cell>
        </row>
        <row r="82">
          <cell r="B82">
            <v>2.9457252603944203E-2</v>
          </cell>
        </row>
        <row r="83">
          <cell r="B83">
            <v>2.4274274274274272E-2</v>
          </cell>
        </row>
        <row r="84">
          <cell r="B84">
            <v>2.3856479818501881E-2</v>
          </cell>
        </row>
        <row r="85">
          <cell r="B85">
            <v>2.7623621065571476E-2</v>
          </cell>
        </row>
        <row r="86">
          <cell r="B86">
            <v>1.744297432592094E-2</v>
          </cell>
        </row>
        <row r="87">
          <cell r="B87">
            <v>5.4617117117117114E-3</v>
          </cell>
        </row>
        <row r="88">
          <cell r="B88">
            <v>2.9729729729729731E-2</v>
          </cell>
        </row>
        <row r="89">
          <cell r="B89">
            <v>1.7424018625305512E-2</v>
          </cell>
        </row>
        <row r="90">
          <cell r="B90">
            <v>1.9435713058272467E-2</v>
          </cell>
        </row>
        <row r="91">
          <cell r="B91">
            <v>2.6426426426426428E-2</v>
          </cell>
        </row>
        <row r="92">
          <cell r="B92">
            <v>5.5053414965773578E-3</v>
          </cell>
        </row>
        <row r="93">
          <cell r="B93">
            <v>6.374681784362647E-3</v>
          </cell>
        </row>
        <row r="94">
          <cell r="B94">
            <v>4.0253017675202169E-3</v>
          </cell>
        </row>
        <row r="95">
          <cell r="B95">
            <v>1.125E-2</v>
          </cell>
        </row>
        <row r="96">
          <cell r="B96">
            <v>1.0810810810810811E-2</v>
          </cell>
        </row>
        <row r="97">
          <cell r="B97">
            <v>7.8647686832740218E-3</v>
          </cell>
        </row>
        <row r="98">
          <cell r="B98">
            <v>4.4999999999999997E-3</v>
          </cell>
        </row>
        <row r="99">
          <cell r="B99">
            <v>7.8647686832740218E-3</v>
          </cell>
        </row>
        <row r="100">
          <cell r="B100">
            <v>7.4999999999999997E-3</v>
          </cell>
        </row>
        <row r="101">
          <cell r="B101">
            <v>2.8078078078078078E-2</v>
          </cell>
        </row>
        <row r="102">
          <cell r="B102">
            <v>2.5373665480427045E-2</v>
          </cell>
        </row>
        <row r="103">
          <cell r="B103">
            <v>2.5373665480427045E-2</v>
          </cell>
        </row>
        <row r="104">
          <cell r="B104">
            <v>2.2554369315935151E-2</v>
          </cell>
        </row>
        <row r="105">
          <cell r="B105">
            <v>3.2397782397782398E-3</v>
          </cell>
        </row>
        <row r="106">
          <cell r="B106">
            <v>5.2646396396396396E-3</v>
          </cell>
        </row>
        <row r="107">
          <cell r="B107">
            <v>2.255436931593515E-3</v>
          </cell>
        </row>
        <row r="108">
          <cell r="B108">
            <v>2.8998474834773767E-3</v>
          </cell>
        </row>
        <row r="110">
          <cell r="B110">
            <v>0.625</v>
          </cell>
        </row>
        <row r="111">
          <cell r="B111">
            <v>0.375</v>
          </cell>
        </row>
        <row r="112">
          <cell r="B112">
            <v>0.68</v>
          </cell>
        </row>
        <row r="113">
          <cell r="B113">
            <v>0.32</v>
          </cell>
        </row>
        <row r="114">
          <cell r="B114">
            <v>1</v>
          </cell>
        </row>
        <row r="115">
          <cell r="B115">
            <v>1</v>
          </cell>
        </row>
        <row r="116">
          <cell r="B116">
            <v>0.13439999999999999</v>
          </cell>
        </row>
        <row r="118">
          <cell r="B118">
            <v>6.1193224556381107E-4</v>
          </cell>
        </row>
        <row r="119">
          <cell r="B119">
            <v>1.4050116782020161E-3</v>
          </cell>
        </row>
        <row r="120">
          <cell r="B120">
            <v>1.4E-2</v>
          </cell>
        </row>
        <row r="121">
          <cell r="B121">
            <v>9.4507968741325873E-4</v>
          </cell>
        </row>
        <row r="122">
          <cell r="B122">
            <v>2.5760742609372753E-2</v>
          </cell>
        </row>
        <row r="123">
          <cell r="B123">
            <v>0.18807451757216942</v>
          </cell>
        </row>
        <row r="124">
          <cell r="B124">
            <v>0.19170988300058611</v>
          </cell>
        </row>
        <row r="125">
          <cell r="B125">
            <v>0.18807451757216942</v>
          </cell>
        </row>
        <row r="126">
          <cell r="B126">
            <v>0.55643348394132974</v>
          </cell>
        </row>
        <row r="127">
          <cell r="B127">
            <v>0.58149805529003806</v>
          </cell>
        </row>
        <row r="128">
          <cell r="B128">
            <v>0.14838226238435459</v>
          </cell>
        </row>
        <row r="129">
          <cell r="B129">
            <v>0.3</v>
          </cell>
        </row>
        <row r="130">
          <cell r="B130">
            <v>0.10298969072164949</v>
          </cell>
        </row>
        <row r="131">
          <cell r="B131">
            <v>0.14666666666666664</v>
          </cell>
        </row>
        <row r="132">
          <cell r="B132">
            <v>0.183</v>
          </cell>
        </row>
        <row r="133">
          <cell r="B133">
            <v>0.14070731777826728</v>
          </cell>
        </row>
        <row r="134">
          <cell r="B134">
            <v>1.3802733201273121E-2</v>
          </cell>
        </row>
        <row r="135">
          <cell r="B135">
            <v>1.3934614299719403E-3</v>
          </cell>
        </row>
        <row r="137">
          <cell r="B137">
            <v>0.02</v>
          </cell>
        </row>
        <row r="138">
          <cell r="B138">
            <v>4.0000000000000001E-3</v>
          </cell>
        </row>
        <row r="139">
          <cell r="B139">
            <v>0.89857999999999993</v>
          </cell>
        </row>
        <row r="140">
          <cell r="B140">
            <v>1</v>
          </cell>
        </row>
        <row r="141">
          <cell r="B141">
            <v>0.08</v>
          </cell>
        </row>
        <row r="142">
          <cell r="B142">
            <v>1.9723865877712034E-4</v>
          </cell>
        </row>
        <row r="143">
          <cell r="B143">
            <v>3.110870693224028E-5</v>
          </cell>
        </row>
        <row r="144">
          <cell r="B144">
            <v>5.2083333333333337E-5</v>
          </cell>
        </row>
        <row r="145">
          <cell r="B145">
            <v>8.9090090090090078E-4</v>
          </cell>
        </row>
        <row r="146">
          <cell r="B146">
            <v>7.8719999999999988E-3</v>
          </cell>
        </row>
        <row r="147">
          <cell r="B147">
            <v>4.3999999999999997E-2</v>
          </cell>
        </row>
        <row r="148">
          <cell r="B148">
            <v>1.4175E-2</v>
          </cell>
        </row>
        <row r="149">
          <cell r="B149">
            <v>7.0000000000000007E-2</v>
          </cell>
        </row>
        <row r="150">
          <cell r="B150">
            <v>1.372966909702748E-3</v>
          </cell>
        </row>
        <row r="151">
          <cell r="B151">
            <v>1.4999999999999999E-2</v>
          </cell>
        </row>
        <row r="152">
          <cell r="B152">
            <v>1.1968E-3</v>
          </cell>
        </row>
        <row r="153">
          <cell r="B153">
            <v>3.5399999999999997E-3</v>
          </cell>
        </row>
        <row r="154">
          <cell r="B154">
            <v>0.3</v>
          </cell>
        </row>
        <row r="155">
          <cell r="B155">
            <v>7.0000000000000007E-2</v>
          </cell>
        </row>
        <row r="156">
          <cell r="B156">
            <v>0.1</v>
          </cell>
        </row>
        <row r="157">
          <cell r="B157">
            <v>6.2921511627906978E-3</v>
          </cell>
        </row>
        <row r="158">
          <cell r="B158">
            <v>6.7325038880248845E-3</v>
          </cell>
        </row>
        <row r="159">
          <cell r="B159">
            <v>6.7500000000000008E-3</v>
          </cell>
        </row>
        <row r="160">
          <cell r="B160">
            <v>0.16</v>
          </cell>
        </row>
        <row r="161">
          <cell r="B161">
            <v>0.19</v>
          </cell>
        </row>
        <row r="162">
          <cell r="B162">
            <v>1.4999999999999999E-2</v>
          </cell>
        </row>
        <row r="163">
          <cell r="B163">
            <v>1</v>
          </cell>
        </row>
        <row r="164">
          <cell r="B164">
            <v>2.3999999999999998E-3</v>
          </cell>
        </row>
        <row r="165">
          <cell r="B165">
            <v>5.0000000000000002E-5</v>
          </cell>
        </row>
        <row r="166">
          <cell r="B166">
            <v>3.0000000000000001E-3</v>
          </cell>
        </row>
        <row r="167">
          <cell r="B167">
            <v>0.15</v>
          </cell>
        </row>
        <row r="168">
          <cell r="B168">
            <v>4.0000000000000001E-3</v>
          </cell>
        </row>
        <row r="169">
          <cell r="B169">
            <v>1.892E-3</v>
          </cell>
        </row>
        <row r="170">
          <cell r="B170">
            <v>0.10890261627906976</v>
          </cell>
        </row>
        <row r="171">
          <cell r="B171">
            <v>0.11652410575427684</v>
          </cell>
        </row>
        <row r="172">
          <cell r="B172">
            <v>0.14899999999999999</v>
          </cell>
        </row>
        <row r="173">
          <cell r="B173">
            <v>1.035E-2</v>
          </cell>
        </row>
        <row r="174">
          <cell r="B174">
            <v>7.0000000000000007E-2</v>
          </cell>
        </row>
        <row r="175">
          <cell r="B175">
            <v>1</v>
          </cell>
        </row>
        <row r="177">
          <cell r="B177">
            <v>0.8</v>
          </cell>
        </row>
        <row r="179">
          <cell r="B179">
            <v>0.65</v>
          </cell>
        </row>
        <row r="180">
          <cell r="B180">
            <v>0.35</v>
          </cell>
        </row>
        <row r="181">
          <cell r="B181">
            <v>0.17499999999999999</v>
          </cell>
        </row>
        <row r="182">
          <cell r="B182">
            <v>1</v>
          </cell>
        </row>
        <row r="183">
          <cell r="B183">
            <v>0.67999999999999994</v>
          </cell>
        </row>
        <row r="184">
          <cell r="B184">
            <v>0.32</v>
          </cell>
        </row>
        <row r="185">
          <cell r="B185">
            <v>1</v>
          </cell>
        </row>
        <row r="186">
          <cell r="B186">
            <v>0.66999999999999993</v>
          </cell>
        </row>
        <row r="187">
          <cell r="B187">
            <v>0.33</v>
          </cell>
        </row>
        <row r="188">
          <cell r="B188">
            <v>0.2</v>
          </cell>
        </row>
        <row r="189">
          <cell r="B189">
            <v>0.48</v>
          </cell>
        </row>
        <row r="190">
          <cell r="B190">
            <v>0.03</v>
          </cell>
        </row>
        <row r="191">
          <cell r="B191">
            <v>0.52</v>
          </cell>
        </row>
        <row r="192">
          <cell r="B192">
            <v>1</v>
          </cell>
        </row>
      </sheetData>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1.4510021591020878E-2</v>
          </cell>
          <cell r="Z3">
            <v>1.0491780887562174E-2</v>
          </cell>
          <cell r="AG3">
            <v>1.656199696992295E-2</v>
          </cell>
          <cell r="AT3">
            <v>0.16663842671051507</v>
          </cell>
          <cell r="BG3">
            <v>0.11533345662546393</v>
          </cell>
          <cell r="BW3">
            <v>1.8766430769870345E-2</v>
          </cell>
          <cell r="CE3">
            <v>5.5327596977651064E-2</v>
          </cell>
          <cell r="CW3">
            <v>1.0616156237892265E-2</v>
          </cell>
          <cell r="DB3">
            <v>7.6763232742676851E-2</v>
          </cell>
          <cell r="DE3">
            <v>7.1417270000494429E-2</v>
          </cell>
          <cell r="DJ3">
            <v>8.3680493367773182E-2</v>
          </cell>
          <cell r="DT3">
            <v>1.5884047215673196E-2</v>
          </cell>
          <cell r="ED3">
            <v>5.5079054214846455E-2</v>
          </cell>
          <cell r="FO3">
            <v>2.3278854060451375E-2</v>
          </cell>
          <cell r="GK3">
            <v>1.0629559801793139E-2</v>
          </cell>
          <cell r="HC3">
            <v>1.9085729862159017E-2</v>
          </cell>
          <cell r="HH3">
            <v>1.1272499082927502E-2</v>
          </cell>
          <cell r="HJ3">
            <v>2.2930797517174934E-2</v>
          </cell>
          <cell r="HR3">
            <v>5.0588418991460181E-2</v>
          </cell>
          <cell r="HT3">
            <v>6.8655161876477036E-2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S5">
            <v>4.8937562302121068E-2</v>
          </cell>
          <cell r="AT5">
            <v>0.27304069755420918</v>
          </cell>
          <cell r="BG5">
            <v>4.7035149403318349E-2</v>
          </cell>
          <cell r="BV5">
            <v>1.1855540481486319E-2</v>
          </cell>
          <cell r="BW5">
            <v>2.5406766028742676E-2</v>
          </cell>
          <cell r="CE5">
            <v>7.1588972393490435E-2</v>
          </cell>
          <cell r="CU5">
            <v>4.5942560070237302E-2</v>
          </cell>
          <cell r="DB5">
            <v>6.2633203111276431E-2</v>
          </cell>
          <cell r="DE5">
            <v>1.1030953330698624E-2</v>
          </cell>
          <cell r="ED5">
            <v>2.6676449226184305E-2</v>
          </cell>
          <cell r="EI5">
            <v>1.9251146792874901E-2</v>
          </cell>
          <cell r="FO5">
            <v>0.11786483670087849</v>
          </cell>
          <cell r="FT5">
            <v>1.0363669924639878E-2</v>
          </cell>
          <cell r="FU5">
            <v>1.7561573755028433E-2</v>
          </cell>
          <cell r="GS5">
            <v>3.3255786417339443E-2</v>
          </cell>
          <cell r="HJ5">
            <v>2.6178689243712291E-2</v>
          </cell>
          <cell r="HT5">
            <v>3.1342791709092425E-2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O5">
            <v>8.4778155225710236E-2</v>
          </cell>
          <cell r="S5">
            <v>2.2639594509728227E-2</v>
          </cell>
          <cell r="AM5">
            <v>0.13876444299487878</v>
          </cell>
          <cell r="AT5">
            <v>9.4554877723962066E-2</v>
          </cell>
          <cell r="BW5">
            <v>6.0798155989315948E-2</v>
          </cell>
          <cell r="CE5">
            <v>2.2464032224676554E-2</v>
          </cell>
          <cell r="CU5">
            <v>3.6875057666796822E-2</v>
          </cell>
          <cell r="DB5">
            <v>3.3933921054220668E-2</v>
          </cell>
          <cell r="DE5">
            <v>2.9768132234784916E-2</v>
          </cell>
          <cell r="DX5">
            <v>6.9505774637131104E-2</v>
          </cell>
          <cell r="EO5">
            <v>5.1223085208196892E-2</v>
          </cell>
          <cell r="FO5">
            <v>1.7039037309580767E-2</v>
          </cell>
          <cell r="FU5">
            <v>1.9320904457363144E-2</v>
          </cell>
          <cell r="GK5">
            <v>2.6174691073324648E-2</v>
          </cell>
          <cell r="GN5">
            <v>2.8863732962735072E-2</v>
          </cell>
          <cell r="GS5">
            <v>8.248698576889367E-2</v>
          </cell>
          <cell r="HH5">
            <v>1.4885817013896584E-2</v>
          </cell>
          <cell r="HJ5">
            <v>1.0037354721672035E-2</v>
          </cell>
          <cell r="HR5">
            <v>2.496629749805182E-2</v>
          </cell>
          <cell r="HT5">
            <v>4.8917075023711003E-2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9">
          <cell r="AM9">
            <v>1.0529789878099325E-2</v>
          </cell>
          <cell r="AT9">
            <v>0.22640162942117592</v>
          </cell>
          <cell r="BG9">
            <v>3.852909114336342E-2</v>
          </cell>
          <cell r="BW9">
            <v>6.0472516687118463E-2</v>
          </cell>
          <cell r="CE9">
            <v>8.3152505212398836E-2</v>
          </cell>
          <cell r="CU9">
            <v>2.4493063962143211E-2</v>
          </cell>
          <cell r="DB9">
            <v>3.7954646678683202E-2</v>
          </cell>
          <cell r="DE9">
            <v>9.4548790744630476E-2</v>
          </cell>
          <cell r="DJ9">
            <v>2.9298061513066263E-2</v>
          </cell>
          <cell r="ED9">
            <v>8.1963532929110808E-2</v>
          </cell>
          <cell r="EO9">
            <v>1.1255042588492159E-2</v>
          </cell>
          <cell r="FO9">
            <v>1.8767619490367347E-2</v>
          </cell>
          <cell r="FT9">
            <v>1.0673024757000387E-2</v>
          </cell>
          <cell r="GK9">
            <v>1.6532006833246748E-2</v>
          </cell>
          <cell r="GS9">
            <v>1.8708453382156414E-2</v>
          </cell>
          <cell r="HC9">
            <v>2.0265257600906222E-2</v>
          </cell>
          <cell r="HJ9">
            <v>1.6391466199076055E-2</v>
          </cell>
          <cell r="HR9">
            <v>1.3269264888237009E-2</v>
          </cell>
          <cell r="HT9">
            <v>0.10614448897534737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7.2739286267501271E-2</v>
          </cell>
          <cell r="AT3">
            <v>0.37620659031306231</v>
          </cell>
          <cell r="BD3">
            <v>2.0069112270487431E-2</v>
          </cell>
          <cell r="BW3">
            <v>1.4204944723089708E-2</v>
          </cell>
          <cell r="CE3">
            <v>7.9042630863031399E-2</v>
          </cell>
          <cell r="CI3">
            <v>1.4980800371942098E-2</v>
          </cell>
          <cell r="DB3">
            <v>6.6399709991414133E-2</v>
          </cell>
          <cell r="DE3">
            <v>2.6264588278567612E-2</v>
          </cell>
          <cell r="DJ3">
            <v>2.3806932725370409E-2</v>
          </cell>
          <cell r="DX3">
            <v>2.269182486835513E-2</v>
          </cell>
          <cell r="FM3">
            <v>2.9637175776911689E-2</v>
          </cell>
          <cell r="FO3">
            <v>2.0950290085340988E-2</v>
          </cell>
          <cell r="GK3">
            <v>1.8024109297164317E-2</v>
          </cell>
          <cell r="GZ3">
            <v>1.8242806120623543E-2</v>
          </cell>
          <cell r="HC3">
            <v>5.1621354655649251E-2</v>
          </cell>
          <cell r="HH3">
            <v>1.0972916063919194E-2</v>
          </cell>
          <cell r="HJ3">
            <v>1.8475556290640672E-2</v>
          </cell>
          <cell r="HT3">
            <v>2.5221766167504808E-2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M5">
            <v>1.81061602906341E-2</v>
          </cell>
          <cell r="S5">
            <v>2.2485881528850178E-2</v>
          </cell>
          <cell r="AM5">
            <v>1.7041045343013792E-2</v>
          </cell>
          <cell r="AT5">
            <v>0.23716088773089769</v>
          </cell>
          <cell r="BW5">
            <v>5.2215940784860276E-2</v>
          </cell>
          <cell r="CE5">
            <v>0.16243924331100859</v>
          </cell>
          <cell r="CI5">
            <v>1.939286845114346E-2</v>
          </cell>
          <cell r="DB5">
            <v>3.0903721484363714E-2</v>
          </cell>
          <cell r="DE5">
            <v>1.8045801135606145E-2</v>
          </cell>
          <cell r="DJ5">
            <v>7.5279604873439238E-2</v>
          </cell>
          <cell r="FB5">
            <v>1.3364958655314316E-2</v>
          </cell>
          <cell r="FU5">
            <v>1.5875993900377076E-2</v>
          </cell>
          <cell r="GF5">
            <v>2.3342881144235557E-2</v>
          </cell>
          <cell r="GQ5">
            <v>1.2248134325748566E-2</v>
          </cell>
          <cell r="GS5">
            <v>2.5357592249743106E-2</v>
          </cell>
          <cell r="GZ5">
            <v>3.0628576930149778E-2</v>
          </cell>
          <cell r="HC5">
            <v>1.8975942856246104E-2</v>
          </cell>
          <cell r="HJ5">
            <v>1.5229202154343348E-2</v>
          </cell>
          <cell r="HT5">
            <v>6.6602715949043281E-2</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Z3">
            <v>0.74042414051786087</v>
          </cell>
          <cell r="AM3">
            <v>8.6935583698481617E-2</v>
          </cell>
          <cell r="EO3">
            <v>7.6382236566485059E-2</v>
          </cell>
          <cell r="GL3">
            <v>5.4058411581091585E-2</v>
          </cell>
          <cell r="GY3">
            <v>1.1046337885221254E-2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0.18388863781689474</v>
          </cell>
          <cell r="AM3">
            <v>2.8683420101097055E-2</v>
          </cell>
          <cell r="AT3">
            <v>0.11980247113574231</v>
          </cell>
          <cell r="BG3">
            <v>0.138820909521119</v>
          </cell>
          <cell r="CE3">
            <v>2.4438726986534286E-2</v>
          </cell>
          <cell r="DE3">
            <v>2.0852822824271974E-2</v>
          </cell>
          <cell r="DJ3">
            <v>5.5284308681190039E-2</v>
          </cell>
          <cell r="DP3">
            <v>1.0764339560196377E-2</v>
          </cell>
          <cell r="EO3">
            <v>6.2719122407173963E-2</v>
          </cell>
          <cell r="EV3">
            <v>0.11921576475572462</v>
          </cell>
          <cell r="FU3">
            <v>2.3014721438727119E-2</v>
          </cell>
          <cell r="GO3">
            <v>1.8851630739995583E-2</v>
          </cell>
          <cell r="GQ3">
            <v>0.12344993870614544</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H3">
            <v>7.7886727849415333E-2</v>
          </cell>
          <cell r="AT3">
            <v>0.31289045106443986</v>
          </cell>
          <cell r="BW3">
            <v>1.1584544008819461E-2</v>
          </cell>
          <cell r="DJ3">
            <v>4.1921909157624976E-2</v>
          </cell>
          <cell r="EK3">
            <v>1.3246014817910958E-2</v>
          </cell>
          <cell r="FL3">
            <v>1.1541685315778698E-2</v>
          </cell>
          <cell r="GK3">
            <v>5.2379751699769071E-2</v>
          </cell>
          <cell r="GL3">
            <v>1.1607125182715314E-2</v>
          </cell>
          <cell r="GN3">
            <v>0.16748470071895188</v>
          </cell>
          <cell r="HB3">
            <v>0.18781215024125561</v>
          </cell>
          <cell r="HC3">
            <v>3.0186395402569427E-2</v>
          </cell>
          <cell r="HT3">
            <v>1.2408288089062936E-2</v>
          </cell>
        </row>
        <row r="6">
          <cell r="S6">
            <v>0.15565111109725258</v>
          </cell>
          <cell r="V6">
            <v>3.4147493751454497E-2</v>
          </cell>
          <cell r="AH6">
            <v>4.5934389686706267E-2</v>
          </cell>
          <cell r="AT6">
            <v>0.46388400947731928</v>
          </cell>
          <cell r="BW6">
            <v>0.10607534735783873</v>
          </cell>
          <cell r="DB6">
            <v>1.2127030482754585E-2</v>
          </cell>
          <cell r="DE6">
            <v>2.5709893830670138E-2</v>
          </cell>
          <cell r="DJ6">
            <v>2.1395587554600082E-2</v>
          </cell>
          <cell r="GS6">
            <v>3.0384045442099709E-2</v>
          </cell>
          <cell r="HC6">
            <v>3.2830102010452389E-2</v>
          </cell>
          <cell r="HT6">
            <v>2.7029373758216839E-2</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G3">
            <v>1.1081928596651709E-2</v>
          </cell>
          <cell r="AT3">
            <v>0.10786103988161409</v>
          </cell>
          <cell r="CE3">
            <v>1.4953332406916575E-2</v>
          </cell>
          <cell r="DF3">
            <v>2.7904297859888884E-2</v>
          </cell>
          <cell r="DM3">
            <v>4.1122873232623106E-2</v>
          </cell>
          <cell r="ED3">
            <v>5.089346907838823E-2</v>
          </cell>
          <cell r="EI3">
            <v>8.9362715972570339E-2</v>
          </cell>
          <cell r="EO3">
            <v>2.7199881735001593E-2</v>
          </cell>
          <cell r="FH3">
            <v>2.143451667437524E-2</v>
          </cell>
          <cell r="GK3">
            <v>0.33707181510280415</v>
          </cell>
          <cell r="GN3">
            <v>5.9269638008212333E-2</v>
          </cell>
          <cell r="GS3">
            <v>1.1535049394429425E-2</v>
          </cell>
          <cell r="HC3">
            <v>2.4070205470320811E-2</v>
          </cell>
          <cell r="HJ3">
            <v>0.13248906033080493</v>
          </cell>
          <cell r="HT3">
            <v>1.9995030429026301E-2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s>
    <sheetDataSet>
      <sheetData sheetId="0">
        <row r="3">
          <cell r="AG3">
            <v>1.297676483901355E-2</v>
          </cell>
          <cell r="AT3">
            <v>6.904290438851847E-2</v>
          </cell>
          <cell r="BG3">
            <v>2.737604474480259E-2</v>
          </cell>
          <cell r="CE3">
            <v>3.7766186146627211E-2</v>
          </cell>
          <cell r="CS3">
            <v>1.1175623192785478E-2</v>
          </cell>
          <cell r="CU3">
            <v>1.5347537482006726E-2</v>
          </cell>
          <cell r="CW3">
            <v>2.3948909827776522E-2</v>
          </cell>
          <cell r="DJ3">
            <v>1.384712033871709E-2</v>
          </cell>
          <cell r="ED3">
            <v>0.19688415052163769</v>
          </cell>
          <cell r="EI3">
            <v>7.0638888971772965E-2</v>
          </cell>
          <cell r="EW3">
            <v>1.5715869704523558E-2</v>
          </cell>
          <cell r="FM3">
            <v>5.0769762971266952E-2</v>
          </cell>
          <cell r="FO3">
            <v>2.2042416255464256E-2</v>
          </cell>
          <cell r="FT3">
            <v>6.2488023510068942E-2</v>
          </cell>
          <cell r="GH3">
            <v>3.0621799896853166E-2</v>
          </cell>
          <cell r="GM3">
            <v>1.5077621177048511E-2</v>
          </cell>
          <cell r="GN3">
            <v>7.2994578076560332E-2</v>
          </cell>
          <cell r="GS3">
            <v>1.7208027271604111E-2</v>
          </cell>
          <cell r="HC3">
            <v>1.166079979491037E-2</v>
          </cell>
          <cell r="HI3">
            <v>3.6227682746232559E-2</v>
          </cell>
          <cell r="HO3">
            <v>3.2591945749241569E-2</v>
          </cell>
          <cell r="HP3">
            <v>1.417765935900097E-2</v>
          </cell>
          <cell r="HT3">
            <v>3.6029578151869524E-2</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DF3">
            <v>0.59435872887285046</v>
          </cell>
          <cell r="HR3">
            <v>0.15322016423021689</v>
          </cell>
          <cell r="HT3">
            <v>0.2441727731339986</v>
          </cell>
        </row>
        <row r="6">
          <cell r="W6">
            <v>5.7849851643122396E-2</v>
          </cell>
          <cell r="DT6">
            <v>6.7056064592780587E-2</v>
          </cell>
          <cell r="FM6">
            <v>0.1052058646064655</v>
          </cell>
          <cell r="GZ6">
            <v>0.70302498740366137</v>
          </cell>
          <cell r="HC6">
            <v>2.9770902146664925E-2</v>
          </cell>
          <cell r="HT6">
            <v>2.5267322298318622E-2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DT5">
            <v>2.2664427324801957E-2</v>
          </cell>
          <cell r="FO5">
            <v>1.0328643324423898E-2</v>
          </cell>
          <cell r="HJ5">
            <v>0.54705618810566581</v>
          </cell>
          <cell r="HT5">
            <v>0.35762554512301242</v>
          </cell>
        </row>
        <row r="8">
          <cell r="K8">
            <v>2.6431215030201689E-2</v>
          </cell>
          <cell r="AS8">
            <v>0.13312753392016688</v>
          </cell>
          <cell r="DT8">
            <v>2.6784077332891509E-2</v>
          </cell>
          <cell r="EO8">
            <v>2.2245827373682702E-2</v>
          </cell>
          <cell r="FL8">
            <v>4.2798235092148022E-2</v>
          </cell>
          <cell r="FU8">
            <v>0.11145165105755893</v>
          </cell>
          <cell r="HJ8">
            <v>0.31529253847055727</v>
          </cell>
          <cell r="HT8">
            <v>0.26905190524151401</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L3">
            <v>9.0876059069349341E-2</v>
          </cell>
          <cell r="S3">
            <v>9.6189028713574376E-2</v>
          </cell>
          <cell r="AM3">
            <v>0.11499897996134403</v>
          </cell>
          <cell r="AT3">
            <v>6.4800747197154354E-2</v>
          </cell>
          <cell r="DE3">
            <v>1.2257727118217479E-2</v>
          </cell>
          <cell r="DV3">
            <v>0.15978080061183139</v>
          </cell>
          <cell r="EO3">
            <v>2.1309285722212714E-2</v>
          </cell>
          <cell r="ET3">
            <v>4.5646353077509375E-2</v>
          </cell>
          <cell r="GQ3">
            <v>4.3818367080468511E-2</v>
          </cell>
          <cell r="HJ3">
            <v>2.4633419754607061E-2</v>
          </cell>
          <cell r="HR3">
            <v>5.0987683769657323E-2</v>
          </cell>
          <cell r="HT3">
            <v>5.6554943775935118E-2</v>
          </cell>
          <cell r="IB3">
            <v>0.21029854044730717</v>
          </cell>
        </row>
        <row r="12">
          <cell r="M12">
            <v>1.8156550443914295E-2</v>
          </cell>
          <cell r="AM12">
            <v>1.7441288483740186E-2</v>
          </cell>
          <cell r="BW12">
            <v>4.9971376610727328E-2</v>
          </cell>
          <cell r="CE12">
            <v>0.16917714146719595</v>
          </cell>
          <cell r="CW12">
            <v>3.2956017586664832E-2</v>
          </cell>
          <cell r="CZ12">
            <v>4.4077953741401041E-2</v>
          </cell>
          <cell r="DB12">
            <v>1.0377882964035235E-2</v>
          </cell>
          <cell r="DE12">
            <v>0.13916505947906724</v>
          </cell>
          <cell r="DJ12">
            <v>0.11263465064617592</v>
          </cell>
          <cell r="EO12">
            <v>2.0221514305110096E-2</v>
          </cell>
          <cell r="FU12">
            <v>1.0669410311701866E-2</v>
          </cell>
          <cell r="GL12">
            <v>1.773539800454824E-2</v>
          </cell>
          <cell r="HI12">
            <v>1.0906066480113264E-2</v>
          </cell>
          <cell r="HR12">
            <v>0.10611079020437125</v>
          </cell>
          <cell r="HT12">
            <v>0.16475723570102258</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S5">
            <v>1.1406834942510149E-2</v>
          </cell>
          <cell r="AT5">
            <v>0.57456933900502705</v>
          </cell>
          <cell r="BW5">
            <v>2.2781136687529253E-2</v>
          </cell>
          <cell r="CE5">
            <v>1.4587618521262427E-2</v>
          </cell>
          <cell r="DA5">
            <v>2.106712193989884E-2</v>
          </cell>
          <cell r="DE5">
            <v>2.8409272686373034E-2</v>
          </cell>
          <cell r="EO5">
            <v>9.496524941245918E-2</v>
          </cell>
          <cell r="GK5">
            <v>2.3459011961912673E-2</v>
          </cell>
          <cell r="HR5">
            <v>2.6736843336544813E-2</v>
          </cell>
          <cell r="HT5">
            <v>0.13803467679044684</v>
          </cell>
        </row>
        <row r="8">
          <cell r="AT8">
            <v>0.50517011091718356</v>
          </cell>
          <cell r="BW8">
            <v>1.0867572498939009E-2</v>
          </cell>
          <cell r="CE8">
            <v>0.11272189672069584</v>
          </cell>
          <cell r="DB8">
            <v>2.1395842381908892E-2</v>
          </cell>
          <cell r="DE8">
            <v>1.9604332973660966E-2</v>
          </cell>
          <cell r="DJ8">
            <v>1.3056162497941819E-2</v>
          </cell>
          <cell r="ED8">
            <v>0.22303425813234451</v>
          </cell>
          <cell r="GS8">
            <v>5.0349807235401084E-2</v>
          </cell>
          <cell r="HT8">
            <v>1.6352924715480943E-2</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L3">
            <v>0.68069069929711234</v>
          </cell>
          <cell r="AT3">
            <v>0.16179190588742143</v>
          </cell>
          <cell r="GN3">
            <v>8.0493148441535503E-2</v>
          </cell>
          <cell r="HC3">
            <v>3.0334806507866848E-2</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K5">
            <v>0.10930144184740619</v>
          </cell>
          <cell r="S5">
            <v>1.4776903564388532E-2</v>
          </cell>
          <cell r="AS5">
            <v>0.4547250977180029</v>
          </cell>
          <cell r="AT5">
            <v>0.26004764648756634</v>
          </cell>
          <cell r="CE5">
            <v>1.13471666246977E-2</v>
          </cell>
          <cell r="EO5">
            <v>5.202298662266315E-2</v>
          </cell>
          <cell r="FU5">
            <v>3.6686964696762671E-2</v>
          </cell>
          <cell r="HT5">
            <v>2.9524511272074571E-2</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4.7803506181348737E-2</v>
          </cell>
          <cell r="AT3">
            <v>0.74679786570042106</v>
          </cell>
          <cell r="CE3">
            <v>4.4481931934810655E-2</v>
          </cell>
          <cell r="EO3">
            <v>1.4807060979248887E-2</v>
          </cell>
          <cell r="FT3">
            <v>1.447665628409437E-2</v>
          </cell>
          <cell r="FU3">
            <v>1.5881139256386938E-2</v>
          </cell>
          <cell r="GM3">
            <v>1.2668947912078879E-2</v>
          </cell>
          <cell r="HJ3">
            <v>3.4670930947631316E-2</v>
          </cell>
          <cell r="HT3">
            <v>1.8593379695559346E-2</v>
          </cell>
        </row>
        <row r="11">
          <cell r="M11">
            <v>4.3291342081859814E-2</v>
          </cell>
          <cell r="AM11">
            <v>0.12172224382110139</v>
          </cell>
          <cell r="AT11">
            <v>7.7634986013017437E-2</v>
          </cell>
          <cell r="CE11">
            <v>7.1219089463745874E-2</v>
          </cell>
          <cell r="DB11">
            <v>1.791939423076409E-2</v>
          </cell>
          <cell r="DJ11">
            <v>1.0279322528427184E-2</v>
          </cell>
          <cell r="ED11">
            <v>5.7595177525852255E-2</v>
          </cell>
          <cell r="EO11">
            <v>1.7202210429887808E-2</v>
          </cell>
          <cell r="EV11">
            <v>0.35071243769228422</v>
          </cell>
          <cell r="FO11">
            <v>2.3496539752603407E-2</v>
          </cell>
          <cell r="FT11">
            <v>1.0691351600815635E-2</v>
          </cell>
          <cell r="GK11">
            <v>1.3811430019898896E-2</v>
          </cell>
          <cell r="GS11">
            <v>2.6161205655971031E-2</v>
          </cell>
          <cell r="GZ11">
            <v>3.014745557776051E-2</v>
          </cell>
          <cell r="HT11">
            <v>2.6183505681693604E-2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Z3">
            <v>7.6465489718119631E-2</v>
          </cell>
          <cell r="AT3">
            <v>2.4006477566767253E-2</v>
          </cell>
          <cell r="BQ3">
            <v>1.4556226667026476E-2</v>
          </cell>
          <cell r="CE3">
            <v>3.2934018106085559E-2</v>
          </cell>
          <cell r="CZ3">
            <v>0.70252956326329485</v>
          </cell>
          <cell r="DJ3">
            <v>1.2112598859968951E-2</v>
          </cell>
          <cell r="FM3">
            <v>3.3361847047949499E-2</v>
          </cell>
          <cell r="FU3">
            <v>3.9867878240770351E-2</v>
          </cell>
          <cell r="HT3">
            <v>1.4459188852591611E-2</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S5">
            <v>4.391489860751329E-2</v>
          </cell>
          <cell r="AH5">
            <v>4.8911225091665428E-2</v>
          </cell>
          <cell r="BG5">
            <v>1.1755250713144977E-2</v>
          </cell>
          <cell r="CE5">
            <v>0.14966214002131675</v>
          </cell>
          <cell r="CT5">
            <v>8.0869088312700704E-2</v>
          </cell>
          <cell r="DB5">
            <v>5.320734151279867E-2</v>
          </cell>
          <cell r="DE5">
            <v>0.16346283195303418</v>
          </cell>
          <cell r="DJ5">
            <v>1.2750376837189088E-2</v>
          </cell>
          <cell r="FU5">
            <v>3.5912497887297223E-2</v>
          </cell>
          <cell r="GQ5">
            <v>0.19940292432557352</v>
          </cell>
          <cell r="GZ5">
            <v>1.5540869157298914E-2</v>
          </cell>
          <cell r="HR5">
            <v>9.0270184503626949E-2</v>
          </cell>
          <cell r="HT5">
            <v>5.1732761207672645E-2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AT5">
            <v>2.3317757629965071E-2</v>
          </cell>
          <cell r="BQ5">
            <v>3.5493002382839887E-2</v>
          </cell>
          <cell r="DE5">
            <v>2.1022848792024287E-2</v>
          </cell>
          <cell r="DX5">
            <v>2.9333249066076063E-2</v>
          </cell>
          <cell r="GN5">
            <v>0.63387525423294122</v>
          </cell>
          <cell r="HC5">
            <v>0.2388715698303068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T3">
            <v>0.54325231707251098</v>
          </cell>
          <cell r="DA3">
            <v>1.5603216054019939E-2</v>
          </cell>
          <cell r="DE3">
            <v>0.11690506518541134</v>
          </cell>
          <cell r="DX3">
            <v>6.1287379431743207E-2</v>
          </cell>
          <cell r="ED3">
            <v>3.268862261507792E-2</v>
          </cell>
          <cell r="FM3">
            <v>5.4348200562302662E-2</v>
          </cell>
          <cell r="GL3">
            <v>9.294150623456654E-2</v>
          </cell>
          <cell r="HT3">
            <v>6.6719765030388664E-2</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L5">
            <v>2.6894398335594771E-2</v>
          </cell>
          <cell r="Z5">
            <v>0.11876503288440385</v>
          </cell>
          <cell r="AM5">
            <v>1.4586561577749128E-2</v>
          </cell>
          <cell r="AT5">
            <v>0.37806438274209836</v>
          </cell>
          <cell r="BW5">
            <v>5.257083344338391E-2</v>
          </cell>
          <cell r="CE5">
            <v>5.4323876618742231E-2</v>
          </cell>
          <cell r="CV5">
            <v>1.2462915862716126E-2</v>
          </cell>
          <cell r="DJ5">
            <v>1.1698937823172034E-2</v>
          </cell>
          <cell r="DX5">
            <v>3.7603506886013889E-2</v>
          </cell>
          <cell r="EO5">
            <v>5.2987008386638668E-2</v>
          </cell>
          <cell r="FB5">
            <v>0.14980886661484616</v>
          </cell>
          <cell r="HT5">
            <v>1.7960366975117679E-2</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T3">
            <v>0.18516566385331315</v>
          </cell>
          <cell r="BG3">
            <v>2.0492074466021856E-2</v>
          </cell>
          <cell r="BQ3">
            <v>2.7291582528458678E-2</v>
          </cell>
          <cell r="CE3">
            <v>0.13568441155733835</v>
          </cell>
          <cell r="CW3">
            <v>5.3484139424901565E-2</v>
          </cell>
          <cell r="DA3">
            <v>1.6769838173229256E-2</v>
          </cell>
          <cell r="DE3">
            <v>0.11096356026501349</v>
          </cell>
          <cell r="DF3">
            <v>0.10624497547537612</v>
          </cell>
          <cell r="HC3">
            <v>0.13527218187391096</v>
          </cell>
          <cell r="HR3">
            <v>1.698051644317277E-2</v>
          </cell>
          <cell r="HT3">
            <v>0.15940739321007513</v>
          </cell>
        </row>
        <row r="6">
          <cell r="M6">
            <v>1.8249132279213265E-2</v>
          </cell>
          <cell r="AT6">
            <v>0.14236887774778248</v>
          </cell>
          <cell r="BM6">
            <v>4.5196683378326261E-2</v>
          </cell>
          <cell r="BQ6">
            <v>3.4650019282684151E-2</v>
          </cell>
          <cell r="BW6">
            <v>3.8905707674508294E-2</v>
          </cell>
          <cell r="CE6">
            <v>1.7182799845738526E-2</v>
          </cell>
          <cell r="CW6">
            <v>0.19502506748939452</v>
          </cell>
          <cell r="DE6">
            <v>0.10396644812957964</v>
          </cell>
          <cell r="DJ6">
            <v>5.8174893945237179E-2</v>
          </cell>
          <cell r="DX6">
            <v>2.8593328191284226E-2</v>
          </cell>
          <cell r="ED6">
            <v>3.8632857693790976E-2</v>
          </cell>
          <cell r="EK6">
            <v>1.591785576552256E-2</v>
          </cell>
          <cell r="EO6">
            <v>1.6035480138835326E-2</v>
          </cell>
          <cell r="HC6">
            <v>3.3229849595063636E-2</v>
          </cell>
          <cell r="HR6">
            <v>1.6264944080215966E-2</v>
          </cell>
          <cell r="HT6">
            <v>0.13422387196297725</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M3">
            <v>1.6276315843921314E-2</v>
          </cell>
          <cell r="AT3">
            <v>3.9806480509998098E-2</v>
          </cell>
          <cell r="BG3">
            <v>1.7923675794424887E-2</v>
          </cell>
          <cell r="BQ3">
            <v>1.0029917883137469E-2</v>
          </cell>
          <cell r="BW3">
            <v>1.0920505357808152E-2</v>
          </cell>
          <cell r="CE3">
            <v>2.4860095690994372E-2</v>
          </cell>
          <cell r="DB3">
            <v>1.8216233794123241E-2</v>
          </cell>
          <cell r="DE3">
            <v>0.31556314953533604</v>
          </cell>
          <cell r="DF3">
            <v>0.18381546258138523</v>
          </cell>
          <cell r="EO3">
            <v>1.2302661046379639E-2</v>
          </cell>
          <cell r="FU3">
            <v>0.13297065730161442</v>
          </cell>
          <cell r="HO3">
            <v>6.9633498440323266E-2</v>
          </cell>
          <cell r="HR3">
            <v>1.990441745028633E-2</v>
          </cell>
          <cell r="HT3">
            <v>8.228790543854235E-2</v>
          </cell>
        </row>
        <row r="6">
          <cell r="L6">
            <v>1.2457546172480056E-2</v>
          </cell>
          <cell r="S6">
            <v>2.8764036922467262E-2</v>
          </cell>
          <cell r="AM6">
            <v>2.5129739846842608E-2</v>
          </cell>
          <cell r="AT6">
            <v>0.41862088881756837</v>
          </cell>
          <cell r="BG6">
            <v>2.1058293097808135E-2</v>
          </cell>
          <cell r="BW6">
            <v>7.8600070493052537E-2</v>
          </cell>
          <cell r="CE6">
            <v>0.10481710441847793</v>
          </cell>
          <cell r="DE6">
            <v>4.1096389769985184E-2</v>
          </cell>
          <cell r="DJ6">
            <v>7.625076206943604E-2</v>
          </cell>
          <cell r="EO6">
            <v>1.4143484018390903E-2</v>
          </cell>
          <cell r="FB6">
            <v>1.5972811706888471E-2</v>
          </cell>
          <cell r="GK6">
            <v>2.2784214341241976E-2</v>
          </cell>
          <cell r="GN6">
            <v>1.6551349445483188E-2</v>
          </cell>
          <cell r="HR6">
            <v>2.3859469674368101E-2</v>
          </cell>
          <cell r="HT6">
            <v>2.8309613394363557E-2</v>
          </cell>
        </row>
        <row r="9">
          <cell r="S9">
            <v>1.1101754357089185E-2</v>
          </cell>
          <cell r="AM9">
            <v>2.6410202276808972E-2</v>
          </cell>
          <cell r="BQ9">
            <v>4.973230117486787E-2</v>
          </cell>
          <cell r="BW9">
            <v>6.977434168087325E-2</v>
          </cell>
          <cell r="CE9">
            <v>0.13131512844162727</v>
          </cell>
          <cell r="DA9">
            <v>1.3668925159543118E-2</v>
          </cell>
          <cell r="DB9">
            <v>3.7902149630270179E-2</v>
          </cell>
          <cell r="DE9">
            <v>8.8039520354606382E-2</v>
          </cell>
          <cell r="DJ9">
            <v>2.8423680433914238E-2</v>
          </cell>
          <cell r="ED9">
            <v>1.2909350515013608E-2</v>
          </cell>
          <cell r="EO9">
            <v>1.2154935185706862E-2</v>
          </cell>
          <cell r="FO9">
            <v>2.7713594067610453E-2</v>
          </cell>
          <cell r="FU9">
            <v>1.2374997388690148E-2</v>
          </cell>
          <cell r="GL9">
            <v>2.208110949966037E-2</v>
          </cell>
          <cell r="GM9">
            <v>1.3307329962580721E-2</v>
          </cell>
          <cell r="GS9">
            <v>2.2675950057828645E-2</v>
          </cell>
          <cell r="GY9">
            <v>1.0399422789739862E-2</v>
          </cell>
          <cell r="GZ9">
            <v>1.9706463450841222E-2</v>
          </cell>
          <cell r="HR9">
            <v>6.9885077044718913E-2</v>
          </cell>
          <cell r="HT9">
            <v>0.23897630006830553</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Z3">
            <v>7.5961126435226206E-2</v>
          </cell>
          <cell r="AT3">
            <v>2.3853510610089921E-2</v>
          </cell>
          <cell r="BQ3">
            <v>1.4460214383637118E-2</v>
          </cell>
          <cell r="CE3">
            <v>3.2716942446720486E-2</v>
          </cell>
          <cell r="CZ3">
            <v>0.70424021027043249</v>
          </cell>
          <cell r="DJ3">
            <v>1.2033195399150782E-2</v>
          </cell>
          <cell r="FM3">
            <v>3.3292820142774966E-2</v>
          </cell>
          <cell r="FU3">
            <v>3.9605539510650448E-2</v>
          </cell>
          <cell r="HT3">
            <v>1.4365950452958427E-2</v>
          </cell>
        </row>
        <row r="6">
          <cell r="M6">
            <v>1.6641100918404421E-2</v>
          </cell>
          <cell r="Z6">
            <v>0.30253912434660152</v>
          </cell>
          <cell r="AT6">
            <v>0.12270739682868032</v>
          </cell>
          <cell r="CE6">
            <v>3.2834589078333559E-2</v>
          </cell>
          <cell r="DJ6">
            <v>2.3458960874327375E-2</v>
          </cell>
          <cell r="EO6">
            <v>1.9643193384730036E-2</v>
          </cell>
          <cell r="FU6">
            <v>0.288493159040701</v>
          </cell>
          <cell r="GK6">
            <v>1.0298753271964929E-2</v>
          </cell>
          <cell r="GQ6">
            <v>0.13489369263287426</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11">
          <cell r="L11">
            <v>2.5532204241762578E-2</v>
          </cell>
          <cell r="M11">
            <v>1.7694640733066445E-2</v>
          </cell>
          <cell r="S11">
            <v>2.8929553924792743E-2</v>
          </cell>
          <cell r="AM11">
            <v>5.2342653714016772E-2</v>
          </cell>
          <cell r="BI11">
            <v>1.3432602565140214E-2</v>
          </cell>
          <cell r="BW11">
            <v>5.1023392662757107E-2</v>
          </cell>
          <cell r="CE11">
            <v>0.11284180018185373</v>
          </cell>
          <cell r="CT11">
            <v>2.031875350631385E-2</v>
          </cell>
          <cell r="DB11">
            <v>1.405989900462443E-2</v>
          </cell>
          <cell r="DE11">
            <v>3.100149687836817E-2</v>
          </cell>
          <cell r="DX11">
            <v>1.6334250021547276E-2</v>
          </cell>
          <cell r="ED11">
            <v>2.691285176538695E-2</v>
          </cell>
          <cell r="EO11">
            <v>5.2216585317632985E-2</v>
          </cell>
          <cell r="FO11">
            <v>2.5607197893740115E-2</v>
          </cell>
          <cell r="GF11">
            <v>1.6696022102710876E-2</v>
          </cell>
          <cell r="GS11">
            <v>1.6162069600167861E-2</v>
          </cell>
          <cell r="GY11">
            <v>1.8024395276316101E-2</v>
          </cell>
          <cell r="GZ11">
            <v>1.5872864663093209E-2</v>
          </cell>
          <cell r="HC11">
            <v>1.1863803280694354E-2</v>
          </cell>
          <cell r="HH11">
            <v>2.0121966487574201E-2</v>
          </cell>
          <cell r="HR11">
            <v>4.8344665367637714E-2</v>
          </cell>
          <cell r="HT11">
            <v>0.18038162348199213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6">
          <cell r="AM6">
            <v>1.2228027524554744E-2</v>
          </cell>
          <cell r="AT6">
            <v>0.26484899573643716</v>
          </cell>
          <cell r="BG6">
            <v>0.10985578682318725</v>
          </cell>
          <cell r="BI6">
            <v>1.0053426394441279E-2</v>
          </cell>
          <cell r="BW6">
            <v>2.7656314708905425E-2</v>
          </cell>
          <cell r="CE6">
            <v>8.9863625071727557E-2</v>
          </cell>
          <cell r="CU6">
            <v>1.0848446596259732E-2</v>
          </cell>
          <cell r="CW6">
            <v>1.1580159313396661E-2</v>
          </cell>
          <cell r="DB6">
            <v>2.2704175960159109E-2</v>
          </cell>
          <cell r="DE6">
            <v>2.0969236053436667E-2</v>
          </cell>
          <cell r="DJ6">
            <v>1.8343791841158065E-2</v>
          </cell>
          <cell r="ED6">
            <v>6.2782395590586404E-2</v>
          </cell>
          <cell r="FO6">
            <v>8.0537390267956116E-2</v>
          </cell>
          <cell r="FT6">
            <v>1.2115949805786964E-2</v>
          </cell>
          <cell r="GK6">
            <v>1.1244698225563144E-2</v>
          </cell>
          <cell r="GM6">
            <v>3.2681549173147598E-2</v>
          </cell>
          <cell r="GS6">
            <v>3.0600322891209685E-2</v>
          </cell>
          <cell r="GY6">
            <v>1.4507251919244584E-2</v>
          </cell>
          <cell r="HC6">
            <v>1.2083915531308432E-2</v>
          </cell>
          <cell r="HJ6">
            <v>1.0370775643407742E-2</v>
          </cell>
          <cell r="HR6">
            <v>1.7018265112561982E-2</v>
          </cell>
          <cell r="HT6">
            <v>2.8010441927521224E-2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7">
          <cell r="S7">
            <v>0.18120205897649758</v>
          </cell>
          <cell r="AM7">
            <v>1.729724350359186E-2</v>
          </cell>
          <cell r="AT7">
            <v>3.6916001909025144E-2</v>
          </cell>
          <cell r="BG7">
            <v>2.3934768804012473E-2</v>
          </cell>
          <cell r="BW7">
            <v>3.1471812133558895E-2</v>
          </cell>
          <cell r="CE7">
            <v>0.15436539791173573</v>
          </cell>
          <cell r="CU7">
            <v>1.4562249919641009E-2</v>
          </cell>
          <cell r="DB7">
            <v>2.2024474877310435E-2</v>
          </cell>
          <cell r="DS7">
            <v>1.1742610963547426E-2</v>
          </cell>
          <cell r="EO7">
            <v>4.6828796078746467E-2</v>
          </cell>
          <cell r="FO7">
            <v>3.1180879410958831E-2</v>
          </cell>
          <cell r="FU7">
            <v>7.6273334767681916E-2</v>
          </cell>
          <cell r="GS7">
            <v>2.1279540793148543E-2</v>
          </cell>
          <cell r="GY7">
            <v>1.4616926813322786E-2</v>
          </cell>
          <cell r="HJ7">
            <v>1.260200681861731E-2</v>
          </cell>
          <cell r="HR7">
            <v>2.5890102112184135E-2</v>
          </cell>
          <cell r="HT7">
            <v>0.1173729910228766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 (price volatility)"/>
      <sheetName val="Production"/>
    </sheetNames>
    <sheetDataSet>
      <sheetData sheetId="0"/>
      <sheetData sheetId="1"/>
      <sheetData sheetId="2">
        <row r="3">
          <cell r="J3">
            <v>2.006573387685184E-2</v>
          </cell>
          <cell r="U3">
            <v>1.1997967193556716E-2</v>
          </cell>
          <cell r="X3">
            <v>1.2629177804361453E-2</v>
          </cell>
          <cell r="AG3">
            <v>4.3529087252064405E-2</v>
          </cell>
          <cell r="AH3">
            <v>1.1214370397584867E-2</v>
          </cell>
          <cell r="AN3">
            <v>6.3380578215827488E-2</v>
          </cell>
          <cell r="AW3">
            <v>2.6111118137324488E-2</v>
          </cell>
          <cell r="BA3">
            <v>9.3174087179032195E-2</v>
          </cell>
          <cell r="BM3">
            <v>1.428126795846479E-2</v>
          </cell>
          <cell r="BQ3">
            <v>3.079383985932985E-2</v>
          </cell>
          <cell r="BY3">
            <v>0.18822191219193279</v>
          </cell>
          <cell r="CO3">
            <v>9.0526873873771799E-2</v>
          </cell>
          <cell r="DK3">
            <v>3.9838534644638261E-2</v>
          </cell>
          <cell r="DV3">
            <v>1.5655562549114471E-2</v>
          </cell>
          <cell r="DY3">
            <v>1.2438529209321054E-2</v>
          </cell>
          <cell r="DZ3">
            <v>1.783863438017785E-2</v>
          </cell>
          <cell r="EC3">
            <v>8.3526237838188702E-2</v>
          </cell>
          <cell r="EI3">
            <v>1.6125147320707255E-2</v>
          </cell>
          <cell r="EL3">
            <v>1.7888240730794577E-2</v>
          </cell>
          <cell r="EN3">
            <v>3.753531373926787E-2</v>
          </cell>
          <cell r="EV3">
            <v>4.8719244489143609E-2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8">
          <cell r="M8">
            <v>1.1048276081119992E-2</v>
          </cell>
          <cell r="Z8">
            <v>2.754906167806646E-2</v>
          </cell>
          <cell r="AT8">
            <v>0.42425072881547143</v>
          </cell>
          <cell r="BG8">
            <v>2.1341008608985572E-2</v>
          </cell>
          <cell r="BV8">
            <v>1.6348551217021157E-2</v>
          </cell>
          <cell r="BW8">
            <v>1.8838228110744509E-2</v>
          </cell>
          <cell r="CE8">
            <v>8.3627983386890245E-2</v>
          </cell>
          <cell r="CT8">
            <v>1.1546017476606048E-2</v>
          </cell>
          <cell r="CU8">
            <v>1.6717410560265648E-2</v>
          </cell>
          <cell r="DB8">
            <v>3.3456458395499752E-2</v>
          </cell>
          <cell r="DE8">
            <v>2.5883141948715868E-2</v>
          </cell>
          <cell r="DJ8">
            <v>1.1772448683030562E-2</v>
          </cell>
          <cell r="ED8">
            <v>3.5257211828895095E-2</v>
          </cell>
          <cell r="EO8">
            <v>1.3789087548070292E-2</v>
          </cell>
          <cell r="FM8">
            <v>1.441600008277091E-2</v>
          </cell>
          <cell r="FO8">
            <v>1.5334433525785817E-2</v>
          </cell>
          <cell r="GK8">
            <v>1.0992501469468169E-2</v>
          </cell>
          <cell r="GN8">
            <v>2.691154525620441E-2</v>
          </cell>
          <cell r="HC8">
            <v>1.2553188525875031E-2</v>
          </cell>
          <cell r="HT8">
            <v>6.4444495459445583E-2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11">
          <cell r="M11">
            <v>4.7544465561243129E-2</v>
          </cell>
          <cell r="Z11">
            <v>1.151529346196066E-2</v>
          </cell>
          <cell r="AM11">
            <v>2.6230974999724137E-2</v>
          </cell>
          <cell r="AT11">
            <v>7.1753275710466663E-2</v>
          </cell>
          <cell r="BG11">
            <v>1.1055170380036556E-2</v>
          </cell>
          <cell r="BW11">
            <v>4.8486145168917978E-2</v>
          </cell>
          <cell r="CE11">
            <v>0.11970342703715384</v>
          </cell>
          <cell r="CU11">
            <v>5.1989813963129392E-2</v>
          </cell>
          <cell r="CW11">
            <v>1.1262221864009251E-2</v>
          </cell>
          <cell r="DB11">
            <v>3.0829706904831486E-2</v>
          </cell>
          <cell r="DE11">
            <v>8.874891307162297E-2</v>
          </cell>
          <cell r="DJ11">
            <v>3.6436081512537931E-2</v>
          </cell>
          <cell r="ED11">
            <v>7.4828051190167902E-2</v>
          </cell>
          <cell r="FO11">
            <v>4.9614684453193628E-2</v>
          </cell>
          <cell r="GK11">
            <v>1.0768489225880256E-2</v>
          </cell>
          <cell r="GS11">
            <v>2.7061358796942471E-2</v>
          </cell>
          <cell r="GY11">
            <v>3.6375021533697163E-2</v>
          </cell>
          <cell r="HC11">
            <v>2.3044438648774819E-2</v>
          </cell>
          <cell r="HJ11">
            <v>1.1124335824119943E-2</v>
          </cell>
          <cell r="HR11">
            <v>4.5677367239341328E-2</v>
          </cell>
          <cell r="HT11">
            <v>9.7760386590439022E-2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1.638295377365042E-2</v>
          </cell>
          <cell r="S3">
            <v>1.7865372255621459E-2</v>
          </cell>
          <cell r="AM3">
            <v>2.0097674304905385E-2</v>
          </cell>
          <cell r="AT3">
            <v>0.11655956116807722</v>
          </cell>
          <cell r="BG3">
            <v>7.6239065881085977E-2</v>
          </cell>
          <cell r="BI3">
            <v>1.3768364572516069E-2</v>
          </cell>
          <cell r="BW3">
            <v>2.8744733370559255E-2</v>
          </cell>
          <cell r="CE3">
            <v>0.18768918857690053</v>
          </cell>
          <cell r="CU3">
            <v>1.8550501424282134E-2</v>
          </cell>
          <cell r="DB3">
            <v>5.6429751425484974E-2</v>
          </cell>
          <cell r="DE3">
            <v>2.9591622859729192E-2</v>
          </cell>
          <cell r="DJ3">
            <v>2.3460146951252477E-2</v>
          </cell>
          <cell r="ED3">
            <v>3.870169414780656E-2</v>
          </cell>
          <cell r="EO3">
            <v>1.1583698229791935E-2</v>
          </cell>
          <cell r="FO3">
            <v>0.11447473871011872</v>
          </cell>
          <cell r="FP3">
            <v>1.8428563499133965E-2</v>
          </cell>
          <cell r="FT3">
            <v>1.2923004588481536E-2</v>
          </cell>
          <cell r="GK3">
            <v>1.910924854622988E-2</v>
          </cell>
          <cell r="GS3">
            <v>2.8459774798409127E-2</v>
          </cell>
          <cell r="GY3">
            <v>1.2402511138679084E-2</v>
          </cell>
          <cell r="HC3">
            <v>1.4172842027309999E-2</v>
          </cell>
          <cell r="HJ3">
            <v>2.11819900527867E-2</v>
          </cell>
          <cell r="HR3">
            <v>2.0536499667565267E-2</v>
          </cell>
          <cell r="HT3">
            <v>1.2814395462747616E-2</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mu.edu/me/ddl/publications/2009-TRB-Shiau-Samaras-Michalek-PHEV.pdf" TargetMode="External"/><Relationship Id="rId2" Type="http://schemas.openxmlformats.org/officeDocument/2006/relationships/hyperlink" Target="https://www.virta.global/global-electric-vehicle-market" TargetMode="External"/><Relationship Id="rId1" Type="http://schemas.openxmlformats.org/officeDocument/2006/relationships/hyperlink" Target="https://www.virta.global/global-electric-vehicle-mark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2"/>
  <sheetViews>
    <sheetView topLeftCell="I1" zoomScaleNormal="100" workbookViewId="0">
      <selection activeCell="K56" sqref="K56:T77"/>
    </sheetView>
  </sheetViews>
  <sheetFormatPr baseColWidth="10" defaultRowHeight="16"/>
  <cols>
    <col min="1" max="1" width="38.81640625" customWidth="1"/>
    <col min="2" max="2" width="29" customWidth="1"/>
    <col min="3" max="3" width="26" customWidth="1"/>
    <col min="4" max="4" width="19.54296875" customWidth="1"/>
    <col min="5" max="5" width="4.54296875" customWidth="1"/>
    <col min="6" max="6" width="35.26953125" customWidth="1"/>
    <col min="7" max="7" width="17.81640625" customWidth="1"/>
    <col min="8" max="8" width="27.1796875" customWidth="1"/>
    <col min="9" max="9" width="19.7265625" customWidth="1"/>
    <col min="10" max="10" width="3.453125" customWidth="1"/>
    <col min="11" max="11" width="36" customWidth="1"/>
    <col min="12" max="12" width="18.7265625" customWidth="1"/>
    <col min="13" max="13" width="18" customWidth="1"/>
    <col min="14" max="14" width="16.1796875" customWidth="1"/>
    <col min="15" max="15" width="28.54296875" customWidth="1"/>
    <col min="16" max="16" width="5.26953125" customWidth="1"/>
    <col min="17" max="17" width="25.54296875" customWidth="1"/>
    <col min="18" max="18" width="17" customWidth="1"/>
    <col min="19" max="19" width="15.1796875" bestFit="1" customWidth="1"/>
    <col min="20" max="20" width="17.453125" customWidth="1"/>
    <col min="21" max="21" width="5" customWidth="1"/>
    <col min="22" max="22" width="35.453125" customWidth="1"/>
    <col min="23" max="23" width="18.453125" customWidth="1"/>
    <col min="24" max="24" width="13.1796875" bestFit="1" customWidth="1"/>
    <col min="25" max="25" width="15.81640625" customWidth="1"/>
    <col min="26" max="26" width="3.81640625" customWidth="1"/>
    <col min="27" max="27" width="27.54296875" customWidth="1"/>
    <col min="28" max="28" width="22" customWidth="1"/>
    <col min="29" max="29" width="16.81640625" customWidth="1"/>
    <col min="30" max="30" width="15.1796875" customWidth="1"/>
    <col min="31" max="31" width="5.81640625" customWidth="1"/>
    <col min="32" max="32" width="25.26953125" customWidth="1"/>
    <col min="33" max="33" width="17.54296875" customWidth="1"/>
    <col min="34" max="34" width="13.54296875" customWidth="1"/>
    <col min="35" max="35" width="30.26953125" customWidth="1"/>
    <col min="36" max="37" width="12.453125" customWidth="1"/>
    <col min="39" max="39" width="28" customWidth="1"/>
    <col min="40" max="40" width="21.54296875" customWidth="1"/>
    <col min="41" max="41" width="21.81640625" customWidth="1"/>
    <col min="42" max="42" width="17.1796875" customWidth="1"/>
    <col min="43" max="43" width="63.54296875" customWidth="1"/>
    <col min="45" max="45" width="30.54296875" customWidth="1"/>
    <col min="46" max="46" width="19.54296875" customWidth="1"/>
    <col min="47" max="47" width="25.26953125" customWidth="1"/>
    <col min="48" max="48" width="17" bestFit="1" customWidth="1"/>
    <col min="49" max="49" width="33.1796875" customWidth="1"/>
    <col min="50" max="50" width="34.26953125" customWidth="1"/>
    <col min="51" max="51" width="19.81640625" customWidth="1"/>
    <col min="52" max="52" width="12.81640625" customWidth="1"/>
    <col min="53" max="53" width="20.26953125" customWidth="1"/>
    <col min="54" max="54" width="45.1796875" customWidth="1"/>
  </cols>
  <sheetData>
    <row r="1" spans="1:54" ht="17.5">
      <c r="A1" s="21" t="s">
        <v>83</v>
      </c>
      <c r="AB1" s="120"/>
      <c r="AC1" s="12"/>
      <c r="AD1" s="125"/>
    </row>
    <row r="3" spans="1:54">
      <c r="A3" s="20" t="s">
        <v>227</v>
      </c>
      <c r="F3" s="20" t="s">
        <v>228</v>
      </c>
      <c r="K3" s="20" t="s">
        <v>238</v>
      </c>
      <c r="Q3" s="53" t="s">
        <v>237</v>
      </c>
      <c r="R3" s="28"/>
      <c r="S3" s="28"/>
      <c r="T3" s="28"/>
      <c r="U3" s="28"/>
      <c r="V3" s="53" t="s">
        <v>138</v>
      </c>
      <c r="AA3" s="53" t="s">
        <v>140</v>
      </c>
      <c r="AF3" s="53" t="s">
        <v>152</v>
      </c>
    </row>
    <row r="4" spans="1:54">
      <c r="A4" s="22" t="s">
        <v>0</v>
      </c>
      <c r="B4" s="23" t="s">
        <v>1</v>
      </c>
      <c r="C4" s="23" t="s">
        <v>2</v>
      </c>
      <c r="D4" s="24" t="s">
        <v>3</v>
      </c>
      <c r="F4" s="22" t="s">
        <v>0</v>
      </c>
      <c r="G4" s="23" t="s">
        <v>1</v>
      </c>
      <c r="H4" s="23" t="s">
        <v>2</v>
      </c>
      <c r="I4" s="24" t="s">
        <v>3</v>
      </c>
      <c r="K4" s="22" t="s">
        <v>0</v>
      </c>
      <c r="L4" s="23" t="s">
        <v>1</v>
      </c>
      <c r="M4" s="23" t="s">
        <v>2</v>
      </c>
      <c r="N4" s="23" t="s">
        <v>3</v>
      </c>
      <c r="O4" s="24" t="s">
        <v>52</v>
      </c>
      <c r="Q4" s="22" t="s">
        <v>0</v>
      </c>
      <c r="R4" s="23" t="s">
        <v>1</v>
      </c>
      <c r="S4" s="23" t="s">
        <v>2</v>
      </c>
      <c r="T4" s="24" t="s">
        <v>3</v>
      </c>
      <c r="U4" s="28"/>
      <c r="V4" s="22" t="s">
        <v>0</v>
      </c>
      <c r="W4" s="23" t="s">
        <v>1</v>
      </c>
      <c r="X4" s="23" t="s">
        <v>2</v>
      </c>
      <c r="Y4" s="24" t="s">
        <v>3</v>
      </c>
      <c r="AA4" s="22" t="s">
        <v>0</v>
      </c>
      <c r="AB4" s="23" t="s">
        <v>1</v>
      </c>
      <c r="AC4" s="23" t="s">
        <v>2</v>
      </c>
      <c r="AD4" s="24" t="s">
        <v>3</v>
      </c>
      <c r="AE4" s="28"/>
      <c r="AF4" s="22" t="s">
        <v>0</v>
      </c>
      <c r="AG4" s="23" t="s">
        <v>1</v>
      </c>
      <c r="AH4" s="23" t="s">
        <v>2</v>
      </c>
      <c r="AI4" s="23" t="s">
        <v>3</v>
      </c>
      <c r="AJ4" s="23"/>
      <c r="AK4" s="24"/>
      <c r="BB4" s="43"/>
    </row>
    <row r="5" spans="1:54" ht="64">
      <c r="A5" s="25" t="s">
        <v>209</v>
      </c>
      <c r="B5" s="26">
        <v>2015333</v>
      </c>
      <c r="C5" s="27" t="s">
        <v>4</v>
      </c>
      <c r="D5" s="55" t="s">
        <v>5</v>
      </c>
      <c r="F5" s="25" t="s">
        <v>221</v>
      </c>
      <c r="G5" s="26">
        <v>977954</v>
      </c>
      <c r="H5" s="27" t="s">
        <v>4</v>
      </c>
      <c r="I5" s="55" t="s">
        <v>5</v>
      </c>
      <c r="K5" s="25" t="s">
        <v>216</v>
      </c>
      <c r="L5" s="26">
        <v>2000000</v>
      </c>
      <c r="M5" s="28" t="s">
        <v>4</v>
      </c>
      <c r="N5" s="158" t="s">
        <v>965</v>
      </c>
      <c r="O5" s="33" t="s">
        <v>966</v>
      </c>
      <c r="Q5" s="25" t="s">
        <v>229</v>
      </c>
      <c r="R5" s="26">
        <v>55834456</v>
      </c>
      <c r="S5" s="28" t="s">
        <v>4</v>
      </c>
      <c r="T5" s="159" t="s">
        <v>969</v>
      </c>
      <c r="U5" s="28"/>
      <c r="V5" s="25" t="s">
        <v>50</v>
      </c>
      <c r="W5" s="26">
        <v>156000</v>
      </c>
      <c r="X5" s="28" t="s">
        <v>4</v>
      </c>
      <c r="Y5" s="160" t="s">
        <v>1115</v>
      </c>
      <c r="AA5" s="25" t="s">
        <v>61</v>
      </c>
      <c r="AB5" s="26">
        <v>52000</v>
      </c>
      <c r="AC5" s="28" t="s">
        <v>4</v>
      </c>
      <c r="AD5" s="160" t="s">
        <v>974</v>
      </c>
      <c r="AE5" s="28"/>
      <c r="AF5" s="31" t="s">
        <v>74</v>
      </c>
      <c r="AG5" s="127">
        <v>21787126</v>
      </c>
      <c r="AH5" s="28" t="s">
        <v>4</v>
      </c>
      <c r="AI5" s="28" t="s">
        <v>59</v>
      </c>
      <c r="AJ5" s="28"/>
      <c r="AK5" s="29"/>
    </row>
    <row r="6" spans="1:54" ht="48">
      <c r="A6" s="30" t="s">
        <v>226</v>
      </c>
      <c r="B6" s="26">
        <v>1800</v>
      </c>
      <c r="C6" s="28" t="s">
        <v>6</v>
      </c>
      <c r="D6" s="33" t="s">
        <v>963</v>
      </c>
      <c r="F6" s="30" t="s">
        <v>222</v>
      </c>
      <c r="G6" s="26">
        <v>1600</v>
      </c>
      <c r="H6" s="28" t="s">
        <v>6</v>
      </c>
      <c r="I6" s="55" t="s">
        <v>49</v>
      </c>
      <c r="K6" s="30" t="s">
        <v>217</v>
      </c>
      <c r="L6" s="28">
        <v>1600</v>
      </c>
      <c r="M6" s="28" t="s">
        <v>6</v>
      </c>
      <c r="N6" s="158" t="s">
        <v>967</v>
      </c>
      <c r="O6" s="29"/>
      <c r="Q6" s="30" t="s">
        <v>230</v>
      </c>
      <c r="R6" s="28">
        <v>1885</v>
      </c>
      <c r="S6" s="28" t="s">
        <v>6</v>
      </c>
      <c r="T6" s="159" t="s">
        <v>970</v>
      </c>
      <c r="U6" s="28"/>
      <c r="V6" s="30" t="s">
        <v>51</v>
      </c>
      <c r="W6" s="28">
        <v>18000</v>
      </c>
      <c r="X6" s="28" t="s">
        <v>6</v>
      </c>
      <c r="Y6" s="160" t="s">
        <v>971</v>
      </c>
      <c r="AA6" s="30" t="s">
        <v>62</v>
      </c>
      <c r="AB6" s="28">
        <v>14000</v>
      </c>
      <c r="AC6" s="28" t="s">
        <v>6</v>
      </c>
      <c r="AD6" s="160" t="s">
        <v>975</v>
      </c>
      <c r="AE6" s="28"/>
      <c r="AF6" s="31" t="s">
        <v>75</v>
      </c>
      <c r="AG6" s="59">
        <f>0.7/(22+3+0.7)</f>
        <v>2.7237354085603113E-2</v>
      </c>
      <c r="AH6" s="28"/>
      <c r="AI6" s="14" t="s">
        <v>976</v>
      </c>
      <c r="AJ6" s="28"/>
      <c r="AK6" s="29"/>
    </row>
    <row r="7" spans="1:54" ht="48">
      <c r="A7" s="25" t="s">
        <v>209</v>
      </c>
      <c r="B7" s="108">
        <f>B5*B6</f>
        <v>3627599400</v>
      </c>
      <c r="C7" s="28" t="s">
        <v>7</v>
      </c>
      <c r="D7" s="29"/>
      <c r="F7" s="25" t="s">
        <v>221</v>
      </c>
      <c r="G7" s="108">
        <f>G5*G6</f>
        <v>1564726400</v>
      </c>
      <c r="H7" s="28" t="s">
        <v>7</v>
      </c>
      <c r="I7" s="29"/>
      <c r="K7" s="25" t="s">
        <v>216</v>
      </c>
      <c r="L7" s="41">
        <f>L5*L6</f>
        <v>3200000000</v>
      </c>
      <c r="M7" s="28" t="s">
        <v>7</v>
      </c>
      <c r="N7" s="28"/>
      <c r="O7" s="29"/>
      <c r="Q7" s="25" t="s">
        <v>229</v>
      </c>
      <c r="R7" s="108">
        <f>R5*R6</f>
        <v>105247949560</v>
      </c>
      <c r="S7" s="28" t="s">
        <v>7</v>
      </c>
      <c r="T7" s="29"/>
      <c r="U7" s="28"/>
      <c r="V7" s="25" t="s">
        <v>50</v>
      </c>
      <c r="W7" s="41">
        <f>W5*W6</f>
        <v>2808000000</v>
      </c>
      <c r="X7" s="28" t="s">
        <v>7</v>
      </c>
      <c r="Y7" s="161"/>
      <c r="AA7" s="25" t="s">
        <v>61</v>
      </c>
      <c r="AB7" s="26">
        <f>AB5*AB6</f>
        <v>728000000</v>
      </c>
      <c r="AC7" s="28" t="s">
        <v>7</v>
      </c>
      <c r="AD7" s="29"/>
      <c r="AE7" s="28"/>
      <c r="AF7" s="30" t="s">
        <v>71</v>
      </c>
      <c r="AG7" s="26">
        <v>13000</v>
      </c>
      <c r="AH7" s="28" t="s">
        <v>6</v>
      </c>
      <c r="AI7" s="32" t="s">
        <v>977</v>
      </c>
      <c r="AJ7" s="28"/>
      <c r="AK7" s="29"/>
    </row>
    <row r="8" spans="1:54">
      <c r="A8" s="25" t="s">
        <v>210</v>
      </c>
      <c r="B8" s="26">
        <f>SUM(B12:B21)</f>
        <v>6892536</v>
      </c>
      <c r="C8" s="28" t="s">
        <v>4</v>
      </c>
      <c r="D8" s="29"/>
      <c r="F8" s="25" t="s">
        <v>223</v>
      </c>
      <c r="G8" s="41">
        <f>SUM(G12:G21)</f>
        <v>3414170</v>
      </c>
      <c r="H8" s="28" t="s">
        <v>4</v>
      </c>
      <c r="I8" s="29"/>
      <c r="K8" s="25" t="s">
        <v>218</v>
      </c>
      <c r="L8" s="41">
        <f>SUM(L13:L24)</f>
        <v>9232338.4205668345</v>
      </c>
      <c r="M8" s="28" t="s">
        <v>4</v>
      </c>
      <c r="N8" s="28"/>
      <c r="O8" s="29"/>
      <c r="Q8" s="25" t="s">
        <v>231</v>
      </c>
      <c r="R8" s="41">
        <f>SUM(R13:R24)</f>
        <v>770101349</v>
      </c>
      <c r="S8" s="43" t="s">
        <v>4</v>
      </c>
      <c r="T8" s="29"/>
      <c r="U8" s="28"/>
      <c r="V8" s="25" t="s">
        <v>56</v>
      </c>
      <c r="W8" s="41">
        <f>SUM(W14:W19)</f>
        <v>631000</v>
      </c>
      <c r="X8" s="28" t="s">
        <v>4</v>
      </c>
      <c r="Y8" s="161"/>
      <c r="AA8" s="25" t="s">
        <v>63</v>
      </c>
      <c r="AB8" s="28">
        <f>SUM(AB14:AB24)</f>
        <v>278341</v>
      </c>
      <c r="AC8" s="43" t="s">
        <v>4</v>
      </c>
      <c r="AD8" s="29"/>
      <c r="AE8" s="28"/>
      <c r="AF8" s="30" t="s">
        <v>78</v>
      </c>
      <c r="AG8" s="26">
        <v>8000</v>
      </c>
      <c r="AH8" s="28" t="s">
        <v>6</v>
      </c>
      <c r="AI8" s="28"/>
      <c r="AJ8" s="28"/>
      <c r="AK8" s="29"/>
    </row>
    <row r="9" spans="1:54" ht="48">
      <c r="A9" s="25" t="s">
        <v>210</v>
      </c>
      <c r="B9" s="65">
        <f>SUM(C12:C21)</f>
        <v>12406564800</v>
      </c>
      <c r="C9" s="43" t="s">
        <v>7</v>
      </c>
      <c r="D9" s="29"/>
      <c r="F9" s="25" t="s">
        <v>223</v>
      </c>
      <c r="G9" s="65">
        <f>SUM(H12:H21)</f>
        <v>5462672000</v>
      </c>
      <c r="H9" s="43" t="s">
        <v>7</v>
      </c>
      <c r="I9" s="29"/>
      <c r="K9" s="31" t="s">
        <v>219</v>
      </c>
      <c r="L9" s="65">
        <f>SUM(M13:M24)</f>
        <v>14771741472.906935</v>
      </c>
      <c r="M9" s="28" t="s">
        <v>7</v>
      </c>
      <c r="N9" s="14"/>
      <c r="O9" s="29"/>
      <c r="Q9" s="31" t="s">
        <v>232</v>
      </c>
      <c r="R9" s="65">
        <f>SUM(S13:S24)</f>
        <v>1451641042865</v>
      </c>
      <c r="S9" s="43" t="s">
        <v>7</v>
      </c>
      <c r="T9" s="29"/>
      <c r="U9" s="28"/>
      <c r="V9" s="31" t="s">
        <v>57</v>
      </c>
      <c r="W9" s="65">
        <f>SUM(X14:X19)</f>
        <v>11358000000</v>
      </c>
      <c r="X9" s="28" t="s">
        <v>7</v>
      </c>
      <c r="Y9" s="161"/>
      <c r="AA9" s="31" t="s">
        <v>64</v>
      </c>
      <c r="AB9" s="28">
        <f>SUM(AC14:AC24)</f>
        <v>3896774000</v>
      </c>
      <c r="AC9" s="43" t="s">
        <v>7</v>
      </c>
      <c r="AD9" s="29"/>
      <c r="AE9" s="28"/>
      <c r="AF9" s="25" t="s">
        <v>70</v>
      </c>
      <c r="AG9" s="108">
        <f>AG5*AG7*AG6</f>
        <v>7714507649.8054476</v>
      </c>
      <c r="AH9" s="28" t="s">
        <v>7</v>
      </c>
      <c r="AI9" s="28"/>
      <c r="AJ9" s="28"/>
      <c r="AK9" s="29"/>
    </row>
    <row r="10" spans="1:54" ht="48">
      <c r="A10" s="152" t="s">
        <v>962</v>
      </c>
      <c r="B10" s="153"/>
      <c r="C10" s="153"/>
      <c r="D10" s="154"/>
      <c r="F10" s="152" t="s">
        <v>962</v>
      </c>
      <c r="G10" s="153"/>
      <c r="H10" s="153"/>
      <c r="I10" s="154"/>
      <c r="K10" s="30" t="s">
        <v>220</v>
      </c>
      <c r="L10" s="28">
        <v>12</v>
      </c>
      <c r="M10" s="46" t="s">
        <v>53</v>
      </c>
      <c r="N10" s="158" t="s">
        <v>968</v>
      </c>
      <c r="O10" s="33" t="s">
        <v>60</v>
      </c>
      <c r="Q10" s="25" t="s">
        <v>233</v>
      </c>
      <c r="R10" s="28">
        <v>12</v>
      </c>
      <c r="S10" s="28" t="s">
        <v>53</v>
      </c>
      <c r="T10" s="160" t="s">
        <v>968</v>
      </c>
      <c r="U10" s="28"/>
      <c r="V10" s="30" t="s">
        <v>68</v>
      </c>
      <c r="W10" s="28">
        <v>12</v>
      </c>
      <c r="X10" s="46" t="s">
        <v>53</v>
      </c>
      <c r="Y10" s="160" t="s">
        <v>972</v>
      </c>
      <c r="AA10" s="30" t="s">
        <v>69</v>
      </c>
      <c r="AB10" s="28">
        <v>12</v>
      </c>
      <c r="AC10" s="46" t="s">
        <v>53</v>
      </c>
      <c r="AD10" s="160" t="s">
        <v>972</v>
      </c>
      <c r="AE10" s="28"/>
      <c r="AF10" s="31" t="s">
        <v>80</v>
      </c>
      <c r="AG10" s="26">
        <f>SUM(AH18:AH29)</f>
        <v>91650624151.750977</v>
      </c>
      <c r="AH10" s="28" t="s">
        <v>7</v>
      </c>
      <c r="AI10" s="28"/>
      <c r="AJ10" s="28"/>
      <c r="AK10" s="29"/>
    </row>
    <row r="11" spans="1:54" ht="32">
      <c r="A11" s="30" t="s">
        <v>8</v>
      </c>
      <c r="B11" s="32" t="s">
        <v>211</v>
      </c>
      <c r="C11" s="32" t="s">
        <v>212</v>
      </c>
      <c r="D11" s="33" t="s">
        <v>182</v>
      </c>
      <c r="F11" s="30" t="s">
        <v>8</v>
      </c>
      <c r="G11" s="32" t="s">
        <v>224</v>
      </c>
      <c r="H11" s="32" t="s">
        <v>225</v>
      </c>
      <c r="I11" s="33" t="s">
        <v>183</v>
      </c>
      <c r="K11" s="152" t="s">
        <v>1111</v>
      </c>
      <c r="L11" s="153"/>
      <c r="M11" s="153"/>
      <c r="N11" s="153"/>
      <c r="O11" s="154"/>
      <c r="Q11" s="30" t="s">
        <v>1113</v>
      </c>
      <c r="R11" s="28"/>
      <c r="S11" s="28"/>
      <c r="T11" s="29"/>
      <c r="U11" s="28"/>
      <c r="V11" s="30"/>
      <c r="W11" s="28"/>
      <c r="X11" s="28"/>
      <c r="Y11" s="29"/>
      <c r="AA11" s="30"/>
      <c r="AB11" s="28"/>
      <c r="AC11" s="28"/>
      <c r="AD11" s="29"/>
      <c r="AE11" s="28"/>
      <c r="AF11" s="25" t="s">
        <v>81</v>
      </c>
      <c r="AG11" s="26">
        <f>AG5*AG8*(1-AG6)</f>
        <v>169549618677.04279</v>
      </c>
      <c r="AH11" s="28" t="s">
        <v>7</v>
      </c>
      <c r="AI11" s="28"/>
      <c r="AJ11" s="28"/>
      <c r="AK11" s="29"/>
    </row>
    <row r="12" spans="1:54" ht="48">
      <c r="A12" s="30">
        <v>2011</v>
      </c>
      <c r="B12" s="57">
        <v>40161</v>
      </c>
      <c r="C12" s="26">
        <f t="shared" ref="C12:C19" si="0">B12*$B$6</f>
        <v>72289800</v>
      </c>
      <c r="D12" s="54"/>
      <c r="F12" s="30">
        <v>2011</v>
      </c>
      <c r="G12" s="57">
        <v>0</v>
      </c>
      <c r="H12" s="26">
        <f t="shared" ref="H12:H20" si="1">G12*$G$6</f>
        <v>0</v>
      </c>
      <c r="I12" s="33"/>
      <c r="K12" s="30" t="s">
        <v>8</v>
      </c>
      <c r="L12" s="32" t="s">
        <v>214</v>
      </c>
      <c r="M12" s="32" t="s">
        <v>215</v>
      </c>
      <c r="N12" s="32" t="s">
        <v>184</v>
      </c>
      <c r="O12" s="33"/>
      <c r="Q12" s="30" t="s">
        <v>8</v>
      </c>
      <c r="R12" s="32" t="s">
        <v>234</v>
      </c>
      <c r="S12" s="32" t="s">
        <v>235</v>
      </c>
      <c r="T12" s="33" t="s">
        <v>236</v>
      </c>
      <c r="U12" s="28"/>
      <c r="V12" s="30" t="s">
        <v>973</v>
      </c>
      <c r="W12" s="28"/>
      <c r="X12" s="28"/>
      <c r="Y12" s="29"/>
      <c r="AA12" s="30" t="s">
        <v>1117</v>
      </c>
      <c r="AB12" s="28"/>
      <c r="AC12" s="28"/>
      <c r="AD12" s="29"/>
      <c r="AE12" s="28"/>
      <c r="AF12" s="31" t="s">
        <v>82</v>
      </c>
      <c r="AG12" s="108">
        <f>SUM(AI18:AI29)</f>
        <v>2014299431906.6147</v>
      </c>
      <c r="AH12" s="28" t="s">
        <v>7</v>
      </c>
      <c r="AI12" s="28"/>
      <c r="AJ12" s="28"/>
      <c r="AK12" s="29"/>
    </row>
    <row r="13" spans="1:54" ht="32">
      <c r="A13" s="30">
        <v>2012</v>
      </c>
      <c r="B13" s="26">
        <v>59161</v>
      </c>
      <c r="C13" s="26">
        <f t="shared" si="0"/>
        <v>106489800</v>
      </c>
      <c r="D13" s="54">
        <f t="shared" ref="D13:D20" si="2">B13/B12</f>
        <v>1.4730957894474739</v>
      </c>
      <c r="F13" s="30">
        <v>2012</v>
      </c>
      <c r="G13" s="26">
        <v>60726</v>
      </c>
      <c r="H13" s="26">
        <f t="shared" si="1"/>
        <v>97161600</v>
      </c>
      <c r="I13" s="54"/>
      <c r="K13" s="30">
        <v>2009</v>
      </c>
      <c r="L13" s="26">
        <v>290271</v>
      </c>
      <c r="M13" s="26">
        <f t="shared" ref="M13:M23" si="3">L13*$L$6</f>
        <v>464433600</v>
      </c>
      <c r="N13" s="35"/>
      <c r="O13" s="29"/>
      <c r="Q13" s="30">
        <v>2009</v>
      </c>
      <c r="R13" s="26">
        <v>47772598</v>
      </c>
      <c r="S13" s="41">
        <f t="shared" ref="S13:S23" si="4">R13*$R$6</f>
        <v>90051347230</v>
      </c>
      <c r="T13" s="29"/>
      <c r="U13" s="28"/>
      <c r="V13" s="30" t="s">
        <v>8</v>
      </c>
      <c r="W13" s="32" t="s">
        <v>54</v>
      </c>
      <c r="X13" s="32" t="s">
        <v>55</v>
      </c>
      <c r="Y13" s="33" t="s">
        <v>58</v>
      </c>
      <c r="AA13" s="30" t="s">
        <v>8</v>
      </c>
      <c r="AB13" s="32" t="s">
        <v>65</v>
      </c>
      <c r="AC13" s="32" t="s">
        <v>66</v>
      </c>
      <c r="AD13" s="33" t="s">
        <v>67</v>
      </c>
      <c r="AE13" s="28"/>
      <c r="AF13" s="30" t="s">
        <v>72</v>
      </c>
      <c r="AG13" s="28">
        <v>12</v>
      </c>
      <c r="AH13" s="46" t="s">
        <v>53</v>
      </c>
      <c r="AI13" s="28" t="s">
        <v>978</v>
      </c>
      <c r="AJ13" s="28"/>
      <c r="AK13" s="29"/>
    </row>
    <row r="14" spans="1:54">
      <c r="A14" s="30">
        <v>2013</v>
      </c>
      <c r="B14" s="26">
        <v>113365</v>
      </c>
      <c r="C14" s="26">
        <f t="shared" si="0"/>
        <v>204057000</v>
      </c>
      <c r="D14" s="54">
        <f t="shared" si="2"/>
        <v>1.9162116935143083</v>
      </c>
      <c r="F14" s="30">
        <v>2013</v>
      </c>
      <c r="G14" s="26">
        <v>91649</v>
      </c>
      <c r="H14" s="26">
        <f t="shared" si="1"/>
        <v>146638400</v>
      </c>
      <c r="I14" s="54">
        <f t="shared" ref="I14:I20" si="5">G14/G13</f>
        <v>1.5092217501564404</v>
      </c>
      <c r="K14" s="30">
        <v>2010</v>
      </c>
      <c r="L14" s="26">
        <v>274210</v>
      </c>
      <c r="M14" s="26">
        <f t="shared" si="3"/>
        <v>438736000</v>
      </c>
      <c r="N14" s="35">
        <f t="shared" ref="N14:N23" si="6">M14/M13</f>
        <v>0.94466894729408035</v>
      </c>
      <c r="O14" s="29"/>
      <c r="Q14" s="30">
        <v>2010</v>
      </c>
      <c r="R14" s="26">
        <v>58239494</v>
      </c>
      <c r="S14" s="41">
        <f t="shared" si="4"/>
        <v>109781446190</v>
      </c>
      <c r="T14" s="54">
        <f t="shared" ref="T14:T23" si="7">S14/S13</f>
        <v>1.2190983207570163</v>
      </c>
      <c r="U14" s="28"/>
      <c r="V14" s="30">
        <v>2015</v>
      </c>
      <c r="W14" s="26">
        <v>50000</v>
      </c>
      <c r="X14" s="41">
        <f t="shared" ref="X14:X19" si="8">W14*$W$6</f>
        <v>900000000</v>
      </c>
      <c r="Y14" s="29"/>
      <c r="AA14" s="30">
        <v>2010</v>
      </c>
      <c r="AB14" s="28">
        <v>3804</v>
      </c>
      <c r="AC14" s="26">
        <f t="shared" ref="AC14:AC23" si="9">AB14*$AB$6</f>
        <v>53256000</v>
      </c>
      <c r="AD14" s="29"/>
      <c r="AE14" s="28"/>
      <c r="AF14" s="30" t="s">
        <v>79</v>
      </c>
      <c r="AG14" s="28">
        <v>12</v>
      </c>
      <c r="AH14" s="46" t="s">
        <v>53</v>
      </c>
      <c r="AI14" s="28" t="s">
        <v>979</v>
      </c>
      <c r="AJ14" s="28"/>
      <c r="AK14" s="29"/>
    </row>
    <row r="15" spans="1:54">
      <c r="A15" s="30">
        <v>2014</v>
      </c>
      <c r="B15" s="26">
        <v>193677</v>
      </c>
      <c r="C15" s="26">
        <f t="shared" si="0"/>
        <v>348618600</v>
      </c>
      <c r="D15" s="54">
        <f t="shared" si="2"/>
        <v>1.7084373483879505</v>
      </c>
      <c r="F15" s="30">
        <v>2014</v>
      </c>
      <c r="G15" s="26">
        <v>134365</v>
      </c>
      <c r="H15" s="26">
        <f t="shared" si="1"/>
        <v>214984000</v>
      </c>
      <c r="I15" s="54">
        <f t="shared" si="5"/>
        <v>1.4660825540922433</v>
      </c>
      <c r="K15" s="30">
        <v>2011</v>
      </c>
      <c r="L15" s="26">
        <v>268807</v>
      </c>
      <c r="M15" s="26">
        <f t="shared" si="3"/>
        <v>430091200</v>
      </c>
      <c r="N15" s="35">
        <f t="shared" si="6"/>
        <v>0.98029612340906602</v>
      </c>
      <c r="O15" s="29"/>
      <c r="Q15" s="30">
        <v>2011</v>
      </c>
      <c r="R15" s="26">
        <v>59897273</v>
      </c>
      <c r="S15" s="41">
        <f t="shared" si="4"/>
        <v>112906359605</v>
      </c>
      <c r="T15" s="54">
        <f t="shared" si="7"/>
        <v>1.0284648592585643</v>
      </c>
      <c r="U15" s="28"/>
      <c r="V15" s="30">
        <v>2016</v>
      </c>
      <c r="W15" s="26">
        <v>75000</v>
      </c>
      <c r="X15" s="41">
        <f t="shared" si="8"/>
        <v>1350000000</v>
      </c>
      <c r="Y15" s="54">
        <f>X15/X14</f>
        <v>1.5</v>
      </c>
      <c r="AA15" s="30">
        <v>2011</v>
      </c>
      <c r="AB15" s="28">
        <f>478+2825</f>
        <v>3303</v>
      </c>
      <c r="AC15" s="26">
        <f t="shared" si="9"/>
        <v>46242000</v>
      </c>
      <c r="AD15" s="54">
        <f t="shared" ref="AD15:AD23" si="10">AC15/AC14</f>
        <v>0.8682965299684543</v>
      </c>
      <c r="AE15" s="28"/>
      <c r="AF15" s="30"/>
      <c r="AG15" s="28"/>
      <c r="AH15" s="28"/>
      <c r="AI15" s="28"/>
      <c r="AJ15" s="28"/>
      <c r="AK15" s="29"/>
    </row>
    <row r="16" spans="1:54">
      <c r="A16" s="30">
        <v>2015</v>
      </c>
      <c r="B16" s="26">
        <v>328733</v>
      </c>
      <c r="C16" s="26">
        <f t="shared" si="0"/>
        <v>591719400</v>
      </c>
      <c r="D16" s="54">
        <f t="shared" si="2"/>
        <v>1.6973259602327586</v>
      </c>
      <c r="F16" s="30">
        <v>2015</v>
      </c>
      <c r="G16" s="26">
        <v>223258</v>
      </c>
      <c r="H16" s="26">
        <f t="shared" si="1"/>
        <v>357212800</v>
      </c>
      <c r="I16" s="54">
        <f t="shared" si="5"/>
        <v>1.6615785360771034</v>
      </c>
      <c r="K16" s="30">
        <v>2012</v>
      </c>
      <c r="L16" s="26">
        <v>434344</v>
      </c>
      <c r="M16" s="26">
        <f t="shared" si="3"/>
        <v>694950400</v>
      </c>
      <c r="N16" s="35">
        <f t="shared" si="6"/>
        <v>1.6158210165657889</v>
      </c>
      <c r="O16" s="29"/>
      <c r="Q16" s="30">
        <v>2012</v>
      </c>
      <c r="R16" s="26">
        <v>63081024</v>
      </c>
      <c r="S16" s="41">
        <f t="shared" si="4"/>
        <v>118907730240</v>
      </c>
      <c r="T16" s="54">
        <f t="shared" si="7"/>
        <v>1.0531535216970562</v>
      </c>
      <c r="U16" s="28"/>
      <c r="V16" s="30">
        <v>2017</v>
      </c>
      <c r="W16" s="26">
        <v>100000</v>
      </c>
      <c r="X16" s="41">
        <f t="shared" si="8"/>
        <v>1800000000</v>
      </c>
      <c r="Y16" s="54">
        <f>X16/X15</f>
        <v>1.3333333333333333</v>
      </c>
      <c r="AA16" s="30">
        <v>2012</v>
      </c>
      <c r="AB16" s="28">
        <f>313+5825</f>
        <v>6138</v>
      </c>
      <c r="AC16" s="26">
        <f t="shared" si="9"/>
        <v>85932000</v>
      </c>
      <c r="AD16" s="54">
        <f t="shared" si="10"/>
        <v>1.8583106267029972</v>
      </c>
      <c r="AE16" s="28"/>
      <c r="AF16" s="30" t="s">
        <v>981</v>
      </c>
      <c r="AG16" s="28"/>
      <c r="AH16" s="28"/>
      <c r="AI16" s="28"/>
      <c r="AJ16" s="28"/>
      <c r="AK16" s="29"/>
    </row>
    <row r="17" spans="1:37" ht="48">
      <c r="A17" s="30">
        <v>2016</v>
      </c>
      <c r="B17" s="26">
        <v>465670</v>
      </c>
      <c r="C17" s="26">
        <f t="shared" si="0"/>
        <v>838206000</v>
      </c>
      <c r="D17" s="54">
        <f t="shared" si="2"/>
        <v>1.4165599437841652</v>
      </c>
      <c r="F17" s="30">
        <v>2016</v>
      </c>
      <c r="G17" s="26">
        <v>288005</v>
      </c>
      <c r="H17" s="26">
        <f t="shared" si="1"/>
        <v>460808000</v>
      </c>
      <c r="I17" s="54">
        <f t="shared" si="5"/>
        <v>1.2900097644877226</v>
      </c>
      <c r="K17" s="30">
        <v>2013</v>
      </c>
      <c r="L17" s="26">
        <v>495534</v>
      </c>
      <c r="M17" s="26">
        <f t="shared" si="3"/>
        <v>792854400</v>
      </c>
      <c r="N17" s="35">
        <f t="shared" si="6"/>
        <v>1.1408791188551011</v>
      </c>
      <c r="O17" s="29"/>
      <c r="Q17" s="30">
        <v>2013</v>
      </c>
      <c r="R17" s="26">
        <v>65745403</v>
      </c>
      <c r="S17" s="41">
        <f t="shared" si="4"/>
        <v>123930084655</v>
      </c>
      <c r="T17" s="54">
        <f t="shared" si="7"/>
        <v>1.0422374088283666</v>
      </c>
      <c r="U17" s="28"/>
      <c r="V17" s="30">
        <v>2018</v>
      </c>
      <c r="W17" s="26">
        <v>150000</v>
      </c>
      <c r="X17" s="41">
        <f t="shared" si="8"/>
        <v>2700000000</v>
      </c>
      <c r="Y17" s="54">
        <f>X17/X16</f>
        <v>1.5</v>
      </c>
      <c r="AA17" s="30">
        <v>2013</v>
      </c>
      <c r="AB17" s="28">
        <f>2637+6111</f>
        <v>8748</v>
      </c>
      <c r="AC17" s="26">
        <f t="shared" si="9"/>
        <v>122472000</v>
      </c>
      <c r="AD17" s="54">
        <f t="shared" si="10"/>
        <v>1.4252199413489737</v>
      </c>
      <c r="AE17" s="28"/>
      <c r="AF17" s="30" t="s">
        <v>8</v>
      </c>
      <c r="AG17" s="32" t="s">
        <v>76</v>
      </c>
      <c r="AH17" s="32" t="s">
        <v>73</v>
      </c>
      <c r="AI17" s="32" t="s">
        <v>77</v>
      </c>
      <c r="AJ17" s="32" t="s">
        <v>239</v>
      </c>
      <c r="AK17" s="33" t="s">
        <v>240</v>
      </c>
    </row>
    <row r="18" spans="1:37">
      <c r="A18" s="30">
        <v>2017</v>
      </c>
      <c r="B18" s="26">
        <v>759473</v>
      </c>
      <c r="C18" s="26">
        <f t="shared" si="0"/>
        <v>1367051400</v>
      </c>
      <c r="D18" s="54">
        <f t="shared" si="2"/>
        <v>1.6309253333905984</v>
      </c>
      <c r="F18" s="30">
        <v>2017</v>
      </c>
      <c r="G18" s="26">
        <v>417137</v>
      </c>
      <c r="H18" s="26">
        <f t="shared" si="1"/>
        <v>667419200</v>
      </c>
      <c r="I18" s="54">
        <f t="shared" si="5"/>
        <v>1.4483672158469472</v>
      </c>
      <c r="K18" s="30">
        <v>2014</v>
      </c>
      <c r="L18" s="26">
        <v>443823</v>
      </c>
      <c r="M18" s="26">
        <f t="shared" si="3"/>
        <v>710116800</v>
      </c>
      <c r="N18" s="35">
        <f t="shared" si="6"/>
        <v>0.89564590926152399</v>
      </c>
      <c r="O18" s="29"/>
      <c r="Q18" s="30">
        <v>2014</v>
      </c>
      <c r="R18" s="26">
        <v>67782035</v>
      </c>
      <c r="S18" s="41">
        <f t="shared" si="4"/>
        <v>127769135975</v>
      </c>
      <c r="T18" s="54">
        <f t="shared" si="7"/>
        <v>1.0309775574727256</v>
      </c>
      <c r="U18" s="28"/>
      <c r="V18" s="30">
        <v>2019</v>
      </c>
      <c r="W18" s="26">
        <v>100000</v>
      </c>
      <c r="X18" s="41">
        <f t="shared" si="8"/>
        <v>1800000000</v>
      </c>
      <c r="Y18" s="54">
        <f>X18/X17</f>
        <v>0.66666666666666663</v>
      </c>
      <c r="AA18" s="30">
        <v>2014</v>
      </c>
      <c r="AB18" s="28">
        <f>16500+797</f>
        <v>17297</v>
      </c>
      <c r="AC18" s="26">
        <f t="shared" si="9"/>
        <v>242158000</v>
      </c>
      <c r="AD18" s="54">
        <f t="shared" si="10"/>
        <v>1.977251943301326</v>
      </c>
      <c r="AE18" s="28"/>
      <c r="AF18" s="30">
        <v>2009</v>
      </c>
      <c r="AG18" s="26">
        <v>13989726</v>
      </c>
      <c r="AH18" s="26">
        <f>AG18*$AG$7*$AG$6</f>
        <v>4953560568.0933857</v>
      </c>
      <c r="AI18" s="26">
        <f>AG18*$AG$8*(1-$AG$6)</f>
        <v>108869463035.01945</v>
      </c>
      <c r="AJ18" s="28"/>
      <c r="AK18" s="29"/>
    </row>
    <row r="19" spans="1:37">
      <c r="A19" s="30">
        <v>2018</v>
      </c>
      <c r="B19" s="26">
        <v>1371906</v>
      </c>
      <c r="C19" s="26">
        <f t="shared" si="0"/>
        <v>2469430800</v>
      </c>
      <c r="D19" s="54">
        <f t="shared" si="2"/>
        <v>1.8063920639706743</v>
      </c>
      <c r="F19" s="30">
        <v>2018</v>
      </c>
      <c r="G19" s="26">
        <v>642786</v>
      </c>
      <c r="H19" s="26">
        <f t="shared" si="1"/>
        <v>1028457600</v>
      </c>
      <c r="I19" s="54">
        <f t="shared" si="5"/>
        <v>1.5409469790500483</v>
      </c>
      <c r="K19" s="30">
        <v>2015</v>
      </c>
      <c r="L19" s="26">
        <v>460966</v>
      </c>
      <c r="M19" s="26">
        <f t="shared" si="3"/>
        <v>737545600</v>
      </c>
      <c r="N19" s="35">
        <f t="shared" si="6"/>
        <v>1.0386257584667762</v>
      </c>
      <c r="O19" s="29"/>
      <c r="Q19" s="30">
        <v>2015</v>
      </c>
      <c r="R19" s="26">
        <v>68539516</v>
      </c>
      <c r="S19" s="41">
        <f t="shared" si="4"/>
        <v>129196987660</v>
      </c>
      <c r="T19" s="54">
        <f t="shared" si="7"/>
        <v>1.0111752472465603</v>
      </c>
      <c r="U19" s="28"/>
      <c r="V19" s="30">
        <v>2020</v>
      </c>
      <c r="W19" s="26">
        <f>W5</f>
        <v>156000</v>
      </c>
      <c r="X19" s="41">
        <f t="shared" si="8"/>
        <v>2808000000</v>
      </c>
      <c r="Y19" s="54">
        <f>X19/X18</f>
        <v>1.56</v>
      </c>
      <c r="AA19" s="30">
        <v>2015</v>
      </c>
      <c r="AB19" s="28">
        <v>23051</v>
      </c>
      <c r="AC19" s="26">
        <f t="shared" si="9"/>
        <v>322714000</v>
      </c>
      <c r="AD19" s="54">
        <f t="shared" si="10"/>
        <v>1.3326588425738568</v>
      </c>
      <c r="AE19" s="28"/>
      <c r="AF19" s="30">
        <v>2010</v>
      </c>
      <c r="AG19" s="26">
        <v>19344025</v>
      </c>
      <c r="AH19" s="26">
        <f t="shared" ref="AH19:AH29" si="11">AG19*$AG$7*$AG$6</f>
        <v>6849440758.7548637</v>
      </c>
      <c r="AI19" s="26">
        <f t="shared" ref="AI19:AI29" si="12">AG19*$AG$8*(1-$AG$6)</f>
        <v>150537159533.07391</v>
      </c>
      <c r="AJ19" s="35">
        <f t="shared" ref="AJ19:AJ28" si="13">AH19/AH18</f>
        <v>1.3827307983015535</v>
      </c>
      <c r="AK19" s="54">
        <f t="shared" ref="AK19:AK28" si="14">AI19/AI18</f>
        <v>1.3827307983015535</v>
      </c>
    </row>
    <row r="20" spans="1:37">
      <c r="A20" s="30">
        <v>2019</v>
      </c>
      <c r="B20" s="26">
        <v>1545057</v>
      </c>
      <c r="C20" s="26">
        <f>B20*$B$6</f>
        <v>2781102600</v>
      </c>
      <c r="D20" s="54">
        <f t="shared" si="2"/>
        <v>1.1262119999475182</v>
      </c>
      <c r="F20" s="30">
        <v>2019</v>
      </c>
      <c r="G20" s="26">
        <v>578290</v>
      </c>
      <c r="H20" s="26">
        <f t="shared" si="1"/>
        <v>925264000</v>
      </c>
      <c r="I20" s="54">
        <f t="shared" si="5"/>
        <v>0.89966178479307268</v>
      </c>
      <c r="K20" s="30">
        <v>2016</v>
      </c>
      <c r="L20" s="26">
        <f>L21/1.47</f>
        <v>725663.83292037249</v>
      </c>
      <c r="M20" s="26">
        <f t="shared" si="3"/>
        <v>1161062132.672596</v>
      </c>
      <c r="N20" s="35">
        <f t="shared" si="6"/>
        <v>1.5742242007444638</v>
      </c>
      <c r="O20" s="29"/>
      <c r="Q20" s="30">
        <v>2016</v>
      </c>
      <c r="R20" s="26">
        <v>72105435</v>
      </c>
      <c r="S20" s="41">
        <f t="shared" si="4"/>
        <v>135918744975</v>
      </c>
      <c r="T20" s="54">
        <f t="shared" si="7"/>
        <v>1.0520271984412612</v>
      </c>
      <c r="U20" s="28"/>
      <c r="V20" s="30"/>
      <c r="W20" s="28"/>
      <c r="X20" s="28"/>
      <c r="Y20" s="29"/>
      <c r="AA20" s="30">
        <v>2016</v>
      </c>
      <c r="AB20" s="28">
        <v>34000</v>
      </c>
      <c r="AC20" s="26">
        <f t="shared" si="9"/>
        <v>476000000</v>
      </c>
      <c r="AD20" s="54">
        <f t="shared" si="10"/>
        <v>1.4749902390351828</v>
      </c>
      <c r="AE20" s="28"/>
      <c r="AF20" s="30">
        <v>2011</v>
      </c>
      <c r="AG20" s="26">
        <v>19983647</v>
      </c>
      <c r="AH20" s="26">
        <f t="shared" si="11"/>
        <v>7075921700.3891048</v>
      </c>
      <c r="AI20" s="26">
        <f t="shared" si="12"/>
        <v>155514762645.9144</v>
      </c>
      <c r="AJ20" s="35">
        <f t="shared" si="13"/>
        <v>1.0330656106989109</v>
      </c>
      <c r="AK20" s="54">
        <f t="shared" si="14"/>
        <v>1.0330656106989111</v>
      </c>
    </row>
    <row r="21" spans="1:37">
      <c r="A21" s="30">
        <v>2020</v>
      </c>
      <c r="B21" s="26">
        <v>2015333</v>
      </c>
      <c r="C21" s="26">
        <f>B7</f>
        <v>3627599400</v>
      </c>
      <c r="D21" s="54">
        <f>B21/B20</f>
        <v>1.3043745311661641</v>
      </c>
      <c r="F21" s="30">
        <v>2020</v>
      </c>
      <c r="G21" s="26">
        <v>977954</v>
      </c>
      <c r="H21" s="26">
        <f>G21*$G$6</f>
        <v>1564726400</v>
      </c>
      <c r="I21" s="54">
        <f>G21/G20</f>
        <v>1.6911134551868439</v>
      </c>
      <c r="K21" s="30">
        <v>2017</v>
      </c>
      <c r="L21" s="26">
        <f>L22/1.22</f>
        <v>1066725.8343929476</v>
      </c>
      <c r="M21" s="26">
        <f t="shared" si="3"/>
        <v>1706761335.0287161</v>
      </c>
      <c r="N21" s="35">
        <f t="shared" si="6"/>
        <v>1.47</v>
      </c>
      <c r="O21" s="29"/>
      <c r="Q21" s="30">
        <v>2017</v>
      </c>
      <c r="R21" s="26">
        <v>73456531</v>
      </c>
      <c r="S21" s="41">
        <f t="shared" si="4"/>
        <v>138465560935</v>
      </c>
      <c r="T21" s="54">
        <f t="shared" si="7"/>
        <v>1.0187377830811228</v>
      </c>
      <c r="U21" s="28"/>
      <c r="V21" s="30" t="s">
        <v>139</v>
      </c>
      <c r="W21" s="28"/>
      <c r="X21" s="28"/>
      <c r="Y21" s="29"/>
      <c r="AA21" s="30">
        <v>2017</v>
      </c>
      <c r="AB21" s="28">
        <v>38000</v>
      </c>
      <c r="AC21" s="26">
        <f t="shared" si="9"/>
        <v>532000000</v>
      </c>
      <c r="AD21" s="54">
        <f t="shared" si="10"/>
        <v>1.1176470588235294</v>
      </c>
      <c r="AE21" s="28"/>
      <c r="AF21" s="30">
        <v>2012</v>
      </c>
      <c r="AG21" s="26">
        <v>21155147</v>
      </c>
      <c r="AH21" s="26">
        <f t="shared" si="11"/>
        <v>7490732984.4357977</v>
      </c>
      <c r="AI21" s="26">
        <f t="shared" si="12"/>
        <v>164631494163.42413</v>
      </c>
      <c r="AJ21" s="35">
        <f t="shared" si="13"/>
        <v>1.0586229330412011</v>
      </c>
      <c r="AK21" s="54">
        <f t="shared" si="14"/>
        <v>1.0586229330412011</v>
      </c>
    </row>
    <row r="22" spans="1:37">
      <c r="A22" s="30"/>
      <c r="B22" s="28"/>
      <c r="C22" s="34"/>
      <c r="D22" s="29"/>
      <c r="F22" s="30"/>
      <c r="G22" s="28"/>
      <c r="H22" s="28"/>
      <c r="I22" s="29"/>
      <c r="K22" s="30">
        <v>2018</v>
      </c>
      <c r="L22" s="26">
        <f>L23/1.13</f>
        <v>1301405.5179593961</v>
      </c>
      <c r="M22" s="26">
        <f t="shared" si="3"/>
        <v>2082248828.7350338</v>
      </c>
      <c r="N22" s="35">
        <f t="shared" si="6"/>
        <v>1.22</v>
      </c>
      <c r="O22" s="29"/>
      <c r="Q22" s="30">
        <v>2018</v>
      </c>
      <c r="R22" s="26">
        <v>70498388</v>
      </c>
      <c r="S22" s="41">
        <f t="shared" si="4"/>
        <v>132889461380</v>
      </c>
      <c r="T22" s="54">
        <f t="shared" si="7"/>
        <v>0.95972933979144759</v>
      </c>
      <c r="U22" s="28"/>
      <c r="V22" s="30" t="s">
        <v>964</v>
      </c>
      <c r="W22" s="28"/>
      <c r="X22" s="28"/>
      <c r="Y22" s="29"/>
      <c r="AA22" s="30">
        <v>2018</v>
      </c>
      <c r="AB22" s="28">
        <v>44000</v>
      </c>
      <c r="AC22" s="26">
        <f t="shared" si="9"/>
        <v>616000000</v>
      </c>
      <c r="AD22" s="54">
        <f t="shared" si="10"/>
        <v>1.1578947368421053</v>
      </c>
      <c r="AE22" s="28"/>
      <c r="AF22" s="30">
        <v>2013</v>
      </c>
      <c r="AG22" s="26">
        <v>21850595</v>
      </c>
      <c r="AH22" s="26">
        <f t="shared" si="11"/>
        <v>7736981108.9494162</v>
      </c>
      <c r="AI22" s="26">
        <f t="shared" si="12"/>
        <v>170043540856.03113</v>
      </c>
      <c r="AJ22" s="35">
        <f t="shared" si="13"/>
        <v>1.0328737020829966</v>
      </c>
      <c r="AK22" s="54">
        <f t="shared" si="14"/>
        <v>1.0328737020829966</v>
      </c>
    </row>
    <row r="23" spans="1:37" ht="32">
      <c r="A23" s="30" t="s">
        <v>213</v>
      </c>
      <c r="B23" s="28"/>
      <c r="C23" s="28"/>
      <c r="D23" s="29"/>
      <c r="F23" s="30" t="s">
        <v>213</v>
      </c>
      <c r="G23" s="28"/>
      <c r="H23" s="28"/>
      <c r="I23" s="29"/>
      <c r="K23" s="30">
        <v>2019</v>
      </c>
      <c r="L23" s="26">
        <f>L24/1.36</f>
        <v>1470588.2352941176</v>
      </c>
      <c r="M23" s="26">
        <f t="shared" si="3"/>
        <v>2352941176.4705882</v>
      </c>
      <c r="N23" s="35">
        <f t="shared" si="6"/>
        <v>1.1300000000000001</v>
      </c>
      <c r="O23" s="29"/>
      <c r="Q23" s="30">
        <v>2019</v>
      </c>
      <c r="R23" s="26">
        <v>67149196</v>
      </c>
      <c r="S23" s="41">
        <f t="shared" si="4"/>
        <v>126576234460</v>
      </c>
      <c r="T23" s="54">
        <f t="shared" si="7"/>
        <v>0.95249264422897162</v>
      </c>
      <c r="U23" s="28"/>
      <c r="V23" s="30" t="s">
        <v>84</v>
      </c>
      <c r="W23" s="28" t="s">
        <v>91</v>
      </c>
      <c r="X23" s="28" t="s">
        <v>89</v>
      </c>
      <c r="Y23" s="33" t="s">
        <v>90</v>
      </c>
      <c r="AA23" s="30">
        <v>2019</v>
      </c>
      <c r="AB23" s="28">
        <v>48000</v>
      </c>
      <c r="AC23" s="26">
        <f t="shared" si="9"/>
        <v>672000000</v>
      </c>
      <c r="AD23" s="54">
        <f t="shared" si="10"/>
        <v>1.0909090909090908</v>
      </c>
      <c r="AE23" s="28"/>
      <c r="AF23" s="30">
        <v>2014</v>
      </c>
      <c r="AG23" s="26">
        <v>21994430</v>
      </c>
      <c r="AH23" s="26">
        <f t="shared" si="11"/>
        <v>7787911011.673152</v>
      </c>
      <c r="AI23" s="26">
        <f t="shared" si="12"/>
        <v>171162879377.43192</v>
      </c>
      <c r="AJ23" s="35">
        <f t="shared" si="13"/>
        <v>1.0065826582754382</v>
      </c>
      <c r="AK23" s="54">
        <f t="shared" si="14"/>
        <v>1.0065826582754382</v>
      </c>
    </row>
    <row r="24" spans="1:37">
      <c r="A24" s="30" t="s">
        <v>964</v>
      </c>
      <c r="B24" s="28"/>
      <c r="C24" s="28"/>
      <c r="D24" s="29"/>
      <c r="F24" s="30" t="s">
        <v>964</v>
      </c>
      <c r="G24" s="28"/>
      <c r="H24" s="28"/>
      <c r="I24" s="29"/>
      <c r="K24" s="30">
        <v>2020</v>
      </c>
      <c r="L24" s="26">
        <f>L5</f>
        <v>2000000</v>
      </c>
      <c r="M24" s="26">
        <f>L24*$L$6</f>
        <v>3200000000</v>
      </c>
      <c r="N24" s="35">
        <f>M24/M23</f>
        <v>1.36</v>
      </c>
      <c r="O24" s="29"/>
      <c r="Q24" s="30">
        <v>2020</v>
      </c>
      <c r="R24" s="26">
        <f>R5</f>
        <v>55834456</v>
      </c>
      <c r="S24" s="41">
        <f>R24*$R$6</f>
        <v>105247949560</v>
      </c>
      <c r="T24" s="54">
        <f>S24/S23</f>
        <v>0.83149850371998502</v>
      </c>
      <c r="U24" s="28"/>
      <c r="V24" s="30" t="s">
        <v>17</v>
      </c>
      <c r="W24" s="28">
        <v>1246000</v>
      </c>
      <c r="X24" s="35">
        <f t="shared" ref="X24:X33" si="15">W24/$B$36</f>
        <v>0.46431241145085334</v>
      </c>
      <c r="Y24" s="66">
        <f>$W$7*X24</f>
        <v>1303789251.3539963</v>
      </c>
      <c r="AA24" s="30">
        <v>2020</v>
      </c>
      <c r="AB24" s="28">
        <f>AB5</f>
        <v>52000</v>
      </c>
      <c r="AC24" s="26">
        <f>AB24*$AB$6</f>
        <v>728000000</v>
      </c>
      <c r="AD24" s="54">
        <f>AC24/AC23</f>
        <v>1.0833333333333333</v>
      </c>
      <c r="AE24" s="28"/>
      <c r="AF24" s="30">
        <v>2015</v>
      </c>
      <c r="AG24" s="26">
        <v>22241067</v>
      </c>
      <c r="AH24" s="26">
        <f t="shared" si="11"/>
        <v>7875241622.5680933</v>
      </c>
      <c r="AI24" s="26">
        <f t="shared" si="12"/>
        <v>173082233463.035</v>
      </c>
      <c r="AJ24" s="35">
        <f t="shared" si="13"/>
        <v>1.0112136118098991</v>
      </c>
      <c r="AK24" s="54">
        <f t="shared" si="14"/>
        <v>1.0112136118098991</v>
      </c>
    </row>
    <row r="25" spans="1:37" ht="32">
      <c r="A25" s="30" t="s">
        <v>84</v>
      </c>
      <c r="B25" s="28" t="s">
        <v>91</v>
      </c>
      <c r="C25" s="28" t="s">
        <v>89</v>
      </c>
      <c r="D25" s="33" t="s">
        <v>90</v>
      </c>
      <c r="F25" s="30" t="s">
        <v>84</v>
      </c>
      <c r="G25" s="28" t="s">
        <v>91</v>
      </c>
      <c r="H25" s="28" t="s">
        <v>89</v>
      </c>
      <c r="I25" s="58" t="s">
        <v>90</v>
      </c>
      <c r="K25" s="30"/>
      <c r="L25" s="28"/>
      <c r="M25" s="28"/>
      <c r="N25" s="28"/>
      <c r="O25" s="29"/>
      <c r="Q25" s="30"/>
      <c r="R25" s="28"/>
      <c r="S25" s="28"/>
      <c r="T25" s="29"/>
      <c r="U25" s="28"/>
      <c r="V25" s="30" t="s">
        <v>20</v>
      </c>
      <c r="W25" s="28">
        <v>297939</v>
      </c>
      <c r="X25" s="35">
        <f t="shared" si="15"/>
        <v>0.11102469948254878</v>
      </c>
      <c r="Y25" s="66">
        <f t="shared" ref="Y25:Y33" si="16">$W$7*X25</f>
        <v>311757356.14699697</v>
      </c>
      <c r="AA25" s="30"/>
      <c r="AB25" s="28"/>
      <c r="AC25" s="28"/>
      <c r="AD25" s="29"/>
      <c r="AE25" s="28"/>
      <c r="AF25" s="30">
        <v>2016</v>
      </c>
      <c r="AG25" s="26">
        <v>22871134</v>
      </c>
      <c r="AH25" s="26">
        <f t="shared" si="11"/>
        <v>8098339276.2645912</v>
      </c>
      <c r="AI25" s="26">
        <f t="shared" si="12"/>
        <v>177985478599.2218</v>
      </c>
      <c r="AJ25" s="35">
        <f t="shared" si="13"/>
        <v>1.0283289915901965</v>
      </c>
      <c r="AK25" s="54">
        <f t="shared" si="14"/>
        <v>1.0283289915901968</v>
      </c>
    </row>
    <row r="26" spans="1:37" ht="55.5" customHeight="1">
      <c r="A26" s="30" t="s">
        <v>17</v>
      </c>
      <c r="B26" s="28">
        <v>1246000</v>
      </c>
      <c r="C26" s="35">
        <f t="shared" ref="C26:C35" si="17">B26/$B$36</f>
        <v>0.46431241145085334</v>
      </c>
      <c r="D26" s="66">
        <f t="shared" ref="D26:D35" si="18">$B$7*C26</f>
        <v>1684339425.1916687</v>
      </c>
      <c r="F26" s="30" t="s">
        <v>17</v>
      </c>
      <c r="G26" s="28">
        <v>1246000</v>
      </c>
      <c r="H26" s="35">
        <f t="shared" ref="H26:H35" si="19">G26/$G$36</f>
        <v>0.46431241145085334</v>
      </c>
      <c r="I26" s="66">
        <f>$G$7*H26</f>
        <v>726521888.04481256</v>
      </c>
      <c r="K26" s="152" t="s">
        <v>1112</v>
      </c>
      <c r="L26" s="153"/>
      <c r="M26" s="153"/>
      <c r="N26" s="153"/>
      <c r="O26" s="154"/>
      <c r="Q26" s="152" t="s">
        <v>1114</v>
      </c>
      <c r="R26" s="153"/>
      <c r="S26" s="153"/>
      <c r="T26" s="154"/>
      <c r="U26" s="32"/>
      <c r="V26" s="30" t="s">
        <v>28</v>
      </c>
      <c r="W26" s="28">
        <v>394632</v>
      </c>
      <c r="X26" s="35">
        <f t="shared" si="15"/>
        <v>0.1470566095952433</v>
      </c>
      <c r="Y26" s="66">
        <f t="shared" si="16"/>
        <v>412934959.74344319</v>
      </c>
      <c r="AA26" s="152" t="s">
        <v>1118</v>
      </c>
      <c r="AB26" s="153"/>
      <c r="AC26" s="153"/>
      <c r="AD26" s="154"/>
      <c r="AE26" s="32"/>
      <c r="AF26" s="30">
        <v>2017</v>
      </c>
      <c r="AG26" s="26">
        <v>23846003</v>
      </c>
      <c r="AH26" s="26">
        <f t="shared" si="11"/>
        <v>8443526354.0856028</v>
      </c>
      <c r="AI26" s="26">
        <f t="shared" si="12"/>
        <v>185572007782.10117</v>
      </c>
      <c r="AJ26" s="35">
        <f t="shared" si="13"/>
        <v>1.0426244278049352</v>
      </c>
      <c r="AK26" s="54">
        <f t="shared" si="14"/>
        <v>1.0426244278049352</v>
      </c>
    </row>
    <row r="27" spans="1:37" ht="32">
      <c r="A27" s="30" t="s">
        <v>20</v>
      </c>
      <c r="B27" s="28">
        <v>297939</v>
      </c>
      <c r="C27" s="35">
        <f t="shared" si="17"/>
        <v>0.11102469948254878</v>
      </c>
      <c r="D27" s="66">
        <f t="shared" si="18"/>
        <v>402753133.22807425</v>
      </c>
      <c r="F27" s="30" t="s">
        <v>20</v>
      </c>
      <c r="G27" s="28">
        <v>297939</v>
      </c>
      <c r="H27" s="35">
        <f t="shared" si="19"/>
        <v>0.11102469948254878</v>
      </c>
      <c r="I27" s="66">
        <f t="shared" ref="I27:I35" si="20">$G$7*H27</f>
        <v>173723278.33241042</v>
      </c>
      <c r="K27" s="30" t="s">
        <v>84</v>
      </c>
      <c r="L27" s="32" t="s">
        <v>91</v>
      </c>
      <c r="M27" s="32" t="s">
        <v>89</v>
      </c>
      <c r="N27" s="32" t="s">
        <v>90</v>
      </c>
      <c r="O27" s="29"/>
      <c r="Q27" s="30" t="s">
        <v>84</v>
      </c>
      <c r="R27" s="32" t="s">
        <v>91</v>
      </c>
      <c r="S27" s="32" t="s">
        <v>89</v>
      </c>
      <c r="T27" s="33" t="s">
        <v>90</v>
      </c>
      <c r="U27" s="28"/>
      <c r="V27" s="30" t="s">
        <v>26</v>
      </c>
      <c r="W27" s="28">
        <v>194881</v>
      </c>
      <c r="X27" s="35">
        <f t="shared" si="15"/>
        <v>7.2620920590653087E-2</v>
      </c>
      <c r="Y27" s="66">
        <f t="shared" si="16"/>
        <v>203919545.01855388</v>
      </c>
      <c r="AA27" s="30" t="s">
        <v>84</v>
      </c>
      <c r="AB27" s="32" t="s">
        <v>91</v>
      </c>
      <c r="AC27" s="32" t="s">
        <v>89</v>
      </c>
      <c r="AD27" s="33" t="s">
        <v>90</v>
      </c>
      <c r="AE27" s="28"/>
      <c r="AF27" s="30">
        <v>2018</v>
      </c>
      <c r="AG27" s="26">
        <v>25136912</v>
      </c>
      <c r="AH27" s="26">
        <f t="shared" si="11"/>
        <v>8900618645.9143963</v>
      </c>
      <c r="AI27" s="26">
        <f t="shared" si="12"/>
        <v>195617992217.89883</v>
      </c>
      <c r="AJ27" s="35">
        <f t="shared" si="13"/>
        <v>1.0541352359974121</v>
      </c>
      <c r="AK27" s="54">
        <f t="shared" si="14"/>
        <v>1.0541352359974123</v>
      </c>
    </row>
    <row r="28" spans="1:37">
      <c r="A28" s="30" t="s">
        <v>28</v>
      </c>
      <c r="B28" s="28">
        <v>394632</v>
      </c>
      <c r="C28" s="35">
        <f t="shared" si="17"/>
        <v>0.1470566095952433</v>
      </c>
      <c r="D28" s="66">
        <f t="shared" si="18"/>
        <v>533462468.73373884</v>
      </c>
      <c r="F28" s="30" t="s">
        <v>28</v>
      </c>
      <c r="G28" s="28">
        <v>394632</v>
      </c>
      <c r="H28" s="35">
        <f t="shared" si="19"/>
        <v>0.1470566095952433</v>
      </c>
      <c r="I28" s="66">
        <v>230103359.32817051</v>
      </c>
      <c r="K28" s="47" t="s">
        <v>131</v>
      </c>
      <c r="L28" s="44">
        <v>754</v>
      </c>
      <c r="M28" s="48">
        <f>L28/$L$76</f>
        <v>1.350420609403453E-5</v>
      </c>
      <c r="N28" s="65">
        <f>$L$7*M28</f>
        <v>43213.459500910496</v>
      </c>
      <c r="O28" s="29"/>
      <c r="Q28" s="47" t="s">
        <v>131</v>
      </c>
      <c r="R28" s="44">
        <v>754</v>
      </c>
      <c r="S28" s="48">
        <f>R28/$L$76</f>
        <v>1.350420609403453E-5</v>
      </c>
      <c r="T28" s="66">
        <f>$R$7*S28</f>
        <v>1421290.0018327909</v>
      </c>
      <c r="U28" s="28"/>
      <c r="V28" s="30" t="s">
        <v>25</v>
      </c>
      <c r="W28" s="28">
        <v>175082</v>
      </c>
      <c r="X28" s="35">
        <f t="shared" si="15"/>
        <v>6.5242974014155936E-2</v>
      </c>
      <c r="Y28" s="66">
        <f t="shared" si="16"/>
        <v>183202271.03174987</v>
      </c>
      <c r="AA28" s="30" t="s">
        <v>144</v>
      </c>
      <c r="AB28" s="28">
        <v>1349</v>
      </c>
      <c r="AC28" s="48">
        <f t="shared" ref="AC28:AC48" si="21">AB28/$AB$49</f>
        <v>6.1523165820666125E-3</v>
      </c>
      <c r="AD28" s="66">
        <f t="shared" ref="AD28:AD48" si="22">AC28*$AB$7</f>
        <v>4478886.4717444936</v>
      </c>
      <c r="AE28" s="28"/>
      <c r="AF28" s="30">
        <v>2019</v>
      </c>
      <c r="AG28" s="26">
        <v>24637665</v>
      </c>
      <c r="AH28" s="26">
        <f t="shared" si="11"/>
        <v>8723842470.8171215</v>
      </c>
      <c r="AI28" s="26">
        <f t="shared" si="12"/>
        <v>191732801556.42023</v>
      </c>
      <c r="AJ28" s="35">
        <f t="shared" si="13"/>
        <v>0.98013888897729384</v>
      </c>
      <c r="AK28" s="54">
        <f t="shared" si="14"/>
        <v>0.98013888897729362</v>
      </c>
    </row>
    <row r="29" spans="1:37">
      <c r="A29" s="30" t="s">
        <v>26</v>
      </c>
      <c r="B29" s="28">
        <v>194881</v>
      </c>
      <c r="C29" s="35">
        <f t="shared" si="17"/>
        <v>7.2620920590653087E-2</v>
      </c>
      <c r="D29" s="66">
        <f t="shared" si="18"/>
        <v>263439607.96210077</v>
      </c>
      <c r="F29" s="30" t="s">
        <v>26</v>
      </c>
      <c r="G29" s="28">
        <v>194881</v>
      </c>
      <c r="H29" s="35">
        <f t="shared" si="19"/>
        <v>7.2620920590653087E-2</v>
      </c>
      <c r="I29" s="66">
        <f t="shared" si="20"/>
        <v>113631871.64049847</v>
      </c>
      <c r="K29" s="49" t="s">
        <v>117</v>
      </c>
      <c r="L29" s="44">
        <v>93001</v>
      </c>
      <c r="M29" s="48">
        <f t="shared" ref="M29:M75" si="23">L29/$L$76</f>
        <v>1.6656560622696356E-3</v>
      </c>
      <c r="N29" s="65">
        <f t="shared" ref="N29:N75" si="24">$L$7*M29</f>
        <v>5330099.3992628334</v>
      </c>
      <c r="O29" s="29"/>
      <c r="Q29" s="49" t="s">
        <v>117</v>
      </c>
      <c r="R29" s="44">
        <v>93001</v>
      </c>
      <c r="S29" s="48">
        <f t="shared" ref="S29:S75" si="25">R29/$L$76</f>
        <v>1.6656560622696356E-3</v>
      </c>
      <c r="T29" s="66">
        <f t="shared" ref="T29:T75" si="26">$R$7*S29</f>
        <v>175306885.22606283</v>
      </c>
      <c r="U29" s="28"/>
      <c r="V29" s="30" t="s">
        <v>46</v>
      </c>
      <c r="W29" s="28">
        <v>113588</v>
      </c>
      <c r="X29" s="35">
        <f t="shared" si="15"/>
        <v>4.2327703203755639E-2</v>
      </c>
      <c r="Y29" s="66">
        <f t="shared" si="16"/>
        <v>118856190.59614584</v>
      </c>
      <c r="AA29" s="30" t="s">
        <v>141</v>
      </c>
      <c r="AB29" s="28">
        <v>333</v>
      </c>
      <c r="AC29" s="48">
        <f t="shared" si="21"/>
        <v>1.5186963838607725E-3</v>
      </c>
      <c r="AD29" s="66">
        <f t="shared" si="22"/>
        <v>1105610.9674506425</v>
      </c>
      <c r="AE29" s="28"/>
      <c r="AF29" s="30">
        <v>2020</v>
      </c>
      <c r="AG29" s="26">
        <f>AG5</f>
        <v>21787126</v>
      </c>
      <c r="AH29" s="26">
        <f t="shared" si="11"/>
        <v>7714507649.8054476</v>
      </c>
      <c r="AI29" s="26">
        <f t="shared" si="12"/>
        <v>169549618677.04279</v>
      </c>
      <c r="AJ29" s="35">
        <f>AH29/AH28</f>
        <v>0.88430157646838681</v>
      </c>
      <c r="AK29" s="54">
        <f>AI29/AI28</f>
        <v>0.88430157646838692</v>
      </c>
    </row>
    <row r="30" spans="1:37">
      <c r="A30" s="30" t="s">
        <v>25</v>
      </c>
      <c r="B30" s="28">
        <v>175082</v>
      </c>
      <c r="C30" s="35">
        <f t="shared" si="17"/>
        <v>6.5242974014155936E-2</v>
      </c>
      <c r="D30" s="66">
        <f t="shared" si="18"/>
        <v>236675373.38796768</v>
      </c>
      <c r="F30" s="30" t="s">
        <v>25</v>
      </c>
      <c r="G30" s="28">
        <v>175082</v>
      </c>
      <c r="H30" s="35">
        <f t="shared" si="19"/>
        <v>6.5242974014155936E-2</v>
      </c>
      <c r="I30" s="66">
        <f t="shared" si="20"/>
        <v>102087403.85446377</v>
      </c>
      <c r="K30" s="49" t="s">
        <v>92</v>
      </c>
      <c r="L30" s="44">
        <v>104543.99999999999</v>
      </c>
      <c r="M30" s="48">
        <f t="shared" si="23"/>
        <v>1.8723922041044372E-3</v>
      </c>
      <c r="N30" s="65">
        <f t="shared" si="24"/>
        <v>5991655.0531341992</v>
      </c>
      <c r="O30" s="29"/>
      <c r="Q30" s="49" t="s">
        <v>92</v>
      </c>
      <c r="R30" s="44">
        <v>104543.99999999999</v>
      </c>
      <c r="S30" s="48">
        <f t="shared" si="25"/>
        <v>1.8723922041044372E-3</v>
      </c>
      <c r="T30" s="66">
        <f t="shared" si="26"/>
        <v>197065440.25412104</v>
      </c>
      <c r="U30" s="28"/>
      <c r="V30" s="30" t="s">
        <v>86</v>
      </c>
      <c r="W30" s="28">
        <v>89362</v>
      </c>
      <c r="X30" s="35">
        <f t="shared" si="15"/>
        <v>3.3300068789784233E-2</v>
      </c>
      <c r="Y30" s="66">
        <f t="shared" si="16"/>
        <v>93506593.161714122</v>
      </c>
      <c r="AA30" s="30" t="s">
        <v>148</v>
      </c>
      <c r="AB30" s="28">
        <v>18405</v>
      </c>
      <c r="AC30" s="48">
        <f t="shared" si="21"/>
        <v>8.3938759594467019E-2</v>
      </c>
      <c r="AD30" s="66">
        <f t="shared" si="22"/>
        <v>61107416.984771989</v>
      </c>
      <c r="AE30" s="28"/>
      <c r="AF30" s="30"/>
      <c r="AG30" s="26"/>
      <c r="AH30" s="26"/>
      <c r="AI30" s="26"/>
      <c r="AJ30" s="28"/>
      <c r="AK30" s="29"/>
    </row>
    <row r="31" spans="1:37" ht="33.65" customHeight="1">
      <c r="A31" s="30" t="s">
        <v>46</v>
      </c>
      <c r="B31" s="28">
        <v>113588</v>
      </c>
      <c r="C31" s="35">
        <f t="shared" si="17"/>
        <v>4.2327703203755639E-2</v>
      </c>
      <c r="D31" s="66">
        <f t="shared" si="18"/>
        <v>153547950.74532202</v>
      </c>
      <c r="F31" s="30" t="s">
        <v>46</v>
      </c>
      <c r="G31" s="28">
        <v>113588</v>
      </c>
      <c r="H31" s="35">
        <f t="shared" si="19"/>
        <v>4.2327703203755639E-2</v>
      </c>
      <c r="I31" s="66">
        <f t="shared" si="20"/>
        <v>66231274.654281028</v>
      </c>
      <c r="K31" s="49" t="s">
        <v>109</v>
      </c>
      <c r="L31" s="44">
        <v>1949</v>
      </c>
      <c r="M31" s="48">
        <f t="shared" si="23"/>
        <v>3.4906760845190047E-5</v>
      </c>
      <c r="N31" s="65">
        <f t="shared" si="24"/>
        <v>111701.63470460815</v>
      </c>
      <c r="O31" s="29"/>
      <c r="Q31" s="49" t="s">
        <v>109</v>
      </c>
      <c r="R31" s="44">
        <v>1949</v>
      </c>
      <c r="S31" s="48">
        <f t="shared" si="25"/>
        <v>3.4906760845190047E-5</v>
      </c>
      <c r="T31" s="66">
        <f t="shared" si="26"/>
        <v>3673865.0047375453</v>
      </c>
      <c r="U31" s="28"/>
      <c r="V31" s="30" t="s">
        <v>87</v>
      </c>
      <c r="W31" s="28">
        <v>96054</v>
      </c>
      <c r="X31" s="35">
        <f t="shared" si="15"/>
        <v>3.579379162881241E-2</v>
      </c>
      <c r="Y31" s="66">
        <f t="shared" si="16"/>
        <v>100508966.89370525</v>
      </c>
      <c r="AA31" s="30" t="s">
        <v>88</v>
      </c>
      <c r="AB31" s="28">
        <v>3108</v>
      </c>
      <c r="AC31" s="48">
        <f t="shared" si="21"/>
        <v>1.4174499582700542E-2</v>
      </c>
      <c r="AD31" s="66">
        <f t="shared" si="22"/>
        <v>10319035.696205994</v>
      </c>
      <c r="AE31" s="28"/>
      <c r="AF31" s="152" t="s">
        <v>980</v>
      </c>
      <c r="AG31" s="153"/>
      <c r="AH31" s="153"/>
      <c r="AI31" s="153"/>
      <c r="AJ31" s="28"/>
      <c r="AK31" s="29"/>
    </row>
    <row r="32" spans="1:37" ht="32">
      <c r="A32" s="30" t="s">
        <v>86</v>
      </c>
      <c r="B32" s="28">
        <v>89362</v>
      </c>
      <c r="C32" s="35">
        <f t="shared" si="17"/>
        <v>3.3300068789784233E-2</v>
      </c>
      <c r="D32" s="66">
        <f t="shared" si="18"/>
        <v>120799309.56178001</v>
      </c>
      <c r="F32" s="30" t="s">
        <v>86</v>
      </c>
      <c r="G32" s="28">
        <v>89362</v>
      </c>
      <c r="H32" s="35">
        <f t="shared" si="19"/>
        <v>3.3300068789784233E-2</v>
      </c>
      <c r="I32" s="66">
        <f t="shared" si="20"/>
        <v>52105496.757191442</v>
      </c>
      <c r="K32" s="49" t="s">
        <v>110</v>
      </c>
      <c r="L32" s="44">
        <v>21295</v>
      </c>
      <c r="M32" s="162">
        <f t="shared" si="23"/>
        <v>3.8139531667435718E-4</v>
      </c>
      <c r="N32" s="163">
        <f t="shared" si="24"/>
        <v>1220465.0133579429</v>
      </c>
      <c r="O32" s="164"/>
      <c r="P32" s="165"/>
      <c r="Q32" s="49" t="s">
        <v>110</v>
      </c>
      <c r="R32" s="44">
        <v>21295</v>
      </c>
      <c r="S32" s="162">
        <f t="shared" si="25"/>
        <v>3.8139531667435718E-4</v>
      </c>
      <c r="T32" s="166">
        <f t="shared" si="26"/>
        <v>40141075.051762968</v>
      </c>
      <c r="U32" s="43"/>
      <c r="V32" s="30" t="s">
        <v>18</v>
      </c>
      <c r="W32" s="28">
        <v>29000</v>
      </c>
      <c r="X32" s="35">
        <f t="shared" si="15"/>
        <v>1.0806629158968496E-2</v>
      </c>
      <c r="Y32" s="66">
        <f t="shared" si="16"/>
        <v>30345014.678383537</v>
      </c>
      <c r="AA32" s="30" t="s">
        <v>17</v>
      </c>
      <c r="AB32" s="28">
        <v>103355</v>
      </c>
      <c r="AC32" s="48">
        <f t="shared" si="21"/>
        <v>0.47136596022201244</v>
      </c>
      <c r="AD32" s="66">
        <f t="shared" si="22"/>
        <v>343154419.04162508</v>
      </c>
      <c r="AE32" s="28"/>
      <c r="AF32" s="30" t="s">
        <v>156</v>
      </c>
      <c r="AG32" s="32" t="s">
        <v>153</v>
      </c>
      <c r="AH32" s="32" t="s">
        <v>154</v>
      </c>
      <c r="AI32" s="32" t="s">
        <v>155</v>
      </c>
      <c r="AJ32" s="28"/>
      <c r="AK32" s="29"/>
    </row>
    <row r="33" spans="1:37">
      <c r="A33" s="30" t="s">
        <v>87</v>
      </c>
      <c r="B33" s="28">
        <v>96054</v>
      </c>
      <c r="C33" s="35">
        <f t="shared" si="17"/>
        <v>3.579379162881241E-2</v>
      </c>
      <c r="D33" s="66">
        <f t="shared" si="18"/>
        <v>129845537.03640492</v>
      </c>
      <c r="F33" s="30" t="s">
        <v>87</v>
      </c>
      <c r="G33" s="28">
        <v>96054</v>
      </c>
      <c r="H33" s="35">
        <f t="shared" si="19"/>
        <v>3.579379162881241E-2</v>
      </c>
      <c r="I33" s="66">
        <f t="shared" si="20"/>
        <v>56007490.717701778</v>
      </c>
      <c r="K33" s="49" t="s">
        <v>93</v>
      </c>
      <c r="L33" s="44">
        <v>237057</v>
      </c>
      <c r="M33" s="162">
        <f t="shared" si="23"/>
        <v>4.2457116499118614E-3</v>
      </c>
      <c r="N33" s="163">
        <f t="shared" si="24"/>
        <v>13586277.279717956</v>
      </c>
      <c r="O33" s="164"/>
      <c r="P33" s="165"/>
      <c r="Q33" s="49" t="s">
        <v>93</v>
      </c>
      <c r="R33" s="44">
        <v>237057</v>
      </c>
      <c r="S33" s="162">
        <f t="shared" si="25"/>
        <v>4.2457116499118614E-3</v>
      </c>
      <c r="T33" s="166">
        <f t="shared" si="26"/>
        <v>446852445.57622796</v>
      </c>
      <c r="U33" s="43"/>
      <c r="V33" s="30" t="s">
        <v>88</v>
      </c>
      <c r="W33" s="28">
        <v>47000</v>
      </c>
      <c r="X33" s="35">
        <f t="shared" si="15"/>
        <v>1.7514192085224804E-2</v>
      </c>
      <c r="Y33" s="66">
        <f t="shared" si="16"/>
        <v>49179851.375311248</v>
      </c>
      <c r="AA33" s="30" t="s">
        <v>22</v>
      </c>
      <c r="AB33" s="28">
        <v>5070</v>
      </c>
      <c r="AC33" s="48">
        <f t="shared" si="21"/>
        <v>2.3122494493015365E-2</v>
      </c>
      <c r="AD33" s="66">
        <f t="shared" si="22"/>
        <v>16833175.990915187</v>
      </c>
      <c r="AE33" s="28"/>
      <c r="AF33" s="30" t="s">
        <v>144</v>
      </c>
      <c r="AG33" s="28">
        <v>1349</v>
      </c>
      <c r="AH33" s="48">
        <f t="shared" ref="AH33:AH53" si="27">AG33/$AB$49</f>
        <v>6.1523165820666125E-3</v>
      </c>
      <c r="AI33" s="65">
        <f>AH33*$AG$9</f>
        <v>47462093.336377785</v>
      </c>
      <c r="AJ33" s="28"/>
      <c r="AK33" s="29"/>
    </row>
    <row r="34" spans="1:37">
      <c r="A34" s="30" t="s">
        <v>18</v>
      </c>
      <c r="B34" s="28">
        <v>29000</v>
      </c>
      <c r="C34" s="35">
        <f t="shared" si="17"/>
        <v>1.0806629158968496E-2</v>
      </c>
      <c r="D34" s="66">
        <f t="shared" si="18"/>
        <v>39202121.453096621</v>
      </c>
      <c r="F34" s="30" t="s">
        <v>18</v>
      </c>
      <c r="G34" s="28">
        <v>29000</v>
      </c>
      <c r="H34" s="35">
        <f t="shared" si="19"/>
        <v>1.0806629158968496E-2</v>
      </c>
      <c r="I34" s="66">
        <f t="shared" si="20"/>
        <v>16909417.940047804</v>
      </c>
      <c r="K34" s="49" t="s">
        <v>118</v>
      </c>
      <c r="L34" s="44">
        <v>1608870</v>
      </c>
      <c r="M34" s="162">
        <f t="shared" si="23"/>
        <v>2.8815002730118479E-2</v>
      </c>
      <c r="N34" s="163">
        <f t="shared" si="24"/>
        <v>92208008.736379132</v>
      </c>
      <c r="O34" s="164"/>
      <c r="P34" s="165"/>
      <c r="Q34" s="49" t="s">
        <v>118</v>
      </c>
      <c r="R34" s="44">
        <v>1608870</v>
      </c>
      <c r="S34" s="162">
        <f t="shared" si="25"/>
        <v>2.8815002730118479E-2</v>
      </c>
      <c r="T34" s="166">
        <f t="shared" si="26"/>
        <v>3032719953.9107718</v>
      </c>
      <c r="U34" s="43"/>
      <c r="V34" s="56" t="s">
        <v>27</v>
      </c>
      <c r="W34" s="37">
        <f>SUM(W24:W33)</f>
        <v>2683538</v>
      </c>
      <c r="X34" s="40"/>
      <c r="Y34" s="42"/>
      <c r="AA34" s="30" t="s">
        <v>47</v>
      </c>
      <c r="AB34" s="28">
        <v>35540</v>
      </c>
      <c r="AC34" s="48">
        <f t="shared" si="21"/>
        <v>0.16208549394117674</v>
      </c>
      <c r="AD34" s="66">
        <f t="shared" si="22"/>
        <v>117998239.58917667</v>
      </c>
      <c r="AE34" s="28"/>
      <c r="AF34" s="30" t="s">
        <v>141</v>
      </c>
      <c r="AG34" s="28">
        <v>333</v>
      </c>
      <c r="AH34" s="48">
        <f t="shared" si="27"/>
        <v>1.5186963838607725E-3</v>
      </c>
      <c r="AI34" s="65">
        <f t="shared" ref="AI34:AI53" si="28">AH34*$AG$9</f>
        <v>11715994.871025801</v>
      </c>
      <c r="AJ34" s="28"/>
      <c r="AK34" s="29"/>
    </row>
    <row r="35" spans="1:37">
      <c r="A35" s="30" t="s">
        <v>88</v>
      </c>
      <c r="B35" s="28">
        <v>47000</v>
      </c>
      <c r="C35" s="35">
        <f t="shared" si="17"/>
        <v>1.7514192085224804E-2</v>
      </c>
      <c r="D35" s="66">
        <f t="shared" si="18"/>
        <v>63534472.699846245</v>
      </c>
      <c r="F35" s="30" t="s">
        <v>88</v>
      </c>
      <c r="G35" s="28">
        <v>47000</v>
      </c>
      <c r="H35" s="35">
        <f t="shared" si="19"/>
        <v>1.7514192085224804E-2</v>
      </c>
      <c r="I35" s="66">
        <f t="shared" si="20"/>
        <v>27404918.730422299</v>
      </c>
      <c r="K35" s="49" t="s">
        <v>115</v>
      </c>
      <c r="L35" s="45">
        <v>327681</v>
      </c>
      <c r="M35" s="162">
        <f t="shared" si="23"/>
        <v>5.8687954338187383E-3</v>
      </c>
      <c r="N35" s="163">
        <f t="shared" si="24"/>
        <v>18780145.388219964</v>
      </c>
      <c r="O35" s="164"/>
      <c r="P35" s="165"/>
      <c r="Q35" s="49" t="s">
        <v>115</v>
      </c>
      <c r="R35" s="45">
        <v>327681</v>
      </c>
      <c r="S35" s="162">
        <f t="shared" si="25"/>
        <v>5.8687954338187383E-3</v>
      </c>
      <c r="T35" s="166">
        <f t="shared" si="26"/>
        <v>617678685.79651284</v>
      </c>
      <c r="U35" s="43"/>
      <c r="AA35" s="30" t="s">
        <v>149</v>
      </c>
      <c r="AB35" s="28">
        <v>1900</v>
      </c>
      <c r="AC35" s="48">
        <f t="shared" si="21"/>
        <v>8.6652346226290325E-3</v>
      </c>
      <c r="AD35" s="66">
        <f t="shared" si="22"/>
        <v>6308290.8052739352</v>
      </c>
      <c r="AE35" s="28"/>
      <c r="AF35" s="30" t="s">
        <v>148</v>
      </c>
      <c r="AG35" s="28">
        <v>18405</v>
      </c>
      <c r="AH35" s="48">
        <f t="shared" si="27"/>
        <v>8.3938759594467019E-2</v>
      </c>
      <c r="AI35" s="65">
        <f t="shared" si="28"/>
        <v>647546203.00669622</v>
      </c>
      <c r="AJ35" s="28"/>
      <c r="AK35" s="29"/>
    </row>
    <row r="36" spans="1:37">
      <c r="A36" s="56" t="s">
        <v>27</v>
      </c>
      <c r="B36" s="37">
        <f>SUM(B26:B35)</f>
        <v>2683538</v>
      </c>
      <c r="C36" s="40"/>
      <c r="D36" s="42"/>
      <c r="F36" s="56" t="s">
        <v>27</v>
      </c>
      <c r="G36" s="37">
        <f>SUM(G26:G35)</f>
        <v>2683538</v>
      </c>
      <c r="H36" s="37"/>
      <c r="I36" s="42"/>
      <c r="K36" s="49" t="s">
        <v>120</v>
      </c>
      <c r="L36" s="44">
        <v>19994081</v>
      </c>
      <c r="M36" s="162">
        <f t="shared" si="23"/>
        <v>0.35809574334856764</v>
      </c>
      <c r="N36" s="163">
        <f t="shared" si="24"/>
        <v>1145906378.7154164</v>
      </c>
      <c r="O36" s="164"/>
      <c r="P36" s="165"/>
      <c r="Q36" s="49" t="s">
        <v>120</v>
      </c>
      <c r="R36" s="44">
        <v>19994081</v>
      </c>
      <c r="S36" s="162">
        <f t="shared" si="25"/>
        <v>0.35809574334856764</v>
      </c>
      <c r="T36" s="166">
        <f t="shared" si="26"/>
        <v>37688842733.600754</v>
      </c>
      <c r="U36" s="43"/>
      <c r="AA36" s="30" t="s">
        <v>150</v>
      </c>
      <c r="AB36" s="28">
        <v>708</v>
      </c>
      <c r="AC36" s="48">
        <f t="shared" si="21"/>
        <v>3.2289400593796605E-3</v>
      </c>
      <c r="AD36" s="66">
        <f t="shared" si="22"/>
        <v>2350668.3632283928</v>
      </c>
      <c r="AE36" s="28"/>
      <c r="AF36" s="30" t="s">
        <v>88</v>
      </c>
      <c r="AG36" s="28">
        <v>3108</v>
      </c>
      <c r="AH36" s="48">
        <f t="shared" si="27"/>
        <v>1.4174499582700542E-2</v>
      </c>
      <c r="AI36" s="65">
        <f t="shared" si="28"/>
        <v>109349285.46290746</v>
      </c>
      <c r="AJ36" s="28"/>
      <c r="AK36" s="29"/>
    </row>
    <row r="37" spans="1:37">
      <c r="A37" s="28"/>
      <c r="B37" s="28"/>
      <c r="C37" s="34"/>
      <c r="D37" s="28"/>
      <c r="K37" s="49" t="s">
        <v>119</v>
      </c>
      <c r="L37" s="44">
        <v>43351</v>
      </c>
      <c r="M37" s="162">
        <f t="shared" si="23"/>
        <v>7.7642021005635393E-4</v>
      </c>
      <c r="N37" s="163">
        <f t="shared" si="24"/>
        <v>2484544.6721803327</v>
      </c>
      <c r="O37" s="164"/>
      <c r="P37" s="165"/>
      <c r="Q37" s="49" t="s">
        <v>119</v>
      </c>
      <c r="R37" s="44">
        <v>43351</v>
      </c>
      <c r="S37" s="162">
        <f t="shared" si="25"/>
        <v>7.7642021005635393E-4</v>
      </c>
      <c r="T37" s="166">
        <f t="shared" si="26"/>
        <v>81716635.105375737</v>
      </c>
      <c r="U37" s="43"/>
      <c r="AA37" s="30" t="s">
        <v>142</v>
      </c>
      <c r="AB37" s="28">
        <v>335</v>
      </c>
      <c r="AC37" s="48">
        <f t="shared" si="21"/>
        <v>1.5278176834635398E-3</v>
      </c>
      <c r="AD37" s="66">
        <f t="shared" si="22"/>
        <v>1112251.2735614569</v>
      </c>
      <c r="AE37" s="28"/>
      <c r="AF37" s="30" t="s">
        <v>17</v>
      </c>
      <c r="AG37" s="28">
        <v>103355</v>
      </c>
      <c r="AH37" s="48">
        <f t="shared" si="27"/>
        <v>0.47136596022201244</v>
      </c>
      <c r="AI37" s="65">
        <f t="shared" si="28"/>
        <v>3636356305.9906054</v>
      </c>
      <c r="AJ37" s="28"/>
      <c r="AK37" s="29"/>
    </row>
    <row r="38" spans="1:37">
      <c r="A38" s="38"/>
      <c r="B38" s="26"/>
      <c r="C38" s="28"/>
      <c r="D38" s="28"/>
      <c r="K38" s="49" t="s">
        <v>101</v>
      </c>
      <c r="L38" s="44">
        <v>1152901</v>
      </c>
      <c r="M38" s="162">
        <f t="shared" si="23"/>
        <v>2.0648557970846821E-2</v>
      </c>
      <c r="N38" s="163">
        <f t="shared" si="24"/>
        <v>66075385.506709829</v>
      </c>
      <c r="O38" s="164"/>
      <c r="P38" s="165"/>
      <c r="Q38" s="49" t="s">
        <v>101</v>
      </c>
      <c r="R38" s="44">
        <v>1152901</v>
      </c>
      <c r="S38" s="162">
        <f t="shared" si="25"/>
        <v>2.0648557970846821E-2</v>
      </c>
      <c r="T38" s="166">
        <f t="shared" si="26"/>
        <v>2173218387.802422</v>
      </c>
      <c r="U38" s="43"/>
      <c r="AA38" s="30" t="s">
        <v>18</v>
      </c>
      <c r="AB38" s="28">
        <v>4658</v>
      </c>
      <c r="AC38" s="48">
        <f t="shared" si="21"/>
        <v>2.124350677484528E-2</v>
      </c>
      <c r="AD38" s="66">
        <f t="shared" si="22"/>
        <v>15465272.932087364</v>
      </c>
      <c r="AE38" s="28"/>
      <c r="AF38" s="30" t="s">
        <v>22</v>
      </c>
      <c r="AG38" s="28">
        <v>5070</v>
      </c>
      <c r="AH38" s="48">
        <f t="shared" si="27"/>
        <v>2.3122494493015365E-2</v>
      </c>
      <c r="AI38" s="65">
        <f t="shared" si="28"/>
        <v>178378660.64895138</v>
      </c>
      <c r="AJ38" s="28"/>
      <c r="AK38" s="29"/>
    </row>
    <row r="39" spans="1:37">
      <c r="C39" s="2"/>
      <c r="K39" s="47" t="s">
        <v>132</v>
      </c>
      <c r="L39" s="44">
        <v>23754</v>
      </c>
      <c r="M39" s="162">
        <f t="shared" si="23"/>
        <v>4.2543622222506128E-4</v>
      </c>
      <c r="N39" s="163">
        <f t="shared" si="24"/>
        <v>1361395.9111201961</v>
      </c>
      <c r="O39" s="164"/>
      <c r="P39" s="165"/>
      <c r="Q39" s="47" t="s">
        <v>132</v>
      </c>
      <c r="R39" s="44">
        <v>23754</v>
      </c>
      <c r="S39" s="162">
        <f t="shared" si="25"/>
        <v>4.2543622222506128E-4</v>
      </c>
      <c r="T39" s="166">
        <f t="shared" si="26"/>
        <v>44776290.057740204</v>
      </c>
      <c r="U39" s="43"/>
      <c r="AA39" s="30" t="s">
        <v>145</v>
      </c>
      <c r="AB39" s="28">
        <v>1801</v>
      </c>
      <c r="AC39" s="48">
        <f t="shared" si="21"/>
        <v>8.2137302922920454E-3</v>
      </c>
      <c r="AD39" s="66">
        <f t="shared" si="22"/>
        <v>5979595.6527886093</v>
      </c>
      <c r="AE39" s="28"/>
      <c r="AF39" s="30" t="s">
        <v>47</v>
      </c>
      <c r="AG39" s="28">
        <v>35540</v>
      </c>
      <c r="AH39" s="48">
        <f t="shared" si="27"/>
        <v>0.16208549394117674</v>
      </c>
      <c r="AI39" s="65">
        <f t="shared" si="28"/>
        <v>1250409782.9317026</v>
      </c>
      <c r="AJ39" s="28"/>
      <c r="AK39" s="29"/>
    </row>
    <row r="40" spans="1:37">
      <c r="C40" s="2"/>
      <c r="K40" s="49" t="s">
        <v>94</v>
      </c>
      <c r="L40" s="44">
        <v>86270</v>
      </c>
      <c r="M40" s="162">
        <f t="shared" si="23"/>
        <v>1.5451032622445077E-3</v>
      </c>
      <c r="N40" s="163">
        <f t="shared" si="24"/>
        <v>4944330.4391824249</v>
      </c>
      <c r="O40" s="164"/>
      <c r="P40" s="165"/>
      <c r="Q40" s="49" t="s">
        <v>94</v>
      </c>
      <c r="R40" s="44">
        <v>86270</v>
      </c>
      <c r="S40" s="162">
        <f t="shared" si="25"/>
        <v>1.5451032622445077E-3</v>
      </c>
      <c r="T40" s="166">
        <f t="shared" si="26"/>
        <v>162618950.20970139</v>
      </c>
      <c r="U40" s="43"/>
      <c r="AA40" s="30" t="s">
        <v>151</v>
      </c>
      <c r="AB40" s="28">
        <v>487</v>
      </c>
      <c r="AC40" s="48">
        <f t="shared" si="21"/>
        <v>2.2210364532738625E-3</v>
      </c>
      <c r="AD40" s="66">
        <f t="shared" si="22"/>
        <v>1616914.5379833719</v>
      </c>
      <c r="AE40" s="28"/>
      <c r="AF40" s="30" t="s">
        <v>149</v>
      </c>
      <c r="AG40" s="28">
        <v>1900</v>
      </c>
      <c r="AH40" s="48">
        <f t="shared" si="27"/>
        <v>8.6652346226290325E-3</v>
      </c>
      <c r="AI40" s="65">
        <f t="shared" si="28"/>
        <v>66848018.783630691</v>
      </c>
      <c r="AJ40" s="28"/>
      <c r="AK40" s="29"/>
    </row>
    <row r="41" spans="1:37">
      <c r="C41" s="2"/>
      <c r="K41" s="49" t="s">
        <v>95</v>
      </c>
      <c r="L41" s="44">
        <v>927718</v>
      </c>
      <c r="M41" s="162">
        <f t="shared" si="23"/>
        <v>1.6615510701784516E-2</v>
      </c>
      <c r="N41" s="163">
        <f t="shared" si="24"/>
        <v>53169634.245710447</v>
      </c>
      <c r="O41" s="164"/>
      <c r="P41" s="165"/>
      <c r="Q41" s="49" t="s">
        <v>95</v>
      </c>
      <c r="R41" s="44">
        <v>927718</v>
      </c>
      <c r="S41" s="162">
        <f t="shared" si="25"/>
        <v>1.6615510701784516E-2</v>
      </c>
      <c r="T41" s="166">
        <f t="shared" si="26"/>
        <v>1748748432.2550569</v>
      </c>
      <c r="U41" s="43"/>
      <c r="AA41" s="30" t="s">
        <v>23</v>
      </c>
      <c r="AB41" s="28">
        <v>6037</v>
      </c>
      <c r="AC41" s="48">
        <f t="shared" si="21"/>
        <v>2.7532642850953404E-2</v>
      </c>
      <c r="AD41" s="66">
        <f t="shared" si="22"/>
        <v>20043763.995494079</v>
      </c>
      <c r="AE41" s="28"/>
      <c r="AF41" s="30" t="s">
        <v>150</v>
      </c>
      <c r="AG41" s="28">
        <v>708</v>
      </c>
      <c r="AH41" s="48">
        <f t="shared" si="27"/>
        <v>3.2289400593796605E-3</v>
      </c>
      <c r="AI41" s="65">
        <f t="shared" si="28"/>
        <v>24909682.788847648</v>
      </c>
      <c r="AJ41" s="28"/>
      <c r="AK41" s="29"/>
    </row>
    <row r="42" spans="1:37">
      <c r="C42" s="2"/>
      <c r="K42" s="49" t="s">
        <v>96</v>
      </c>
      <c r="L42" s="44">
        <v>3515372</v>
      </c>
      <c r="M42" s="162">
        <f t="shared" si="23"/>
        <v>6.2960620670024336E-2</v>
      </c>
      <c r="N42" s="163">
        <f t="shared" si="24"/>
        <v>201473986.14407787</v>
      </c>
      <c r="O42" s="164"/>
      <c r="P42" s="165"/>
      <c r="Q42" s="49" t="s">
        <v>96</v>
      </c>
      <c r="R42" s="44">
        <v>3515372</v>
      </c>
      <c r="S42" s="162">
        <f t="shared" si="25"/>
        <v>6.2960620670024336E-2</v>
      </c>
      <c r="T42" s="166">
        <f t="shared" si="26"/>
        <v>6626476228.5450144</v>
      </c>
      <c r="U42" s="43"/>
      <c r="AA42" s="30" t="s">
        <v>143</v>
      </c>
      <c r="AB42" s="28">
        <v>61</v>
      </c>
      <c r="AC42" s="48">
        <f t="shared" si="21"/>
        <v>2.7819963788440575E-4</v>
      </c>
      <c r="AD42" s="66">
        <f t="shared" si="22"/>
        <v>202529.33637984737</v>
      </c>
      <c r="AE42" s="28"/>
      <c r="AF42" s="30" t="s">
        <v>142</v>
      </c>
      <c r="AG42" s="28">
        <v>335</v>
      </c>
      <c r="AH42" s="48">
        <f t="shared" si="27"/>
        <v>1.5278176834635398E-3</v>
      </c>
      <c r="AI42" s="65">
        <f t="shared" si="28"/>
        <v>11786361.206587516</v>
      </c>
      <c r="AJ42" s="28"/>
      <c r="AK42" s="29"/>
    </row>
    <row r="43" spans="1:37">
      <c r="C43" s="2"/>
      <c r="K43" s="49" t="s">
        <v>102</v>
      </c>
      <c r="L43" s="44">
        <v>406496.92800000001</v>
      </c>
      <c r="M43" s="162">
        <f t="shared" si="23"/>
        <v>7.2803956131351662E-3</v>
      </c>
      <c r="N43" s="163">
        <f t="shared" si="24"/>
        <v>23297265.96203253</v>
      </c>
      <c r="O43" s="164"/>
      <c r="P43" s="165"/>
      <c r="Q43" s="49" t="s">
        <v>102</v>
      </c>
      <c r="R43" s="44">
        <v>406496.92800000001</v>
      </c>
      <c r="S43" s="162">
        <f t="shared" si="25"/>
        <v>7.2803956131351662E-3</v>
      </c>
      <c r="T43" s="166">
        <f t="shared" si="26"/>
        <v>766246710.26809525</v>
      </c>
      <c r="U43" s="43"/>
      <c r="AA43" s="30" t="s">
        <v>19</v>
      </c>
      <c r="AB43" s="28">
        <v>10445</v>
      </c>
      <c r="AC43" s="48">
        <f t="shared" si="21"/>
        <v>4.7635987175452761E-2</v>
      </c>
      <c r="AD43" s="66">
        <f t="shared" si="22"/>
        <v>34678998.663729608</v>
      </c>
      <c r="AE43" s="28"/>
      <c r="AF43" s="30" t="s">
        <v>18</v>
      </c>
      <c r="AG43" s="28">
        <v>4658</v>
      </c>
      <c r="AH43" s="48">
        <f t="shared" si="27"/>
        <v>2.124350677484528E-2</v>
      </c>
      <c r="AI43" s="65">
        <f t="shared" si="28"/>
        <v>163883195.52323776</v>
      </c>
      <c r="AJ43" s="28"/>
      <c r="AK43" s="29"/>
    </row>
    <row r="44" spans="1:37">
      <c r="C44" s="2"/>
      <c r="K44" s="49" t="s">
        <v>121</v>
      </c>
      <c r="L44" s="44">
        <v>2851268</v>
      </c>
      <c r="M44" s="162">
        <f t="shared" si="23"/>
        <v>5.1066459816081759E-2</v>
      </c>
      <c r="N44" s="163">
        <f t="shared" si="24"/>
        <v>163412671.41146162</v>
      </c>
      <c r="O44" s="164"/>
      <c r="P44" s="165"/>
      <c r="Q44" s="49" t="s">
        <v>121</v>
      </c>
      <c r="R44" s="44">
        <v>2851268</v>
      </c>
      <c r="S44" s="162">
        <f t="shared" si="25"/>
        <v>5.1066459816081759E-2</v>
      </c>
      <c r="T44" s="166">
        <f t="shared" si="26"/>
        <v>5374640186.9307394</v>
      </c>
      <c r="U44" s="43"/>
      <c r="AA44" s="30" t="s">
        <v>29</v>
      </c>
      <c r="AB44" s="28">
        <v>13351</v>
      </c>
      <c r="AC44" s="48">
        <f t="shared" si="21"/>
        <v>6.0889235498273797E-2</v>
      </c>
      <c r="AD44" s="66">
        <f t="shared" si="22"/>
        <v>44327363.442743324</v>
      </c>
      <c r="AE44" s="28"/>
      <c r="AF44" s="30" t="s">
        <v>145</v>
      </c>
      <c r="AG44" s="28">
        <v>1801</v>
      </c>
      <c r="AH44" s="48">
        <f t="shared" si="27"/>
        <v>8.2137302922920454E-3</v>
      </c>
      <c r="AI44" s="65">
        <f t="shared" si="28"/>
        <v>63364885.173325717</v>
      </c>
      <c r="AJ44" s="28"/>
      <c r="AK44" s="29"/>
    </row>
    <row r="45" spans="1:37">
      <c r="C45" s="2"/>
      <c r="K45" s="49" t="s">
        <v>122</v>
      </c>
      <c r="L45" s="44">
        <v>551400</v>
      </c>
      <c r="M45" s="162">
        <f t="shared" si="23"/>
        <v>9.8756223345499196E-3</v>
      </c>
      <c r="N45" s="163">
        <f t="shared" si="24"/>
        <v>31601991.470559742</v>
      </c>
      <c r="O45" s="164"/>
      <c r="P45" s="165"/>
      <c r="Q45" s="49" t="s">
        <v>122</v>
      </c>
      <c r="R45" s="44">
        <v>551400</v>
      </c>
      <c r="S45" s="162">
        <f t="shared" si="25"/>
        <v>9.8756223345499196E-3</v>
      </c>
      <c r="T45" s="166">
        <f t="shared" si="26"/>
        <v>1039389001.3403194</v>
      </c>
      <c r="U45" s="43"/>
      <c r="AA45" s="30" t="s">
        <v>48</v>
      </c>
      <c r="AB45" s="28">
        <v>745</v>
      </c>
      <c r="AC45" s="48">
        <f t="shared" si="21"/>
        <v>3.3976841020308575E-3</v>
      </c>
      <c r="AD45" s="66">
        <f t="shared" si="22"/>
        <v>2473514.0262784641</v>
      </c>
      <c r="AE45" s="28"/>
      <c r="AF45" s="30" t="s">
        <v>151</v>
      </c>
      <c r="AG45" s="28">
        <v>487</v>
      </c>
      <c r="AH45" s="48">
        <f t="shared" si="27"/>
        <v>2.2210364532738625E-3</v>
      </c>
      <c r="AI45" s="65">
        <f t="shared" si="28"/>
        <v>17134202.709277973</v>
      </c>
      <c r="AJ45" s="28"/>
      <c r="AK45" s="29"/>
    </row>
    <row r="46" spans="1:37">
      <c r="C46" s="2"/>
      <c r="K46" s="49" t="s">
        <v>123</v>
      </c>
      <c r="L46" s="44">
        <v>826210</v>
      </c>
      <c r="M46" s="162">
        <f t="shared" si="23"/>
        <v>1.4797493523809374E-2</v>
      </c>
      <c r="N46" s="163">
        <f t="shared" si="24"/>
        <v>47351979.276189998</v>
      </c>
      <c r="O46" s="164"/>
      <c r="P46" s="165"/>
      <c r="Q46" s="49" t="s">
        <v>123</v>
      </c>
      <c r="R46" s="44">
        <v>826210</v>
      </c>
      <c r="S46" s="162">
        <f t="shared" si="25"/>
        <v>1.4797493523809374E-2</v>
      </c>
      <c r="T46" s="166">
        <f t="shared" si="26"/>
        <v>1557405852.0083158</v>
      </c>
      <c r="U46" s="43"/>
      <c r="AA46" s="30" t="s">
        <v>147</v>
      </c>
      <c r="AB46" s="28">
        <v>9939</v>
      </c>
      <c r="AC46" s="48">
        <f t="shared" si="21"/>
        <v>4.5328298375952605E-2</v>
      </c>
      <c r="AD46" s="66">
        <f t="shared" si="22"/>
        <v>32999001.217693496</v>
      </c>
      <c r="AE46" s="28"/>
      <c r="AF46" s="30" t="s">
        <v>23</v>
      </c>
      <c r="AG46" s="28">
        <v>6037</v>
      </c>
      <c r="AH46" s="48">
        <f t="shared" si="27"/>
        <v>2.7532642850953404E-2</v>
      </c>
      <c r="AI46" s="65">
        <f t="shared" si="28"/>
        <v>212400783.89304131</v>
      </c>
      <c r="AJ46" s="28"/>
      <c r="AK46" s="29"/>
    </row>
    <row r="47" spans="1:37">
      <c r="C47" s="2"/>
      <c r="K47" s="49" t="s">
        <v>97</v>
      </c>
      <c r="L47" s="44">
        <v>451826</v>
      </c>
      <c r="M47" s="162">
        <f t="shared" si="23"/>
        <v>8.0922432661051005E-3</v>
      </c>
      <c r="N47" s="163">
        <f t="shared" si="24"/>
        <v>25895178.45153632</v>
      </c>
      <c r="O47" s="164"/>
      <c r="P47" s="165"/>
      <c r="Q47" s="49" t="s">
        <v>97</v>
      </c>
      <c r="R47" s="44">
        <v>451826</v>
      </c>
      <c r="S47" s="162">
        <f t="shared" si="25"/>
        <v>8.0922432661051005E-3</v>
      </c>
      <c r="T47" s="166">
        <f t="shared" si="26"/>
        <v>851692011.09827924</v>
      </c>
      <c r="U47" s="43"/>
      <c r="AA47" s="30" t="s">
        <v>146</v>
      </c>
      <c r="AB47" s="28">
        <v>699</v>
      </c>
      <c r="AC47" s="48">
        <f t="shared" si="21"/>
        <v>3.1878942111672071E-3</v>
      </c>
      <c r="AD47" s="66">
        <f t="shared" si="22"/>
        <v>2320786.985729727</v>
      </c>
      <c r="AE47" s="28"/>
      <c r="AF47" s="30" t="s">
        <v>143</v>
      </c>
      <c r="AG47" s="28">
        <v>61</v>
      </c>
      <c r="AH47" s="48">
        <f t="shared" si="27"/>
        <v>2.7819963788440575E-4</v>
      </c>
      <c r="AI47" s="65">
        <f t="shared" si="28"/>
        <v>2146173.2346323538</v>
      </c>
      <c r="AJ47" s="28"/>
      <c r="AK47" s="29"/>
    </row>
    <row r="48" spans="1:37">
      <c r="C48" s="2"/>
      <c r="K48" s="49" t="s">
        <v>124</v>
      </c>
      <c r="L48" s="44">
        <v>6960025</v>
      </c>
      <c r="M48" s="162">
        <f t="shared" si="23"/>
        <v>0.12465465785097171</v>
      </c>
      <c r="N48" s="163">
        <f t="shared" si="24"/>
        <v>398894905.12310946</v>
      </c>
      <c r="O48" s="164"/>
      <c r="P48" s="165"/>
      <c r="Q48" s="49" t="s">
        <v>124</v>
      </c>
      <c r="R48" s="44">
        <v>6960025</v>
      </c>
      <c r="S48" s="162">
        <f t="shared" si="25"/>
        <v>0.12465465785097171</v>
      </c>
      <c r="T48" s="166">
        <f t="shared" si="26"/>
        <v>13119647141.918129</v>
      </c>
      <c r="U48" s="43"/>
      <c r="AA48" s="30" t="s">
        <v>25</v>
      </c>
      <c r="AB48" s="28">
        <v>941</v>
      </c>
      <c r="AC48" s="48">
        <f t="shared" si="21"/>
        <v>4.2915714631020629E-3</v>
      </c>
      <c r="AD48" s="66">
        <f t="shared" si="22"/>
        <v>3124264.0251383018</v>
      </c>
      <c r="AE48" s="28"/>
      <c r="AF48" s="30" t="s">
        <v>19</v>
      </c>
      <c r="AG48" s="28">
        <v>10445</v>
      </c>
      <c r="AH48" s="48">
        <f t="shared" si="27"/>
        <v>4.7635987175452761E-2</v>
      </c>
      <c r="AI48" s="65">
        <f t="shared" si="28"/>
        <v>367488187.47106451</v>
      </c>
      <c r="AJ48" s="28"/>
      <c r="AK48" s="29"/>
    </row>
    <row r="49" spans="2:37">
      <c r="C49" s="2"/>
      <c r="K49" s="49" t="s">
        <v>111</v>
      </c>
      <c r="L49" s="44">
        <v>64790</v>
      </c>
      <c r="M49" s="162">
        <f t="shared" si="23"/>
        <v>1.1603945793534445E-3</v>
      </c>
      <c r="N49" s="163">
        <f t="shared" si="24"/>
        <v>3713262.6539310222</v>
      </c>
      <c r="O49" s="164"/>
      <c r="P49" s="165"/>
      <c r="Q49" s="49" t="s">
        <v>111</v>
      </c>
      <c r="R49" s="44">
        <v>64790</v>
      </c>
      <c r="S49" s="162">
        <f t="shared" si="25"/>
        <v>1.1603945793534445E-3</v>
      </c>
      <c r="T49" s="166">
        <f t="shared" si="26"/>
        <v>122129150.15748875</v>
      </c>
      <c r="U49" s="43"/>
      <c r="AA49" s="39" t="s">
        <v>27</v>
      </c>
      <c r="AB49" s="37">
        <f>SUM(AB28:AB48)</f>
        <v>219267</v>
      </c>
      <c r="AC49" s="37"/>
      <c r="AD49" s="42"/>
      <c r="AE49" s="28"/>
      <c r="AF49" s="30" t="s">
        <v>29</v>
      </c>
      <c r="AG49" s="28">
        <v>13351</v>
      </c>
      <c r="AH49" s="48">
        <f t="shared" si="27"/>
        <v>6.0889235498273797E-2</v>
      </c>
      <c r="AI49" s="65">
        <f t="shared" si="28"/>
        <v>469730473.04223859</v>
      </c>
      <c r="AJ49" s="28"/>
      <c r="AK49" s="29"/>
    </row>
    <row r="50" spans="2:37">
      <c r="B50" s="12"/>
      <c r="C50" s="2"/>
      <c r="K50" s="49" t="s">
        <v>125</v>
      </c>
      <c r="L50" s="44">
        <v>457755</v>
      </c>
      <c r="M50" s="162">
        <f t="shared" si="23"/>
        <v>8.1984321758286158E-3</v>
      </c>
      <c r="N50" s="163">
        <f t="shared" si="24"/>
        <v>26234982.962651569</v>
      </c>
      <c r="O50" s="164"/>
      <c r="P50" s="165"/>
      <c r="Q50" s="49" t="s">
        <v>125</v>
      </c>
      <c r="R50" s="44">
        <v>457755</v>
      </c>
      <c r="S50" s="162">
        <f t="shared" si="25"/>
        <v>8.1984321758286158E-3</v>
      </c>
      <c r="T50" s="166">
        <f t="shared" si="26"/>
        <v>862868176.11269116</v>
      </c>
      <c r="U50" s="43"/>
      <c r="AA50" s="28"/>
      <c r="AB50" s="28"/>
      <c r="AC50" s="28"/>
      <c r="AD50" s="28"/>
      <c r="AE50" s="28"/>
      <c r="AF50" s="30" t="s">
        <v>48</v>
      </c>
      <c r="AG50" s="28">
        <v>745</v>
      </c>
      <c r="AH50" s="48">
        <f t="shared" si="27"/>
        <v>3.3976841020308575E-3</v>
      </c>
      <c r="AI50" s="65">
        <f t="shared" si="28"/>
        <v>26211459.996739402</v>
      </c>
      <c r="AJ50" s="28"/>
      <c r="AK50" s="29"/>
    </row>
    <row r="51" spans="2:37">
      <c r="B51" s="1"/>
      <c r="C51" s="14"/>
      <c r="K51" s="49" t="s">
        <v>116</v>
      </c>
      <c r="L51" s="45">
        <v>967479</v>
      </c>
      <c r="M51" s="162">
        <f t="shared" si="23"/>
        <v>1.7327633697149115E-2</v>
      </c>
      <c r="N51" s="163">
        <f t="shared" si="24"/>
        <v>55448427.83087717</v>
      </c>
      <c r="O51" s="164"/>
      <c r="P51" s="165"/>
      <c r="Q51" s="49" t="s">
        <v>116</v>
      </c>
      <c r="R51" s="45">
        <v>967479</v>
      </c>
      <c r="S51" s="162">
        <f t="shared" si="25"/>
        <v>1.7327633697149115E-2</v>
      </c>
      <c r="T51" s="166">
        <f t="shared" si="26"/>
        <v>1823697917.3517063</v>
      </c>
      <c r="U51" s="43"/>
      <c r="AF51" s="30" t="s">
        <v>147</v>
      </c>
      <c r="AG51" s="28">
        <v>9939</v>
      </c>
      <c r="AH51" s="48">
        <f t="shared" si="27"/>
        <v>4.5328298375952605E-2</v>
      </c>
      <c r="AI51" s="65">
        <f t="shared" si="28"/>
        <v>349685504.57395023</v>
      </c>
      <c r="AJ51" s="28"/>
      <c r="AK51" s="29"/>
    </row>
    <row r="52" spans="2:37">
      <c r="B52" s="4"/>
      <c r="C52" s="3"/>
      <c r="K52" s="49" t="s">
        <v>133</v>
      </c>
      <c r="L52" s="44">
        <v>221299</v>
      </c>
      <c r="M52" s="162">
        <f t="shared" si="23"/>
        <v>3.963484488599134E-3</v>
      </c>
      <c r="N52" s="163">
        <f t="shared" si="24"/>
        <v>12683150.363517229</v>
      </c>
      <c r="O52" s="164"/>
      <c r="P52" s="165"/>
      <c r="Q52" s="49" t="s">
        <v>133</v>
      </c>
      <c r="R52" s="44">
        <v>221299</v>
      </c>
      <c r="S52" s="162">
        <f t="shared" si="25"/>
        <v>3.963484488599134E-3</v>
      </c>
      <c r="T52" s="166">
        <f t="shared" si="26"/>
        <v>417148615.53792405</v>
      </c>
      <c r="U52" s="43"/>
      <c r="AF52" s="30" t="s">
        <v>146</v>
      </c>
      <c r="AG52" s="28">
        <v>699</v>
      </c>
      <c r="AH52" s="48">
        <f t="shared" si="27"/>
        <v>3.1878942111672071E-3</v>
      </c>
      <c r="AI52" s="65">
        <f t="shared" si="28"/>
        <v>24593034.278819922</v>
      </c>
      <c r="AJ52" s="28"/>
      <c r="AK52" s="29"/>
    </row>
    <row r="53" spans="2:37">
      <c r="B53" s="4"/>
      <c r="C53" s="4"/>
      <c r="K53" s="49" t="s">
        <v>137</v>
      </c>
      <c r="L53" s="44">
        <v>8346</v>
      </c>
      <c r="M53" s="162">
        <f t="shared" si="23"/>
        <v>1.4947759159258909E-4</v>
      </c>
      <c r="N53" s="163">
        <f t="shared" si="24"/>
        <v>478328.29309628508</v>
      </c>
      <c r="O53" s="164"/>
      <c r="P53" s="165"/>
      <c r="Q53" s="49" t="s">
        <v>137</v>
      </c>
      <c r="R53" s="44">
        <v>8346</v>
      </c>
      <c r="S53" s="162">
        <f t="shared" si="25"/>
        <v>1.4947759159258909E-4</v>
      </c>
      <c r="T53" s="166">
        <f t="shared" si="26"/>
        <v>15732210.020287097</v>
      </c>
      <c r="U53" s="43"/>
      <c r="AF53" s="30" t="s">
        <v>25</v>
      </c>
      <c r="AG53" s="28">
        <v>941</v>
      </c>
      <c r="AH53" s="48">
        <f t="shared" si="27"/>
        <v>4.2915714631020629E-3</v>
      </c>
      <c r="AI53" s="65">
        <f t="shared" si="28"/>
        <v>33107360.88178762</v>
      </c>
      <c r="AJ53" s="28"/>
      <c r="AK53" s="29"/>
    </row>
    <row r="54" spans="2:37">
      <c r="C54" s="2"/>
      <c r="K54" s="49" t="s">
        <v>135</v>
      </c>
      <c r="L54" s="44">
        <v>127058</v>
      </c>
      <c r="M54" s="162">
        <f t="shared" si="23"/>
        <v>2.275619917633739E-3</v>
      </c>
      <c r="N54" s="163">
        <f t="shared" si="24"/>
        <v>7281983.7364279646</v>
      </c>
      <c r="O54" s="164"/>
      <c r="P54" s="165"/>
      <c r="Q54" s="49" t="s">
        <v>135</v>
      </c>
      <c r="R54" s="44">
        <v>127058</v>
      </c>
      <c r="S54" s="162">
        <f t="shared" si="25"/>
        <v>2.275619917633739E-3</v>
      </c>
      <c r="T54" s="166">
        <f t="shared" si="26"/>
        <v>239504330.3088471</v>
      </c>
      <c r="U54" s="43"/>
      <c r="AF54" s="30" t="s">
        <v>27</v>
      </c>
      <c r="AG54" s="28">
        <f>SUM(AG33:AG53)</f>
        <v>219267</v>
      </c>
      <c r="AH54" s="28"/>
      <c r="AI54" s="28"/>
      <c r="AJ54" s="28"/>
      <c r="AK54" s="29"/>
    </row>
    <row r="55" spans="2:37">
      <c r="B55" s="1"/>
      <c r="C55" s="2"/>
      <c r="K55" s="49" t="s">
        <v>126</v>
      </c>
      <c r="L55" s="44">
        <v>95504</v>
      </c>
      <c r="M55" s="162">
        <f t="shared" si="23"/>
        <v>1.7104850116772862E-3</v>
      </c>
      <c r="N55" s="163">
        <f t="shared" si="24"/>
        <v>5473552.037367316</v>
      </c>
      <c r="O55" s="164"/>
      <c r="P55" s="165"/>
      <c r="Q55" s="49" t="s">
        <v>126</v>
      </c>
      <c r="R55" s="44">
        <v>95504</v>
      </c>
      <c r="S55" s="162">
        <f t="shared" si="25"/>
        <v>1.7104850116772862E-3</v>
      </c>
      <c r="T55" s="166">
        <f t="shared" si="26"/>
        <v>180025040.23214704</v>
      </c>
      <c r="U55" s="43"/>
      <c r="AF55" s="30"/>
      <c r="AG55" s="28"/>
      <c r="AH55" s="28"/>
      <c r="AI55" s="28"/>
      <c r="AJ55" s="28"/>
      <c r="AK55" s="29"/>
    </row>
    <row r="56" spans="2:37" ht="32">
      <c r="C56" s="3"/>
      <c r="D56" s="4"/>
      <c r="K56" s="49" t="s">
        <v>127</v>
      </c>
      <c r="L56" s="44">
        <v>37141</v>
      </c>
      <c r="M56" s="162">
        <f t="shared" si="23"/>
        <v>6.6519856570097671E-4</v>
      </c>
      <c r="N56" s="163">
        <f t="shared" si="24"/>
        <v>2128635.4102431256</v>
      </c>
      <c r="O56" s="164"/>
      <c r="P56" s="165"/>
      <c r="Q56" s="49" t="s">
        <v>127</v>
      </c>
      <c r="R56" s="44">
        <v>37141</v>
      </c>
      <c r="S56" s="162">
        <f t="shared" si="25"/>
        <v>6.6519856570097671E-4</v>
      </c>
      <c r="T56" s="166">
        <f t="shared" si="26"/>
        <v>70010785.090280741</v>
      </c>
      <c r="U56" s="28"/>
      <c r="AF56" s="30" t="s">
        <v>157</v>
      </c>
      <c r="AG56" s="32" t="s">
        <v>158</v>
      </c>
      <c r="AH56" s="32" t="s">
        <v>159</v>
      </c>
      <c r="AI56" s="32" t="s">
        <v>160</v>
      </c>
      <c r="AJ56" s="28"/>
      <c r="AK56" s="29"/>
    </row>
    <row r="57" spans="2:37">
      <c r="B57" s="2"/>
      <c r="C57" s="3"/>
      <c r="D57" s="4"/>
      <c r="K57" s="49" t="s">
        <v>103</v>
      </c>
      <c r="L57" s="44">
        <v>278900</v>
      </c>
      <c r="M57" s="162">
        <f t="shared" si="23"/>
        <v>4.995123447780146E-3</v>
      </c>
      <c r="N57" s="163">
        <f t="shared" si="24"/>
        <v>15984395.032896467</v>
      </c>
      <c r="O57" s="164"/>
      <c r="P57" s="165"/>
      <c r="Q57" s="49" t="s">
        <v>103</v>
      </c>
      <c r="R57" s="44">
        <v>278900</v>
      </c>
      <c r="S57" s="162">
        <f t="shared" si="25"/>
        <v>4.995123447780146E-3</v>
      </c>
      <c r="T57" s="166">
        <f t="shared" si="26"/>
        <v>525726500.6779381</v>
      </c>
      <c r="U57" s="28"/>
      <c r="AF57" s="30" t="s">
        <v>164</v>
      </c>
      <c r="AG57" s="26">
        <v>4730</v>
      </c>
      <c r="AH57" s="48">
        <f t="shared" ref="AH57:AH81" si="29">AG57/$AG$82</f>
        <v>1.0845086762986933E-3</v>
      </c>
      <c r="AI57" s="65">
        <f t="shared" ref="AI57:AI81" si="30">$AG$11*AH57</f>
        <v>183878032.51838788</v>
      </c>
      <c r="AJ57" s="28"/>
      <c r="AK57" s="29"/>
    </row>
    <row r="58" spans="2:37">
      <c r="B58" s="2"/>
      <c r="C58" s="3"/>
      <c r="D58" s="4"/>
      <c r="K58" s="49" t="s">
        <v>98</v>
      </c>
      <c r="L58" s="44">
        <v>211281</v>
      </c>
      <c r="M58" s="162">
        <f t="shared" si="23"/>
        <v>3.7840612304425856E-3</v>
      </c>
      <c r="N58" s="163">
        <f t="shared" si="24"/>
        <v>12108995.937416274</v>
      </c>
      <c r="O58" s="164"/>
      <c r="P58" s="165"/>
      <c r="Q58" s="49" t="s">
        <v>98</v>
      </c>
      <c r="R58" s="44">
        <v>211281</v>
      </c>
      <c r="S58" s="162">
        <f t="shared" si="25"/>
        <v>3.7840612304425856E-3</v>
      </c>
      <c r="T58" s="166">
        <f t="shared" si="26"/>
        <v>398264685.51357281</v>
      </c>
      <c r="U58" s="28"/>
      <c r="AF58" s="30" t="s">
        <v>144</v>
      </c>
      <c r="AG58" s="26">
        <v>8629</v>
      </c>
      <c r="AH58" s="48">
        <f t="shared" si="29"/>
        <v>1.9784831644358192E-3</v>
      </c>
      <c r="AI58" s="65">
        <f t="shared" si="30"/>
        <v>335451066.08904207</v>
      </c>
      <c r="AJ58" s="28"/>
      <c r="AK58" s="29"/>
    </row>
    <row r="59" spans="2:37">
      <c r="B59" s="2"/>
      <c r="C59" s="3"/>
      <c r="D59" s="4"/>
      <c r="K59" s="49" t="s">
        <v>104</v>
      </c>
      <c r="L59" s="44">
        <v>438107</v>
      </c>
      <c r="M59" s="162">
        <f t="shared" si="23"/>
        <v>7.8465347735267709E-3</v>
      </c>
      <c r="N59" s="163">
        <f t="shared" si="24"/>
        <v>25108911.275285669</v>
      </c>
      <c r="O59" s="164"/>
      <c r="P59" s="165"/>
      <c r="Q59" s="49" t="s">
        <v>104</v>
      </c>
      <c r="R59" s="44">
        <v>438107</v>
      </c>
      <c r="S59" s="162">
        <f t="shared" si="25"/>
        <v>7.8465347735267709E-3</v>
      </c>
      <c r="T59" s="166">
        <f t="shared" si="26"/>
        <v>825831696.06493163</v>
      </c>
      <c r="U59" s="28"/>
      <c r="AF59" s="30" t="s">
        <v>141</v>
      </c>
      <c r="AG59" s="26">
        <v>30070</v>
      </c>
      <c r="AH59" s="48">
        <f t="shared" si="29"/>
        <v>6.8945403586261542E-3</v>
      </c>
      <c r="AI59" s="65">
        <f t="shared" si="30"/>
        <v>1168966688.7585464</v>
      </c>
      <c r="AJ59" s="28"/>
      <c r="AK59" s="29"/>
    </row>
    <row r="60" spans="2:37">
      <c r="B60" s="2"/>
      <c r="C60" s="3"/>
      <c r="D60" s="4"/>
      <c r="K60" s="49" t="s">
        <v>108</v>
      </c>
      <c r="L60" s="44">
        <v>1260517</v>
      </c>
      <c r="M60" s="162">
        <f t="shared" si="23"/>
        <v>2.2575969964236237E-2</v>
      </c>
      <c r="N60" s="163">
        <f t="shared" si="24"/>
        <v>72243103.885555953</v>
      </c>
      <c r="O60" s="164"/>
      <c r="P60" s="165"/>
      <c r="Q60" s="49" t="s">
        <v>108</v>
      </c>
      <c r="R60" s="44">
        <v>1260517</v>
      </c>
      <c r="S60" s="162">
        <f t="shared" si="25"/>
        <v>2.2575969964236237E-2</v>
      </c>
      <c r="T60" s="166">
        <f t="shared" si="26"/>
        <v>2376074548.0640106</v>
      </c>
      <c r="U60" s="28"/>
      <c r="AF60" s="30" t="s">
        <v>148</v>
      </c>
      <c r="AG60" s="26">
        <v>90936</v>
      </c>
      <c r="AH60" s="48">
        <f t="shared" si="29"/>
        <v>2.0850080547124311E-2</v>
      </c>
      <c r="AI60" s="65">
        <f t="shared" si="30"/>
        <v>3535123206.1505547</v>
      </c>
      <c r="AJ60" s="28"/>
      <c r="AK60" s="29"/>
    </row>
    <row r="61" spans="2:37">
      <c r="B61" s="2"/>
      <c r="C61" s="3"/>
      <c r="D61" s="4"/>
      <c r="K61" s="49" t="s">
        <v>107</v>
      </c>
      <c r="L61" s="44">
        <v>23272</v>
      </c>
      <c r="M61" s="162">
        <f t="shared" si="23"/>
        <v>4.1680355997396757E-4</v>
      </c>
      <c r="N61" s="163">
        <f t="shared" si="24"/>
        <v>1333771.3919166962</v>
      </c>
      <c r="O61" s="164"/>
      <c r="P61" s="165"/>
      <c r="Q61" s="49" t="s">
        <v>107</v>
      </c>
      <c r="R61" s="44">
        <v>23272</v>
      </c>
      <c r="S61" s="162">
        <f t="shared" si="25"/>
        <v>4.1680355997396757E-4</v>
      </c>
      <c r="T61" s="166">
        <f t="shared" si="26"/>
        <v>43867720.05656857</v>
      </c>
      <c r="U61" s="28"/>
      <c r="AF61" s="30" t="s">
        <v>88</v>
      </c>
      <c r="AG61" s="26">
        <v>14719</v>
      </c>
      <c r="AH61" s="48">
        <f t="shared" si="29"/>
        <v>3.3748167455476675E-3</v>
      </c>
      <c r="AI61" s="65">
        <f t="shared" si="30"/>
        <v>572198892.3125056</v>
      </c>
      <c r="AJ61" s="28"/>
      <c r="AK61" s="29"/>
    </row>
    <row r="62" spans="2:37">
      <c r="B62" s="2"/>
      <c r="C62" s="3"/>
      <c r="D62" s="4"/>
      <c r="K62" s="49" t="s">
        <v>105</v>
      </c>
      <c r="L62" s="44">
        <v>985000</v>
      </c>
      <c r="M62" s="162">
        <f t="shared" si="23"/>
        <v>1.7641436343002668E-2</v>
      </c>
      <c r="N62" s="163">
        <f t="shared" si="24"/>
        <v>56452596.297608539</v>
      </c>
      <c r="O62" s="164"/>
      <c r="P62" s="165"/>
      <c r="Q62" s="49" t="s">
        <v>105</v>
      </c>
      <c r="R62" s="44">
        <v>985000</v>
      </c>
      <c r="S62" s="162">
        <f t="shared" si="25"/>
        <v>1.7641436343002668E-2</v>
      </c>
      <c r="T62" s="166">
        <f t="shared" si="26"/>
        <v>1856725002.3942957</v>
      </c>
      <c r="U62" s="28"/>
      <c r="AF62" s="30" t="s">
        <v>17</v>
      </c>
      <c r="AG62" s="26">
        <v>2976459</v>
      </c>
      <c r="AH62" s="48">
        <f t="shared" si="29"/>
        <v>0.68245150320239589</v>
      </c>
      <c r="AI62" s="65">
        <f t="shared" si="30"/>
        <v>115709392133.54086</v>
      </c>
      <c r="AJ62" s="28"/>
      <c r="AK62" s="29"/>
    </row>
    <row r="63" spans="2:37">
      <c r="B63" s="2"/>
      <c r="C63" s="3"/>
      <c r="D63" s="4"/>
      <c r="K63" s="49" t="s">
        <v>106</v>
      </c>
      <c r="L63" s="44">
        <v>141714</v>
      </c>
      <c r="M63" s="162">
        <f t="shared" si="23"/>
        <v>2.5381101623474923E-3</v>
      </c>
      <c r="N63" s="163">
        <f t="shared" si="24"/>
        <v>8121952.5195119753</v>
      </c>
      <c r="O63" s="164"/>
      <c r="P63" s="165"/>
      <c r="Q63" s="49" t="s">
        <v>106</v>
      </c>
      <c r="R63" s="44">
        <v>141714</v>
      </c>
      <c r="S63" s="162">
        <f t="shared" si="25"/>
        <v>2.5381101623474923E-3</v>
      </c>
      <c r="T63" s="166">
        <f t="shared" si="26"/>
        <v>267130890.34447229</v>
      </c>
      <c r="U63" s="28"/>
      <c r="AF63" s="30" t="s">
        <v>22</v>
      </c>
      <c r="AG63" s="26">
        <v>1180</v>
      </c>
      <c r="AH63" s="48">
        <f t="shared" si="29"/>
        <v>2.7055396152906094E-4</v>
      </c>
      <c r="AI63" s="65">
        <f t="shared" si="30"/>
        <v>45872321.008815587</v>
      </c>
      <c r="AJ63" s="28"/>
      <c r="AK63" s="29"/>
    </row>
    <row r="64" spans="2:37">
      <c r="B64" s="2"/>
      <c r="C64" s="3"/>
      <c r="D64" s="4"/>
      <c r="K64" s="49" t="s">
        <v>134</v>
      </c>
      <c r="L64" s="44">
        <v>238216</v>
      </c>
      <c r="M64" s="162">
        <f t="shared" si="23"/>
        <v>4.2664694415073335E-3</v>
      </c>
      <c r="N64" s="163">
        <f t="shared" si="24"/>
        <v>13652702.212823467</v>
      </c>
      <c r="O64" s="164"/>
      <c r="P64" s="165"/>
      <c r="Q64" s="49" t="s">
        <v>134</v>
      </c>
      <c r="R64" s="44">
        <v>238216</v>
      </c>
      <c r="S64" s="162">
        <f t="shared" si="25"/>
        <v>4.2664694415073335E-3</v>
      </c>
      <c r="T64" s="166">
        <f t="shared" si="26"/>
        <v>449037160.57904518</v>
      </c>
      <c r="U64" s="28"/>
      <c r="AF64" s="30" t="s">
        <v>47</v>
      </c>
      <c r="AG64" s="26">
        <v>123621</v>
      </c>
      <c r="AH64" s="48">
        <f t="shared" si="29"/>
        <v>2.8344195998461053E-2</v>
      </c>
      <c r="AI64" s="65">
        <f t="shared" si="30"/>
        <v>4805747623.2464333</v>
      </c>
      <c r="AJ64" s="28"/>
      <c r="AK64" s="29"/>
    </row>
    <row r="65" spans="1:49">
      <c r="K65" s="49" t="s">
        <v>128</v>
      </c>
      <c r="L65" s="44">
        <v>3211706</v>
      </c>
      <c r="M65" s="162">
        <f t="shared" si="23"/>
        <v>5.7521935991309364E-2</v>
      </c>
      <c r="N65" s="163">
        <f t="shared" si="24"/>
        <v>184070195.17218995</v>
      </c>
      <c r="O65" s="164"/>
      <c r="P65" s="165"/>
      <c r="Q65" s="49" t="s">
        <v>128</v>
      </c>
      <c r="R65" s="44">
        <v>3211706</v>
      </c>
      <c r="S65" s="162">
        <f t="shared" si="25"/>
        <v>5.7521935991309364E-2</v>
      </c>
      <c r="T65" s="166">
        <f t="shared" si="26"/>
        <v>6054065817.8068762</v>
      </c>
      <c r="U65" s="28"/>
      <c r="AF65" s="30" t="s">
        <v>149</v>
      </c>
      <c r="AG65" s="26">
        <v>53219</v>
      </c>
      <c r="AH65" s="48">
        <f t="shared" si="29"/>
        <v>1.2202212947978894E-2</v>
      </c>
      <c r="AI65" s="65">
        <f t="shared" si="30"/>
        <v>2068880552.3458955</v>
      </c>
      <c r="AJ65" s="28"/>
      <c r="AK65" s="29"/>
    </row>
    <row r="66" spans="1:49">
      <c r="K66" s="49" t="s">
        <v>99</v>
      </c>
      <c r="L66" s="44">
        <v>1800664</v>
      </c>
      <c r="M66" s="162">
        <f t="shared" si="23"/>
        <v>3.2250050082372139E-2</v>
      </c>
      <c r="N66" s="163">
        <f t="shared" si="24"/>
        <v>103200160.26359084</v>
      </c>
      <c r="O66" s="164"/>
      <c r="P66" s="165"/>
      <c r="Q66" s="49" t="s">
        <v>99</v>
      </c>
      <c r="R66" s="44">
        <v>1800664</v>
      </c>
      <c r="S66" s="162">
        <f t="shared" si="25"/>
        <v>3.2250050082372139E-2</v>
      </c>
      <c r="T66" s="166">
        <f t="shared" si="26"/>
        <v>3394251644.376977</v>
      </c>
      <c r="U66" s="28"/>
      <c r="AF66" s="30" t="s">
        <v>150</v>
      </c>
      <c r="AG66" s="26">
        <v>10301</v>
      </c>
      <c r="AH66" s="48">
        <f t="shared" si="29"/>
        <v>2.361844370941404E-3</v>
      </c>
      <c r="AI66" s="65">
        <f t="shared" si="30"/>
        <v>400449812.46763504</v>
      </c>
      <c r="AJ66" s="28"/>
      <c r="AK66" s="29"/>
    </row>
    <row r="67" spans="1:49">
      <c r="K67" s="49" t="s">
        <v>136</v>
      </c>
      <c r="L67" s="44">
        <v>249000</v>
      </c>
      <c r="M67" s="162">
        <f t="shared" si="23"/>
        <v>4.4596118268098112E-3</v>
      </c>
      <c r="N67" s="163">
        <f t="shared" si="24"/>
        <v>14270757.845791396</v>
      </c>
      <c r="O67" s="164"/>
      <c r="P67" s="165"/>
      <c r="Q67" s="49" t="s">
        <v>136</v>
      </c>
      <c r="R67" s="44">
        <v>249000</v>
      </c>
      <c r="S67" s="162">
        <f t="shared" si="25"/>
        <v>4.4596118268098112E-3</v>
      </c>
      <c r="T67" s="166">
        <f t="shared" si="26"/>
        <v>469365000.60525846</v>
      </c>
      <c r="U67" s="28"/>
      <c r="AF67" s="30" t="s">
        <v>142</v>
      </c>
      <c r="AG67" s="26">
        <v>47937</v>
      </c>
      <c r="AH67" s="48">
        <f t="shared" si="29"/>
        <v>1.0991140045608978E-2</v>
      </c>
      <c r="AI67" s="65">
        <f t="shared" si="30"/>
        <v>1863543603.5589769</v>
      </c>
      <c r="AJ67" s="28"/>
      <c r="AK67" s="29"/>
    </row>
    <row r="68" spans="1:49">
      <c r="K68" s="49" t="s">
        <v>129</v>
      </c>
      <c r="L68" s="44">
        <v>180967</v>
      </c>
      <c r="M68" s="162">
        <f t="shared" si="23"/>
        <v>3.2411348331818921E-3</v>
      </c>
      <c r="N68" s="163">
        <f t="shared" si="24"/>
        <v>10371631.466182055</v>
      </c>
      <c r="O68" s="164"/>
      <c r="P68" s="165"/>
      <c r="Q68" s="49" t="s">
        <v>129</v>
      </c>
      <c r="R68" s="44">
        <v>180967</v>
      </c>
      <c r="S68" s="162">
        <f t="shared" si="25"/>
        <v>3.2411348331818921E-3</v>
      </c>
      <c r="T68" s="166">
        <f t="shared" si="26"/>
        <v>341122795.43988681</v>
      </c>
      <c r="U68" s="28"/>
      <c r="AF68" s="30" t="s">
        <v>18</v>
      </c>
      <c r="AG68" s="26">
        <v>405451</v>
      </c>
      <c r="AH68" s="48">
        <f t="shared" si="29"/>
        <v>9.296302903044007E-2</v>
      </c>
      <c r="AI68" s="65">
        <f t="shared" si="30"/>
        <v>15761846123.173973</v>
      </c>
      <c r="AJ68" s="28"/>
      <c r="AK68" s="29"/>
    </row>
    <row r="69" spans="1:49">
      <c r="A69" s="19"/>
      <c r="K69" s="49" t="s">
        <v>130</v>
      </c>
      <c r="L69" s="44">
        <v>537633</v>
      </c>
      <c r="M69" s="162">
        <f t="shared" si="23"/>
        <v>9.6290541577640134E-3</v>
      </c>
      <c r="N69" s="163">
        <f t="shared" si="24"/>
        <v>30812973.304844841</v>
      </c>
      <c r="O69" s="164"/>
      <c r="P69" s="165"/>
      <c r="Q69" s="49" t="s">
        <v>130</v>
      </c>
      <c r="R69" s="44">
        <v>537633</v>
      </c>
      <c r="S69" s="162">
        <f t="shared" si="25"/>
        <v>9.6290541577640134E-3</v>
      </c>
      <c r="T69" s="166">
        <f t="shared" si="26"/>
        <v>1013438206.3068552</v>
      </c>
      <c r="U69" s="28"/>
      <c r="AF69" s="30" t="s">
        <v>145</v>
      </c>
      <c r="AG69" s="26">
        <v>8240</v>
      </c>
      <c r="AH69" s="48">
        <f t="shared" si="29"/>
        <v>1.8892920703385272E-3</v>
      </c>
      <c r="AI69" s="65">
        <f t="shared" si="30"/>
        <v>320328750.09545797</v>
      </c>
      <c r="AJ69" s="28"/>
      <c r="AK69" s="29"/>
    </row>
    <row r="70" spans="1:49">
      <c r="K70" s="49" t="s">
        <v>114</v>
      </c>
      <c r="L70" s="44">
        <v>855043</v>
      </c>
      <c r="M70" s="162">
        <f t="shared" si="23"/>
        <v>1.5313895081248762E-2</v>
      </c>
      <c r="N70" s="163">
        <f t="shared" si="24"/>
        <v>49004464.259996042</v>
      </c>
      <c r="O70" s="164"/>
      <c r="P70" s="165"/>
      <c r="Q70" s="49" t="s">
        <v>114</v>
      </c>
      <c r="R70" s="44">
        <v>855043</v>
      </c>
      <c r="S70" s="162">
        <f t="shared" si="25"/>
        <v>1.5313895081248762E-2</v>
      </c>
      <c r="T70" s="166">
        <f t="shared" si="26"/>
        <v>1611756057.0784018</v>
      </c>
      <c r="U70" s="28"/>
      <c r="AF70" s="30" t="s">
        <v>163</v>
      </c>
      <c r="AG70" s="26">
        <v>133314</v>
      </c>
      <c r="AH70" s="48">
        <f t="shared" si="29"/>
        <v>3.0566636294309515E-2</v>
      </c>
      <c r="AI70" s="65">
        <f t="shared" si="30"/>
        <v>5182561527.9400349</v>
      </c>
      <c r="AJ70" s="28"/>
      <c r="AK70" s="29"/>
    </row>
    <row r="71" spans="1:49">
      <c r="K71" s="49" t="s">
        <v>112</v>
      </c>
      <c r="L71" s="44">
        <v>4202</v>
      </c>
      <c r="M71" s="162">
        <f t="shared" si="23"/>
        <v>7.5258188338372801E-5</v>
      </c>
      <c r="N71" s="163">
        <f t="shared" si="24"/>
        <v>240826.20268279297</v>
      </c>
      <c r="O71" s="164"/>
      <c r="P71" s="165"/>
      <c r="Q71" s="49" t="s">
        <v>112</v>
      </c>
      <c r="R71" s="44">
        <v>4202</v>
      </c>
      <c r="S71" s="162">
        <f t="shared" si="25"/>
        <v>7.5258188338372801E-5</v>
      </c>
      <c r="T71" s="166">
        <f t="shared" si="26"/>
        <v>7920770.010214041</v>
      </c>
      <c r="U71" s="28"/>
      <c r="AF71" s="30" t="s">
        <v>151</v>
      </c>
      <c r="AG71" s="26">
        <v>2755</v>
      </c>
      <c r="AH71" s="48">
        <f t="shared" si="29"/>
        <v>6.3167471526488382E-4</v>
      </c>
      <c r="AI71" s="65">
        <f t="shared" si="30"/>
        <v>107100207.10109062</v>
      </c>
      <c r="AJ71" s="28"/>
      <c r="AK71" s="29"/>
    </row>
    <row r="72" spans="1:49">
      <c r="K72" s="49" t="s">
        <v>100</v>
      </c>
      <c r="L72" s="44">
        <v>920928</v>
      </c>
      <c r="M72" s="162">
        <f t="shared" si="23"/>
        <v>1.6493901206587575E-2</v>
      </c>
      <c r="N72" s="163">
        <f t="shared" si="24"/>
        <v>52780483.861080244</v>
      </c>
      <c r="O72" s="164"/>
      <c r="P72" s="165"/>
      <c r="Q72" s="49" t="s">
        <v>100</v>
      </c>
      <c r="R72" s="44">
        <v>920928</v>
      </c>
      <c r="S72" s="162">
        <f t="shared" si="25"/>
        <v>1.6493901206587575E-2</v>
      </c>
      <c r="T72" s="166">
        <f t="shared" si="26"/>
        <v>1735949282.2385523</v>
      </c>
      <c r="U72" s="28"/>
      <c r="AF72" s="30" t="s">
        <v>143</v>
      </c>
      <c r="AG72" s="26">
        <v>3039</v>
      </c>
      <c r="AH72" s="48">
        <f t="shared" si="29"/>
        <v>6.9679109244645434E-4</v>
      </c>
      <c r="AI72" s="65">
        <f t="shared" si="30"/>
        <v>118140664.0218564</v>
      </c>
      <c r="AJ72" s="28"/>
      <c r="AK72" s="29"/>
      <c r="AW72" s="11"/>
    </row>
    <row r="73" spans="1:49">
      <c r="K73" s="49" t="s">
        <v>20</v>
      </c>
      <c r="L73" s="45">
        <v>1926795</v>
      </c>
      <c r="M73" s="162">
        <f t="shared" si="23"/>
        <v>3.4509067348747029E-2</v>
      </c>
      <c r="N73" s="163">
        <f t="shared" si="24"/>
        <v>110429015.5159905</v>
      </c>
      <c r="O73" s="164"/>
      <c r="P73" s="165"/>
      <c r="Q73" s="49" t="s">
        <v>20</v>
      </c>
      <c r="R73" s="45">
        <v>1926795</v>
      </c>
      <c r="S73" s="162">
        <f t="shared" si="25"/>
        <v>3.4509067348747029E-2</v>
      </c>
      <c r="T73" s="166">
        <f t="shared" si="26"/>
        <v>3632008579.6835704</v>
      </c>
      <c r="U73" s="28"/>
      <c r="AF73" s="30" t="s">
        <v>19</v>
      </c>
      <c r="AG73" s="26">
        <v>55583</v>
      </c>
      <c r="AH73" s="48">
        <f t="shared" si="29"/>
        <v>1.2744238003109995E-2</v>
      </c>
      <c r="AI73" s="65">
        <f t="shared" si="30"/>
        <v>2160780693.7567768</v>
      </c>
      <c r="AJ73" s="28"/>
      <c r="AK73" s="29"/>
      <c r="AW73" s="11"/>
    </row>
    <row r="74" spans="1:49">
      <c r="K74" s="50" t="s">
        <v>113</v>
      </c>
      <c r="L74" s="44">
        <v>280080</v>
      </c>
      <c r="M74" s="162">
        <f t="shared" si="23"/>
        <v>5.0162573512164341E-3</v>
      </c>
      <c r="N74" s="163">
        <f t="shared" si="24"/>
        <v>16052023.523892589</v>
      </c>
      <c r="O74" s="164"/>
      <c r="P74" s="165"/>
      <c r="Q74" s="50" t="s">
        <v>113</v>
      </c>
      <c r="R74" s="44">
        <v>280080</v>
      </c>
      <c r="S74" s="162">
        <f t="shared" si="25"/>
        <v>5.0162573512164341E-3</v>
      </c>
      <c r="T74" s="166">
        <f t="shared" si="26"/>
        <v>527950800.68080646</v>
      </c>
      <c r="U74" s="28"/>
      <c r="AF74" s="30" t="s">
        <v>29</v>
      </c>
      <c r="AG74" s="26">
        <v>52279</v>
      </c>
      <c r="AH74" s="48">
        <f t="shared" si="29"/>
        <v>1.1986686910828624E-2</v>
      </c>
      <c r="AI74" s="65">
        <f t="shared" si="30"/>
        <v>2032338194.9320931</v>
      </c>
      <c r="AJ74" s="28"/>
      <c r="AK74" s="29"/>
      <c r="AW74" s="11"/>
    </row>
    <row r="75" spans="1:49">
      <c r="K75" s="49" t="s">
        <v>256</v>
      </c>
      <c r="L75" s="44">
        <v>125235</v>
      </c>
      <c r="M75" s="162">
        <f t="shared" si="23"/>
        <v>2.2429698278334407E-3</v>
      </c>
      <c r="N75" s="163">
        <f t="shared" si="24"/>
        <v>7177503.4490670105</v>
      </c>
      <c r="O75" s="164"/>
      <c r="P75" s="165"/>
      <c r="Q75" s="49" t="s">
        <v>256</v>
      </c>
      <c r="R75" s="44">
        <v>125235</v>
      </c>
      <c r="S75" s="162">
        <f t="shared" si="25"/>
        <v>2.2429698278334407E-3</v>
      </c>
      <c r="T75" s="166">
        <f t="shared" si="26"/>
        <v>236067975.30441585</v>
      </c>
      <c r="U75" s="28"/>
      <c r="AF75" s="30" t="s">
        <v>162</v>
      </c>
      <c r="AG75" s="26">
        <v>10</v>
      </c>
      <c r="AH75" s="48">
        <f t="shared" si="29"/>
        <v>2.2928301824496689E-6</v>
      </c>
      <c r="AI75" s="65">
        <f t="shared" si="30"/>
        <v>388748.48312555579</v>
      </c>
      <c r="AJ75" s="28"/>
      <c r="AK75" s="29"/>
      <c r="AW75" s="11"/>
    </row>
    <row r="76" spans="1:49">
      <c r="K76" s="51" t="s">
        <v>27</v>
      </c>
      <c r="L76" s="167">
        <f>SUM(L28:L75)</f>
        <v>55834455.928000003</v>
      </c>
      <c r="M76" s="132"/>
      <c r="N76" s="132"/>
      <c r="O76" s="168"/>
      <c r="P76" s="165"/>
      <c r="Q76" s="51" t="s">
        <v>27</v>
      </c>
      <c r="R76" s="167">
        <f>SUM(R28:R75)</f>
        <v>55834455.928000003</v>
      </c>
      <c r="S76" s="132"/>
      <c r="T76" s="168"/>
      <c r="U76" s="28"/>
      <c r="AF76" s="30" t="s">
        <v>48</v>
      </c>
      <c r="AG76" s="26">
        <v>22567</v>
      </c>
      <c r="AH76" s="48">
        <f t="shared" si="29"/>
        <v>5.1742298727341677E-3</v>
      </c>
      <c r="AI76" s="65">
        <f t="shared" si="30"/>
        <v>877288701.86944175</v>
      </c>
      <c r="AJ76" s="28"/>
      <c r="AK76" s="29"/>
    </row>
    <row r="77" spans="1:49">
      <c r="K77" s="165"/>
      <c r="L77" s="165"/>
      <c r="M77" s="165"/>
      <c r="N77" s="165"/>
      <c r="O77" s="165"/>
      <c r="P77" s="165"/>
      <c r="Q77" s="165"/>
      <c r="R77" s="165"/>
      <c r="S77" s="165"/>
      <c r="T77" s="165"/>
      <c r="AF77" s="30" t="s">
        <v>161</v>
      </c>
      <c r="AG77" s="26">
        <v>36905</v>
      </c>
      <c r="AH77" s="48">
        <f t="shared" si="29"/>
        <v>8.461689788330503E-3</v>
      </c>
      <c r="AI77" s="65">
        <f t="shared" si="30"/>
        <v>1434676276.9748638</v>
      </c>
      <c r="AJ77" s="28"/>
      <c r="AK77" s="29"/>
    </row>
    <row r="78" spans="1:49">
      <c r="AF78" s="30" t="s">
        <v>165</v>
      </c>
      <c r="AG78" s="26">
        <v>7286</v>
      </c>
      <c r="AH78" s="48">
        <f t="shared" si="29"/>
        <v>1.6705560709328287E-3</v>
      </c>
      <c r="AI78" s="65">
        <f t="shared" si="30"/>
        <v>283242144.80527997</v>
      </c>
      <c r="AJ78" s="28"/>
      <c r="AK78" s="29"/>
    </row>
    <row r="79" spans="1:49">
      <c r="A79" s="20" t="s">
        <v>85</v>
      </c>
      <c r="AF79" s="30" t="s">
        <v>147</v>
      </c>
      <c r="AG79" s="26">
        <v>23250</v>
      </c>
      <c r="AH79" s="48">
        <f t="shared" si="29"/>
        <v>5.33083017419548E-3</v>
      </c>
      <c r="AI79" s="65">
        <f t="shared" si="30"/>
        <v>903840223.26691723</v>
      </c>
      <c r="AJ79" s="28"/>
      <c r="AK79" s="29"/>
    </row>
    <row r="80" spans="1:49">
      <c r="A80" s="17" t="s">
        <v>982</v>
      </c>
      <c r="AF80" s="30" t="s">
        <v>25</v>
      </c>
      <c r="AG80" s="26">
        <v>13931</v>
      </c>
      <c r="AH80" s="48">
        <f t="shared" si="29"/>
        <v>3.1941417271706338E-3</v>
      </c>
      <c r="AI80" s="65">
        <f t="shared" si="30"/>
        <v>541565511.84221184</v>
      </c>
      <c r="AJ80" s="28"/>
      <c r="AK80" s="29"/>
    </row>
    <row r="81" spans="1:49">
      <c r="A81" s="19" t="s">
        <v>983</v>
      </c>
      <c r="AF81" s="30" t="s">
        <v>20</v>
      </c>
      <c r="AG81" s="26">
        <v>235011</v>
      </c>
      <c r="AH81" s="48">
        <f t="shared" si="29"/>
        <v>5.3884031400767918E-2</v>
      </c>
      <c r="AI81" s="65">
        <f t="shared" si="30"/>
        <v>9136016976.7819996</v>
      </c>
      <c r="AJ81" s="28"/>
      <c r="AK81" s="29"/>
    </row>
    <row r="82" spans="1:49">
      <c r="A82" t="s">
        <v>984</v>
      </c>
      <c r="AF82" s="39" t="s">
        <v>27</v>
      </c>
      <c r="AG82" s="36">
        <f>SUM(AG57:AG81)</f>
        <v>4361422</v>
      </c>
      <c r="AH82" s="37"/>
      <c r="AI82" s="37"/>
      <c r="AJ82" s="37"/>
      <c r="AK82" s="42"/>
    </row>
    <row r="83" spans="1:49">
      <c r="A83" t="s">
        <v>985</v>
      </c>
      <c r="AF83" s="28"/>
      <c r="AG83" s="28"/>
      <c r="AH83" s="28"/>
      <c r="AI83" s="28"/>
    </row>
    <row r="84" spans="1:49">
      <c r="A84" t="s">
        <v>986</v>
      </c>
    </row>
    <row r="85" spans="1:49">
      <c r="A85" t="s">
        <v>987</v>
      </c>
    </row>
    <row r="86" spans="1:49">
      <c r="A86" t="s">
        <v>988</v>
      </c>
    </row>
    <row r="87" spans="1:49">
      <c r="A87" t="s">
        <v>1116</v>
      </c>
    </row>
    <row r="88" spans="1:49">
      <c r="A88" t="s">
        <v>989</v>
      </c>
    </row>
    <row r="89" spans="1:49">
      <c r="A89" t="s">
        <v>990</v>
      </c>
    </row>
    <row r="90" spans="1:49">
      <c r="A90" s="95" t="s">
        <v>991</v>
      </c>
    </row>
    <row r="91" spans="1:49">
      <c r="A91" s="18" t="s">
        <v>992</v>
      </c>
    </row>
    <row r="92" spans="1:49">
      <c r="A92" t="s">
        <v>993</v>
      </c>
      <c r="AS92" s="1"/>
      <c r="AT92" s="15"/>
    </row>
    <row r="93" spans="1:49">
      <c r="A93" t="s">
        <v>994</v>
      </c>
    </row>
    <row r="94" spans="1:49">
      <c r="A94" t="s">
        <v>995</v>
      </c>
      <c r="AW94" s="93"/>
    </row>
    <row r="95" spans="1:49">
      <c r="A95" t="s">
        <v>996</v>
      </c>
      <c r="AW95" s="11"/>
    </row>
    <row r="96" spans="1:49">
      <c r="A96" t="s">
        <v>997</v>
      </c>
      <c r="AW96" s="11"/>
    </row>
    <row r="97" spans="1:49">
      <c r="A97" t="s">
        <v>998</v>
      </c>
      <c r="AW97" s="11"/>
    </row>
    <row r="98" spans="1:49">
      <c r="A98" t="s">
        <v>999</v>
      </c>
      <c r="AW98" s="11"/>
    </row>
    <row r="99" spans="1:49">
      <c r="A99" t="s">
        <v>1000</v>
      </c>
      <c r="AW99" s="11"/>
    </row>
    <row r="100" spans="1:49">
      <c r="A100" t="s">
        <v>1001</v>
      </c>
      <c r="AW100" s="11"/>
    </row>
    <row r="101" spans="1:49">
      <c r="A101" t="s">
        <v>1002</v>
      </c>
      <c r="AW101" s="11"/>
    </row>
    <row r="102" spans="1:49">
      <c r="A102" t="s">
        <v>1003</v>
      </c>
      <c r="AW102" s="11"/>
    </row>
    <row r="103" spans="1:49">
      <c r="A103" t="s">
        <v>32</v>
      </c>
      <c r="AW103" s="11"/>
    </row>
    <row r="104" spans="1:49">
      <c r="A104" t="s">
        <v>1004</v>
      </c>
      <c r="AW104" s="11"/>
    </row>
    <row r="105" spans="1:49">
      <c r="A105" t="s">
        <v>1005</v>
      </c>
      <c r="AW105" s="11"/>
    </row>
    <row r="106" spans="1:49">
      <c r="A106" t="s">
        <v>1006</v>
      </c>
      <c r="AW106" s="11"/>
    </row>
    <row r="111" spans="1:49">
      <c r="AW111" s="11"/>
    </row>
    <row r="112" spans="1:49">
      <c r="AW112" s="11"/>
    </row>
    <row r="113" spans="45:49">
      <c r="AW113" s="11"/>
    </row>
    <row r="114" spans="45:49">
      <c r="AW114" s="11"/>
    </row>
    <row r="115" spans="45:49">
      <c r="AW115" s="11"/>
    </row>
    <row r="116" spans="45:49">
      <c r="AW116" s="11"/>
    </row>
    <row r="117" spans="45:49">
      <c r="AW117" s="11"/>
    </row>
    <row r="118" spans="45:49">
      <c r="AW118" s="11"/>
    </row>
    <row r="119" spans="45:49">
      <c r="AW119" s="11"/>
    </row>
    <row r="120" spans="45:49">
      <c r="AW120" s="11"/>
    </row>
    <row r="124" spans="45:49">
      <c r="AS124" s="1"/>
      <c r="AT124" s="3"/>
      <c r="AV124" s="94"/>
      <c r="AW124" s="94"/>
    </row>
    <row r="125" spans="45:49">
      <c r="AW125" s="94"/>
    </row>
    <row r="126" spans="45:49">
      <c r="AW126" s="94"/>
    </row>
    <row r="127" spans="45:49">
      <c r="AS127" s="1"/>
      <c r="AV127" s="94"/>
      <c r="AW127" s="94"/>
    </row>
    <row r="128" spans="45:49">
      <c r="AS128" s="1"/>
      <c r="AT128" s="13"/>
    </row>
    <row r="129" spans="45:46">
      <c r="AS129" s="1"/>
      <c r="AT129" s="4"/>
    </row>
    <row r="130" spans="45:46">
      <c r="AS130" s="1"/>
      <c r="AT130" s="4"/>
    </row>
    <row r="131" spans="45:46">
      <c r="AS131" s="1"/>
      <c r="AT131" s="3"/>
    </row>
    <row r="132" spans="45:46">
      <c r="AS132" s="1"/>
      <c r="AT132" s="3"/>
    </row>
  </sheetData>
  <sortState ref="AF57:AI81">
    <sortCondition ref="AF57"/>
  </sortState>
  <mergeCells count="7">
    <mergeCell ref="A10:D10"/>
    <mergeCell ref="F10:I10"/>
    <mergeCell ref="AA26:AD26"/>
    <mergeCell ref="AF31:AI31"/>
    <mergeCell ref="K26:O26"/>
    <mergeCell ref="K11:O11"/>
    <mergeCell ref="Q26:T26"/>
  </mergeCells>
  <hyperlinks>
    <hyperlink ref="D5" r:id="rId1" display="https://www.virta.global/global-electric-vehicle-market"/>
    <hyperlink ref="I5" r:id="rId2" display="https://www.virta.global/global-electric-vehicle-market"/>
    <hyperlink ref="I6" r:id="rId3" display="https://www.cmu.edu/me/ddl/publications/2009-TRB-Shiau-Samaras-Michalek-PHEV.pdf"/>
  </hyperlinks>
  <pageMargins left="0.7" right="0.7" top="0.78740157499999996" bottom="0.78740157499999996"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46"/>
  <sheetViews>
    <sheetView zoomScale="85" zoomScaleNormal="85" workbookViewId="0">
      <selection activeCell="C273" sqref="C273:C284"/>
    </sheetView>
  </sheetViews>
  <sheetFormatPr baseColWidth="10" defaultRowHeight="16"/>
  <cols>
    <col min="1" max="1" width="24.54296875" customWidth="1"/>
    <col min="2" max="2" width="17" bestFit="1" customWidth="1"/>
    <col min="4" max="4" width="13.1796875" customWidth="1"/>
    <col min="5" max="5" width="18.81640625" customWidth="1"/>
    <col min="7" max="7" width="16.453125" customWidth="1"/>
    <col min="8" max="8" width="15.453125" bestFit="1" customWidth="1"/>
    <col min="9" max="9" width="14.453125" customWidth="1"/>
    <col min="10" max="10" width="14.7265625" customWidth="1"/>
    <col min="11" max="11" width="13.81640625" customWidth="1"/>
    <col min="12" max="12" width="15.7265625" customWidth="1"/>
    <col min="13" max="13" width="16.54296875" customWidth="1"/>
    <col min="14" max="14" width="23.1796875" customWidth="1"/>
    <col min="15" max="15" width="20.453125" bestFit="1" customWidth="1"/>
    <col min="16" max="16" width="18.26953125" customWidth="1"/>
    <col min="17" max="17" width="16.453125" customWidth="1"/>
    <col min="18" max="18" width="16.1796875" customWidth="1"/>
    <col min="19" max="19" width="15.453125" customWidth="1"/>
    <col min="20" max="20" width="16.54296875" customWidth="1"/>
    <col min="21" max="21" width="14" customWidth="1"/>
    <col min="22" max="22" width="16.453125" customWidth="1"/>
    <col min="23" max="23" width="15.1796875" customWidth="1"/>
    <col min="24" max="25" width="13.1796875" customWidth="1"/>
    <col min="26" max="26" width="14" bestFit="1" customWidth="1"/>
    <col min="27" max="27" width="14" customWidth="1"/>
    <col min="28" max="28" width="14.1796875" customWidth="1"/>
    <col min="32" max="32" width="15.81640625" bestFit="1" customWidth="1"/>
    <col min="33" max="33" width="15.453125" customWidth="1"/>
    <col min="34" max="34" width="16.1796875" customWidth="1"/>
    <col min="35" max="35" width="12.54296875" bestFit="1" customWidth="1"/>
  </cols>
  <sheetData>
    <row r="1" spans="1:27" ht="17.5">
      <c r="A1" s="21" t="s">
        <v>166</v>
      </c>
    </row>
    <row r="2" spans="1:27" ht="17.5">
      <c r="A2" s="21"/>
    </row>
    <row r="3" spans="1:27">
      <c r="A3" s="20" t="s">
        <v>313</v>
      </c>
    </row>
    <row r="4" spans="1:27" ht="48">
      <c r="A4" s="60" t="s">
        <v>0</v>
      </c>
      <c r="B4" s="23" t="s">
        <v>1</v>
      </c>
      <c r="C4" s="23" t="s">
        <v>558</v>
      </c>
      <c r="D4" s="23" t="s">
        <v>3</v>
      </c>
      <c r="E4" s="23"/>
      <c r="F4" s="61" t="s">
        <v>8</v>
      </c>
      <c r="G4" s="61" t="s">
        <v>185</v>
      </c>
      <c r="H4" s="61" t="s">
        <v>186</v>
      </c>
      <c r="I4" s="61" t="s">
        <v>187</v>
      </c>
      <c r="J4" s="61" t="s">
        <v>172</v>
      </c>
      <c r="K4" s="61" t="s">
        <v>173</v>
      </c>
      <c r="L4" s="23"/>
      <c r="M4" s="62" t="s">
        <v>9</v>
      </c>
      <c r="N4" s="62"/>
      <c r="O4" s="62"/>
      <c r="P4" s="62" t="s">
        <v>10</v>
      </c>
      <c r="Q4" s="62"/>
      <c r="R4" s="23"/>
      <c r="S4" s="155" t="s">
        <v>30</v>
      </c>
      <c r="T4" s="155"/>
      <c r="U4" s="155"/>
      <c r="V4" s="156"/>
      <c r="W4" s="71"/>
      <c r="X4" s="71"/>
      <c r="Y4" s="71"/>
      <c r="Z4" s="71"/>
      <c r="AA4" s="71"/>
    </row>
    <row r="5" spans="1:27">
      <c r="A5" s="30" t="s">
        <v>176</v>
      </c>
      <c r="B5" s="48">
        <f>'[1]Weight%'!B17</f>
        <v>0.22222222222222221</v>
      </c>
      <c r="C5" s="28" t="s">
        <v>33</v>
      </c>
      <c r="D5" s="171" t="s">
        <v>208</v>
      </c>
      <c r="E5" s="28"/>
      <c r="F5" s="28">
        <v>2009</v>
      </c>
      <c r="G5" s="28"/>
      <c r="H5" s="28"/>
      <c r="I5" s="26">
        <f>I6/data_1tier!N14</f>
        <v>5569897.6227758005</v>
      </c>
      <c r="J5" s="28"/>
      <c r="K5" s="28"/>
      <c r="L5" s="28"/>
      <c r="M5" s="6" t="s">
        <v>11</v>
      </c>
      <c r="N5" s="6"/>
      <c r="O5" s="6"/>
      <c r="P5" s="6" t="s">
        <v>12</v>
      </c>
      <c r="Q5" s="6"/>
      <c r="R5" s="28"/>
      <c r="S5" s="28"/>
      <c r="T5" s="6"/>
      <c r="U5" s="28"/>
      <c r="V5" s="72"/>
      <c r="W5" s="28"/>
      <c r="X5" s="28"/>
      <c r="Y5" s="28"/>
      <c r="Z5" s="28"/>
      <c r="AA5" s="28"/>
    </row>
    <row r="6" spans="1:27" ht="32">
      <c r="A6" s="30" t="s">
        <v>177</v>
      </c>
      <c r="B6" s="48">
        <f>'[1]Weight%'!B18</f>
        <v>8.7499999999999994E-2</v>
      </c>
      <c r="C6" s="28" t="s">
        <v>33</v>
      </c>
      <c r="D6" s="171"/>
      <c r="E6" s="28"/>
      <c r="F6" s="28">
        <v>2010</v>
      </c>
      <c r="G6" s="28"/>
      <c r="H6" s="28"/>
      <c r="I6" s="26">
        <f>I7/data_1tier!N15</f>
        <v>5261709.3238434158</v>
      </c>
      <c r="J6" s="28"/>
      <c r="K6" s="76">
        <f>K7/data_1tier!AD15</f>
        <v>329270.96774193551</v>
      </c>
      <c r="L6" s="28"/>
      <c r="M6" s="6" t="s">
        <v>13</v>
      </c>
      <c r="N6" s="6" t="s">
        <v>14</v>
      </c>
      <c r="O6" s="6" t="s">
        <v>15</v>
      </c>
      <c r="P6" s="6" t="s">
        <v>13</v>
      </c>
      <c r="Q6" s="6" t="s">
        <v>16</v>
      </c>
      <c r="R6" s="6" t="s">
        <v>15</v>
      </c>
      <c r="S6" s="6" t="s">
        <v>13</v>
      </c>
      <c r="T6" s="6" t="s">
        <v>14</v>
      </c>
      <c r="U6" s="6" t="s">
        <v>15</v>
      </c>
      <c r="V6" s="64" t="s">
        <v>198</v>
      </c>
      <c r="W6" s="63"/>
      <c r="X6" s="63"/>
      <c r="Y6" s="63"/>
      <c r="Z6" s="63"/>
      <c r="AA6" s="63"/>
    </row>
    <row r="7" spans="1:27">
      <c r="A7" s="30" t="s">
        <v>178</v>
      </c>
      <c r="B7" s="48">
        <f>'[1]Weight%'!B19</f>
        <v>1.199288256227758E-2</v>
      </c>
      <c r="C7" s="28" t="s">
        <v>33</v>
      </c>
      <c r="D7" s="171"/>
      <c r="E7" s="28"/>
      <c r="F7" s="28">
        <v>2011</v>
      </c>
      <c r="G7" s="26">
        <f>G8/data_1tier!D13</f>
        <v>16064400.000000004</v>
      </c>
      <c r="H7" s="28"/>
      <c r="I7" s="26">
        <f>I8/data_1tier!N16</f>
        <v>5158033.2526690383</v>
      </c>
      <c r="J7" s="28"/>
      <c r="K7" s="76">
        <f>K8/data_1tier!AD16</f>
        <v>285904.83870967745</v>
      </c>
      <c r="L7" s="28"/>
      <c r="M7" s="6" t="s">
        <v>17</v>
      </c>
      <c r="N7" s="6">
        <v>268000</v>
      </c>
      <c r="O7" s="8">
        <f>N7/$N$14</f>
        <v>0.72043010752688175</v>
      </c>
      <c r="P7" s="6" t="s">
        <v>17</v>
      </c>
      <c r="Q7" s="6">
        <f>44710+5960+82320</f>
        <v>132990</v>
      </c>
      <c r="R7" s="9">
        <f>Q7/$Q$19</f>
        <v>0.56226852243324144</v>
      </c>
      <c r="S7" s="6" t="s">
        <v>17</v>
      </c>
      <c r="T7" s="6">
        <v>268000</v>
      </c>
      <c r="U7" s="70">
        <f t="shared" ref="U7:U18" si="0">T7/$T$19</f>
        <v>0.71341106319544267</v>
      </c>
      <c r="V7" s="75">
        <f>$B$15*U7</f>
        <v>977928084.33371258</v>
      </c>
      <c r="W7" s="65"/>
      <c r="X7" s="35"/>
      <c r="Y7" s="35"/>
      <c r="Z7" s="65"/>
      <c r="AA7" s="65"/>
    </row>
    <row r="8" spans="1:27">
      <c r="A8" s="30" t="s">
        <v>167</v>
      </c>
      <c r="B8" s="48">
        <f>'[1]Weight%'!B20</f>
        <v>0.13705583756345177</v>
      </c>
      <c r="C8" s="28" t="s">
        <v>33</v>
      </c>
      <c r="D8" s="171"/>
      <c r="E8" s="28"/>
      <c r="F8" s="28">
        <v>2012</v>
      </c>
      <c r="G8" s="26">
        <f>G9/data_1tier!D14</f>
        <v>23664400.000000004</v>
      </c>
      <c r="H8" s="26">
        <f>H9/data_1tier!I14</f>
        <v>8501640.0000000019</v>
      </c>
      <c r="I8" s="26">
        <f>I9/data_1tier!N17</f>
        <v>8334458.5338078281</v>
      </c>
      <c r="J8" s="28"/>
      <c r="K8" s="76">
        <f>K9/data_1tier!AD17</f>
        <v>531300</v>
      </c>
      <c r="L8" s="28"/>
      <c r="M8" s="6" t="s">
        <v>18</v>
      </c>
      <c r="N8" s="6">
        <v>27000</v>
      </c>
      <c r="O8" s="8">
        <f t="shared" ref="O8:O13" si="1">N8/$N$14</f>
        <v>7.2580645161290328E-2</v>
      </c>
      <c r="P8" s="6" t="s">
        <v>18</v>
      </c>
      <c r="Q8" s="6">
        <v>19414</v>
      </c>
      <c r="R8" s="9">
        <f t="shared" ref="R8:R18" si="2">Q8/$Q$19</f>
        <v>8.2080465407315964E-2</v>
      </c>
      <c r="S8" s="6" t="s">
        <v>22</v>
      </c>
      <c r="T8" s="6">
        <v>1000</v>
      </c>
      <c r="U8" s="70">
        <f t="shared" si="0"/>
        <v>2.6619815790874727E-3</v>
      </c>
      <c r="V8" s="75">
        <f t="shared" ref="V8:V18" si="3">$B$15*U8</f>
        <v>3648985.3893048977</v>
      </c>
      <c r="W8" s="28"/>
      <c r="X8" s="35"/>
      <c r="Y8" s="35"/>
      <c r="Z8" s="65"/>
      <c r="AA8" s="65"/>
    </row>
    <row r="9" spans="1:27">
      <c r="A9" s="30" t="s">
        <v>168</v>
      </c>
      <c r="B9" s="48">
        <f>'[1]Weight%'!B21</f>
        <v>6.1827956989247311E-3</v>
      </c>
      <c r="C9" s="28" t="s">
        <v>33</v>
      </c>
      <c r="D9" s="171"/>
      <c r="E9" s="28"/>
      <c r="F9" s="28">
        <v>2013</v>
      </c>
      <c r="G9" s="26">
        <f>G10/data_1tier!D15</f>
        <v>45346000.000000007</v>
      </c>
      <c r="H9" s="26">
        <f>H10/data_1tier!I15</f>
        <v>12830860.000000002</v>
      </c>
      <c r="I9" s="26">
        <f>I10/data_1tier!N18</f>
        <v>9508609.7081850525</v>
      </c>
      <c r="J9" s="28"/>
      <c r="K9" s="76">
        <f>K10/data_1tier!AD18</f>
        <v>757219.3548387097</v>
      </c>
      <c r="L9" s="28"/>
      <c r="M9" s="6" t="s">
        <v>19</v>
      </c>
      <c r="N9" s="6">
        <v>18000</v>
      </c>
      <c r="O9" s="8">
        <f t="shared" si="1"/>
        <v>4.8387096774193547E-2</v>
      </c>
      <c r="P9" s="6" t="s">
        <v>19</v>
      </c>
      <c r="Q9" s="6">
        <f>17874+6870</f>
        <v>24744</v>
      </c>
      <c r="R9" s="9">
        <f t="shared" si="2"/>
        <v>0.10461517647257784</v>
      </c>
      <c r="S9" s="6" t="s">
        <v>24</v>
      </c>
      <c r="T9" s="6">
        <v>300</v>
      </c>
      <c r="U9" s="70">
        <f t="shared" si="0"/>
        <v>7.9859447372624185E-4</v>
      </c>
      <c r="V9" s="75">
        <f t="shared" si="3"/>
        <v>1094695.6167914695</v>
      </c>
      <c r="W9" s="28"/>
      <c r="X9" s="35"/>
      <c r="Y9" s="35"/>
      <c r="Z9" s="65"/>
      <c r="AA9" s="65"/>
    </row>
    <row r="10" spans="1:27" ht="32">
      <c r="A10" s="67" t="s">
        <v>179</v>
      </c>
      <c r="B10" s="26">
        <f>data_1tier!B7*data_2tier!B5</f>
        <v>806133200</v>
      </c>
      <c r="C10" s="28" t="s">
        <v>7</v>
      </c>
      <c r="D10" s="28"/>
      <c r="E10" s="28"/>
      <c r="F10" s="28">
        <v>2014</v>
      </c>
      <c r="G10" s="26">
        <f>G11/data_1tier!D16</f>
        <v>77470800.000000015</v>
      </c>
      <c r="H10" s="26">
        <f>H11/data_1tier!I16</f>
        <v>18811100.000000004</v>
      </c>
      <c r="I10" s="26">
        <f>I11/data_1tier!N19</f>
        <v>8516347.3879003562</v>
      </c>
      <c r="J10" s="28"/>
      <c r="K10" s="76">
        <f>K11/data_1tier!AD19</f>
        <v>1497213.4408602151</v>
      </c>
      <c r="L10" s="28"/>
      <c r="M10" s="6" t="s">
        <v>20</v>
      </c>
      <c r="N10" s="6">
        <v>37000</v>
      </c>
      <c r="O10" s="8">
        <f t="shared" si="1"/>
        <v>9.9462365591397844E-2</v>
      </c>
      <c r="P10" s="6" t="s">
        <v>20</v>
      </c>
      <c r="Q10" s="6">
        <f>22016+28150</f>
        <v>50166</v>
      </c>
      <c r="R10" s="9">
        <f t="shared" si="2"/>
        <v>0.21209686966227528</v>
      </c>
      <c r="S10" s="6" t="s">
        <v>26</v>
      </c>
      <c r="T10" s="6">
        <v>1600</v>
      </c>
      <c r="U10" s="70">
        <f t="shared" si="0"/>
        <v>4.2591705265399562E-3</v>
      </c>
      <c r="V10" s="75">
        <f t="shared" si="3"/>
        <v>5838376.6228878368</v>
      </c>
      <c r="W10" s="65"/>
      <c r="X10" s="35"/>
      <c r="Y10" s="35"/>
      <c r="Z10" s="65"/>
      <c r="AA10" s="65"/>
    </row>
    <row r="11" spans="1:27" ht="32">
      <c r="A11" s="67" t="s">
        <v>180</v>
      </c>
      <c r="B11" s="26">
        <f>data_1tier!G7*data_2tier!B6</f>
        <v>136913560</v>
      </c>
      <c r="C11" s="28" t="s">
        <v>7</v>
      </c>
      <c r="D11" s="28"/>
      <c r="E11" s="28"/>
      <c r="F11" s="28">
        <v>2015</v>
      </c>
      <c r="G11" s="26">
        <f>G12/data_1tier!D17</f>
        <v>131493200.00000001</v>
      </c>
      <c r="H11" s="26">
        <f>H12/data_1tier!I17</f>
        <v>31256120.000000004</v>
      </c>
      <c r="I11" s="26">
        <f>I12/data_1tier!N20</f>
        <v>8845297.7651245557</v>
      </c>
      <c r="J11" s="26">
        <f>J12/data_1tier!Y15</f>
        <v>123350253.80710661</v>
      </c>
      <c r="K11" s="76">
        <f>K12/data_1tier!AD20</f>
        <v>1995274.7311827959</v>
      </c>
      <c r="L11" s="28"/>
      <c r="M11" s="6" t="s">
        <v>21</v>
      </c>
      <c r="N11" s="6">
        <v>14000</v>
      </c>
      <c r="O11" s="8">
        <f t="shared" si="1"/>
        <v>3.7634408602150539E-2</v>
      </c>
      <c r="P11" s="6" t="s">
        <v>22</v>
      </c>
      <c r="Q11" s="6">
        <v>1000</v>
      </c>
      <c r="R11" s="9">
        <f t="shared" si="2"/>
        <v>4.2279007627132976E-3</v>
      </c>
      <c r="S11" s="6" t="s">
        <v>28</v>
      </c>
      <c r="T11" s="6">
        <v>300</v>
      </c>
      <c r="U11" s="70">
        <f t="shared" si="0"/>
        <v>7.9859447372624185E-4</v>
      </c>
      <c r="V11" s="75">
        <f t="shared" si="3"/>
        <v>1094695.6167914695</v>
      </c>
      <c r="W11" s="28"/>
      <c r="X11" s="35"/>
      <c r="Y11" s="35"/>
      <c r="Z11" s="65"/>
      <c r="AA11" s="65"/>
    </row>
    <row r="12" spans="1:27" ht="32">
      <c r="A12" s="67" t="s">
        <v>181</v>
      </c>
      <c r="B12" s="26">
        <f>data_1tier!L7*data_2tier!B7</f>
        <v>38377224.199288256</v>
      </c>
      <c r="C12" s="28" t="s">
        <v>7</v>
      </c>
      <c r="D12" s="28"/>
      <c r="E12" s="28"/>
      <c r="F12" s="28">
        <v>2016</v>
      </c>
      <c r="G12" s="26">
        <f>G13/data_1tier!D18</f>
        <v>186268000</v>
      </c>
      <c r="H12" s="26">
        <f>H13/data_1tier!I18</f>
        <v>40320700</v>
      </c>
      <c r="I12" s="26">
        <f>I13/data_1tier!N21</f>
        <v>13924481.804649996</v>
      </c>
      <c r="J12" s="26">
        <f>J13/data_1tier!Y16</f>
        <v>185025380.71065992</v>
      </c>
      <c r="K12" s="76">
        <f>K13/data_1tier!AD21</f>
        <v>2943010.7526881723</v>
      </c>
      <c r="L12" s="28"/>
      <c r="M12" s="6" t="s">
        <v>23</v>
      </c>
      <c r="N12" s="6">
        <v>6000</v>
      </c>
      <c r="O12" s="8">
        <f t="shared" si="1"/>
        <v>1.6129032258064516E-2</v>
      </c>
      <c r="P12" s="6" t="s">
        <v>24</v>
      </c>
      <c r="Q12" s="6">
        <v>300</v>
      </c>
      <c r="R12" s="9">
        <f t="shared" si="2"/>
        <v>1.2683702288139892E-3</v>
      </c>
      <c r="S12" s="6" t="s">
        <v>21</v>
      </c>
      <c r="T12" s="6">
        <v>14000</v>
      </c>
      <c r="U12" s="70">
        <f t="shared" si="0"/>
        <v>3.7267742107224618E-2</v>
      </c>
      <c r="V12" s="75">
        <f t="shared" si="3"/>
        <v>51085795.450268567</v>
      </c>
      <c r="W12" s="28"/>
      <c r="X12" s="35"/>
      <c r="Y12" s="35"/>
      <c r="Z12" s="65"/>
      <c r="AA12" s="65"/>
    </row>
    <row r="13" spans="1:27" ht="32">
      <c r="A13" s="67" t="s">
        <v>169</v>
      </c>
      <c r="B13" s="26">
        <f>data_1tier!W7*data_2tier!B8</f>
        <v>384852791.87817258</v>
      </c>
      <c r="C13" s="28" t="s">
        <v>7</v>
      </c>
      <c r="D13" s="28"/>
      <c r="E13" s="28"/>
      <c r="F13" s="28">
        <v>2017</v>
      </c>
      <c r="G13" s="26">
        <f>G14/data_1tier!D19</f>
        <v>303789200</v>
      </c>
      <c r="H13" s="26">
        <f>H14/data_1tier!I19</f>
        <v>58399180</v>
      </c>
      <c r="I13" s="26">
        <f>I14/data_1tier!N22</f>
        <v>20468988.252835494</v>
      </c>
      <c r="J13" s="26">
        <f>J14/data_1tier!Y17</f>
        <v>246700507.6142132</v>
      </c>
      <c r="K13" s="76">
        <f>K14/data_1tier!AD22</f>
        <v>3289247.3118279572</v>
      </c>
      <c r="L13" s="28"/>
      <c r="M13" s="6" t="s">
        <v>25</v>
      </c>
      <c r="N13" s="6">
        <v>2000</v>
      </c>
      <c r="O13" s="8">
        <f t="shared" si="1"/>
        <v>5.3763440860215058E-3</v>
      </c>
      <c r="P13" s="6" t="s">
        <v>26</v>
      </c>
      <c r="Q13" s="6">
        <f>600+1000</f>
        <v>1600</v>
      </c>
      <c r="R13" s="9">
        <f t="shared" si="2"/>
        <v>6.7646412203412765E-3</v>
      </c>
      <c r="S13" s="6" t="s">
        <v>18</v>
      </c>
      <c r="T13" s="6">
        <v>27000</v>
      </c>
      <c r="U13" s="70">
        <f t="shared" si="0"/>
        <v>7.1873502635361769E-2</v>
      </c>
      <c r="V13" s="75">
        <f t="shared" si="3"/>
        <v>98522605.511232257</v>
      </c>
      <c r="W13" s="28"/>
      <c r="X13" s="35"/>
      <c r="Y13" s="35"/>
      <c r="Z13" s="65"/>
      <c r="AA13" s="65"/>
    </row>
    <row r="14" spans="1:27" ht="32">
      <c r="A14" s="67" t="s">
        <v>170</v>
      </c>
      <c r="B14" s="26">
        <f>data_1tier!AB7*data_2tier!B9</f>
        <v>4501075.2688172041</v>
      </c>
      <c r="C14" s="28" t="s">
        <v>7</v>
      </c>
      <c r="D14" s="28"/>
      <c r="E14" s="28"/>
      <c r="F14" s="28">
        <v>2018</v>
      </c>
      <c r="G14" s="26">
        <f>G15/data_1tier!D20</f>
        <v>548762400</v>
      </c>
      <c r="H14" s="26">
        <f>H15/data_1tier!I20</f>
        <v>89990040</v>
      </c>
      <c r="I14" s="26">
        <f>I15/data_1tier!N23</f>
        <v>24972165.6684593</v>
      </c>
      <c r="J14" s="26">
        <f>J15/data_1tier!Y18</f>
        <v>370050761.42131978</v>
      </c>
      <c r="K14" s="76">
        <f>K15/data_1tier!AD23</f>
        <v>3808602.1505376347</v>
      </c>
      <c r="L14" s="28"/>
      <c r="M14" s="6" t="s">
        <v>27</v>
      </c>
      <c r="N14" s="6">
        <f>SUM(N7:N13)</f>
        <v>372000</v>
      </c>
      <c r="O14" s="6"/>
      <c r="P14" s="6" t="s">
        <v>28</v>
      </c>
      <c r="Q14" s="6">
        <v>300</v>
      </c>
      <c r="R14" s="9">
        <f t="shared" si="2"/>
        <v>1.2683702288139892E-3</v>
      </c>
      <c r="S14" s="6" t="s">
        <v>23</v>
      </c>
      <c r="T14" s="6">
        <v>6000</v>
      </c>
      <c r="U14" s="70">
        <f t="shared" si="0"/>
        <v>1.5971889474524836E-2</v>
      </c>
      <c r="V14" s="75">
        <f t="shared" si="3"/>
        <v>21893912.335829388</v>
      </c>
      <c r="W14" s="28"/>
      <c r="X14" s="35"/>
      <c r="Y14" s="35"/>
      <c r="Z14" s="65"/>
      <c r="AA14" s="65"/>
    </row>
    <row r="15" spans="1:27" ht="32">
      <c r="A15" s="67" t="s">
        <v>171</v>
      </c>
      <c r="B15" s="26">
        <f>SUM(B10:B14)</f>
        <v>1370777851.346278</v>
      </c>
      <c r="C15" s="28" t="s">
        <v>7</v>
      </c>
      <c r="D15" s="28"/>
      <c r="E15" s="28"/>
      <c r="F15" s="28">
        <v>2019</v>
      </c>
      <c r="G15" s="26">
        <f>G16/data_1tier!D21</f>
        <v>618022800</v>
      </c>
      <c r="H15" s="26">
        <f>H16/data_1tier!I21</f>
        <v>80960600</v>
      </c>
      <c r="I15" s="26">
        <f>I16/data_1tier!N24</f>
        <v>28218547.205359012</v>
      </c>
      <c r="J15" s="26">
        <f>J16/data_1tier!Y19</f>
        <v>246700507.61421317</v>
      </c>
      <c r="K15" s="76">
        <f>K16/data_1tier!AD24</f>
        <v>4154838.7096774196</v>
      </c>
      <c r="L15" s="28"/>
      <c r="M15" s="6"/>
      <c r="N15" s="6"/>
      <c r="O15" s="6"/>
      <c r="P15" s="6" t="s">
        <v>21</v>
      </c>
      <c r="Q15" s="6">
        <v>1000</v>
      </c>
      <c r="R15" s="9">
        <f t="shared" si="2"/>
        <v>4.2279007627132976E-3</v>
      </c>
      <c r="S15" s="6" t="s">
        <v>19</v>
      </c>
      <c r="T15" s="6">
        <v>18000</v>
      </c>
      <c r="U15" s="70">
        <f t="shared" si="0"/>
        <v>4.791566842357451E-2</v>
      </c>
      <c r="V15" s="75">
        <f t="shared" si="3"/>
        <v>65681737.007488161</v>
      </c>
      <c r="W15" s="28"/>
      <c r="X15" s="35"/>
      <c r="Y15" s="35"/>
      <c r="Z15" s="65"/>
      <c r="AA15" s="65"/>
    </row>
    <row r="16" spans="1:27" ht="32">
      <c r="A16" s="67" t="s">
        <v>188</v>
      </c>
      <c r="B16" s="26">
        <f>SUM(G5:G16)</f>
        <v>2757014400</v>
      </c>
      <c r="C16" s="28" t="s">
        <v>7</v>
      </c>
      <c r="D16" s="28"/>
      <c r="E16" s="28"/>
      <c r="F16" s="28">
        <v>2020</v>
      </c>
      <c r="G16" s="26">
        <f>B10</f>
        <v>806133200</v>
      </c>
      <c r="H16" s="26">
        <f>B11</f>
        <v>136913560</v>
      </c>
      <c r="I16" s="26">
        <f>B12</f>
        <v>38377224.199288256</v>
      </c>
      <c r="J16" s="26">
        <f>B13</f>
        <v>384852791.87817258</v>
      </c>
      <c r="K16" s="26">
        <f>B14</f>
        <v>4501075.2688172041</v>
      </c>
      <c r="L16" s="28"/>
      <c r="M16" s="6"/>
      <c r="N16" s="6"/>
      <c r="O16" s="6"/>
      <c r="P16" s="6" t="s">
        <v>23</v>
      </c>
      <c r="Q16" s="6">
        <f>300+650+3000</f>
        <v>3950</v>
      </c>
      <c r="R16" s="9">
        <f t="shared" si="2"/>
        <v>1.6700208012717526E-2</v>
      </c>
      <c r="S16" s="6" t="s">
        <v>29</v>
      </c>
      <c r="T16" s="6">
        <v>460</v>
      </c>
      <c r="U16" s="70">
        <f t="shared" si="0"/>
        <v>1.2245115263802375E-3</v>
      </c>
      <c r="V16" s="75">
        <f t="shared" si="3"/>
        <v>1678533.2790802531</v>
      </c>
      <c r="W16" s="28"/>
      <c r="X16" s="35"/>
      <c r="Y16" s="35"/>
      <c r="Z16" s="65"/>
      <c r="AA16" s="65"/>
    </row>
    <row r="17" spans="1:35" ht="32">
      <c r="A17" s="67" t="s">
        <v>189</v>
      </c>
      <c r="B17" s="26">
        <f>SUM(H5:H16)</f>
        <v>477983800</v>
      </c>
      <c r="C17" s="28" t="s">
        <v>7</v>
      </c>
      <c r="D17" s="28"/>
      <c r="E17" s="28"/>
      <c r="F17" s="28"/>
      <c r="G17" s="28"/>
      <c r="H17" s="28"/>
      <c r="I17" s="28"/>
      <c r="J17" s="28"/>
      <c r="K17" s="28"/>
      <c r="L17" s="28"/>
      <c r="M17" s="6"/>
      <c r="N17" s="6"/>
      <c r="O17" s="6"/>
      <c r="P17" s="6" t="s">
        <v>25</v>
      </c>
      <c r="Q17" s="6">
        <v>600</v>
      </c>
      <c r="R17" s="9">
        <f t="shared" si="2"/>
        <v>2.5367404576279785E-3</v>
      </c>
      <c r="S17" s="6" t="s">
        <v>25</v>
      </c>
      <c r="T17" s="6">
        <v>2000</v>
      </c>
      <c r="U17" s="70">
        <f t="shared" si="0"/>
        <v>5.3239631581749455E-3</v>
      </c>
      <c r="V17" s="75">
        <f t="shared" si="3"/>
        <v>7297970.7786097955</v>
      </c>
      <c r="W17" s="28"/>
      <c r="X17" s="35"/>
      <c r="Y17" s="35"/>
      <c r="Z17" s="65"/>
      <c r="AA17" s="65"/>
    </row>
    <row r="18" spans="1:35" ht="32">
      <c r="A18" s="67" t="s">
        <v>190</v>
      </c>
      <c r="B18" s="26">
        <f>SUM(I5:I16)</f>
        <v>177155760.7248981</v>
      </c>
      <c r="C18" s="28" t="s">
        <v>7</v>
      </c>
      <c r="D18" s="28"/>
      <c r="E18" s="28"/>
      <c r="F18" s="28"/>
      <c r="G18" s="28"/>
      <c r="H18" s="28"/>
      <c r="I18" s="28"/>
      <c r="J18" s="28"/>
      <c r="K18" s="28"/>
      <c r="L18" s="28"/>
      <c r="M18" s="6"/>
      <c r="N18" s="6"/>
      <c r="O18" s="6"/>
      <c r="P18" s="6" t="s">
        <v>29</v>
      </c>
      <c r="Q18" s="6">
        <v>460</v>
      </c>
      <c r="R18" s="9">
        <f t="shared" si="2"/>
        <v>1.9448343508481169E-3</v>
      </c>
      <c r="S18" s="6" t="s">
        <v>20</v>
      </c>
      <c r="T18" s="6">
        <v>37000</v>
      </c>
      <c r="U18" s="70">
        <f t="shared" si="0"/>
        <v>9.8493318426236487E-2</v>
      </c>
      <c r="V18" s="75">
        <f t="shared" si="3"/>
        <v>135012459.40428123</v>
      </c>
      <c r="W18" s="65"/>
      <c r="X18" s="35"/>
      <c r="Y18" s="35"/>
      <c r="Z18" s="28"/>
      <c r="AA18" s="28"/>
    </row>
    <row r="19" spans="1:35" ht="32">
      <c r="A19" s="67" t="s">
        <v>174</v>
      </c>
      <c r="B19" s="26">
        <f>SUM(J5:J16)</f>
        <v>1556680203.0456853</v>
      </c>
      <c r="C19" s="28" t="s">
        <v>7</v>
      </c>
      <c r="D19" s="28"/>
      <c r="E19" s="28"/>
      <c r="F19" s="28"/>
      <c r="G19" s="28"/>
      <c r="H19" s="28"/>
      <c r="I19" s="28"/>
      <c r="J19" s="28"/>
      <c r="K19" s="28"/>
      <c r="L19" s="28"/>
      <c r="M19" s="6"/>
      <c r="N19" s="6"/>
      <c r="O19" s="6"/>
      <c r="P19" s="6" t="s">
        <v>27</v>
      </c>
      <c r="Q19" s="6">
        <f>SUM(Q7:Q18)</f>
        <v>236524</v>
      </c>
      <c r="R19" s="28"/>
      <c r="S19" s="6" t="s">
        <v>27</v>
      </c>
      <c r="T19" s="6">
        <f>SUM(T7:T18)</f>
        <v>375660</v>
      </c>
      <c r="U19" s="28"/>
      <c r="V19" s="29"/>
      <c r="W19" s="28"/>
      <c r="X19" s="28"/>
      <c r="Y19" s="28"/>
      <c r="Z19" s="28"/>
      <c r="AA19" s="28"/>
    </row>
    <row r="20" spans="1:35" ht="32">
      <c r="A20" s="67" t="s">
        <v>175</v>
      </c>
      <c r="B20" s="26">
        <f>SUM(K5:K16)</f>
        <v>24092957.526881721</v>
      </c>
      <c r="C20" s="28" t="s">
        <v>7</v>
      </c>
      <c r="D20" s="28"/>
      <c r="E20" s="28"/>
      <c r="F20" s="28"/>
      <c r="G20" s="28"/>
      <c r="H20" s="28"/>
      <c r="I20" s="28"/>
      <c r="J20" s="28"/>
      <c r="K20" s="28"/>
      <c r="L20" s="28"/>
      <c r="M20" s="28"/>
      <c r="N20" s="28"/>
      <c r="O20" s="28"/>
      <c r="P20" s="28"/>
      <c r="Q20" s="28"/>
      <c r="R20" s="28"/>
      <c r="S20" s="28"/>
      <c r="T20" s="28"/>
      <c r="U20" s="28"/>
      <c r="V20" s="29"/>
      <c r="W20" s="28"/>
      <c r="X20" s="28"/>
      <c r="Y20" s="28"/>
      <c r="Z20" s="28"/>
      <c r="AA20" s="28"/>
    </row>
    <row r="21" spans="1:35" ht="32">
      <c r="A21" s="68" t="s">
        <v>496</v>
      </c>
      <c r="B21" s="69">
        <f>SUM(B16:B20)</f>
        <v>4992927121.2974663</v>
      </c>
      <c r="C21" s="37" t="s">
        <v>7</v>
      </c>
      <c r="D21" s="37"/>
      <c r="E21" s="37"/>
      <c r="F21" s="37"/>
      <c r="G21" s="37"/>
      <c r="H21" s="37"/>
      <c r="I21" s="37"/>
      <c r="J21" s="37"/>
      <c r="K21" s="37"/>
      <c r="L21" s="37"/>
      <c r="M21" s="73" t="s">
        <v>31</v>
      </c>
      <c r="N21" s="37"/>
      <c r="O21" s="37"/>
      <c r="P21" s="37"/>
      <c r="Q21" s="37"/>
      <c r="R21" s="74"/>
      <c r="S21" s="37"/>
      <c r="T21" s="37"/>
      <c r="U21" s="37"/>
      <c r="V21" s="42"/>
      <c r="W21" s="28"/>
      <c r="X21" s="28"/>
      <c r="Y21" s="28"/>
      <c r="Z21" s="28"/>
      <c r="AA21" s="28"/>
    </row>
    <row r="22" spans="1:35">
      <c r="A22" s="30"/>
    </row>
    <row r="23" spans="1:35">
      <c r="A23" s="53" t="s">
        <v>245</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row>
    <row r="24" spans="1:35" ht="48">
      <c r="A24" s="60" t="s">
        <v>0</v>
      </c>
      <c r="B24" s="23" t="s">
        <v>1</v>
      </c>
      <c r="C24" s="23" t="s">
        <v>558</v>
      </c>
      <c r="D24" s="23" t="s">
        <v>3</v>
      </c>
      <c r="E24" s="23"/>
      <c r="F24" s="61" t="s">
        <v>8</v>
      </c>
      <c r="G24" s="61" t="s">
        <v>241</v>
      </c>
      <c r="H24" s="61" t="s">
        <v>242</v>
      </c>
      <c r="I24" s="61" t="s">
        <v>243</v>
      </c>
      <c r="J24" s="61" t="s">
        <v>247</v>
      </c>
      <c r="K24" s="61" t="s">
        <v>244</v>
      </c>
      <c r="L24" s="61" t="s">
        <v>246</v>
      </c>
      <c r="M24" s="61" t="s">
        <v>248</v>
      </c>
      <c r="N24" s="61" t="s">
        <v>249</v>
      </c>
      <c r="O24" s="23"/>
      <c r="P24" s="61" t="s">
        <v>250</v>
      </c>
      <c r="Q24" s="61" t="s">
        <v>251</v>
      </c>
      <c r="R24" s="61" t="s">
        <v>89</v>
      </c>
      <c r="S24" s="61" t="s">
        <v>241</v>
      </c>
      <c r="T24" s="61" t="s">
        <v>242</v>
      </c>
      <c r="U24" s="61" t="s">
        <v>243</v>
      </c>
      <c r="V24" s="61" t="s">
        <v>247</v>
      </c>
      <c r="W24" s="61" t="s">
        <v>252</v>
      </c>
      <c r="X24" s="61" t="s">
        <v>253</v>
      </c>
      <c r="Y24" s="61" t="s">
        <v>89</v>
      </c>
      <c r="Z24" s="61" t="s">
        <v>244</v>
      </c>
      <c r="AA24" s="61" t="s">
        <v>246</v>
      </c>
      <c r="AB24" s="61" t="s">
        <v>248</v>
      </c>
      <c r="AC24" s="61" t="s">
        <v>254</v>
      </c>
      <c r="AD24" s="61" t="s">
        <v>255</v>
      </c>
      <c r="AE24" s="61" t="s">
        <v>89</v>
      </c>
      <c r="AF24" s="61" t="s">
        <v>249</v>
      </c>
      <c r="AG24" s="61" t="s">
        <v>257</v>
      </c>
      <c r="AH24" s="61" t="s">
        <v>260</v>
      </c>
      <c r="AI24" s="115" t="s">
        <v>89</v>
      </c>
    </row>
    <row r="25" spans="1:35">
      <c r="A25" s="30" t="s">
        <v>191</v>
      </c>
      <c r="B25" s="82">
        <f>'[1]Weight%'!$B$31+'[1]Weight%'!$B$63</f>
        <v>0.22597597597597599</v>
      </c>
      <c r="C25" s="28" t="s">
        <v>33</v>
      </c>
      <c r="D25" s="171" t="s">
        <v>208</v>
      </c>
      <c r="E25" s="28"/>
      <c r="F25" s="28">
        <v>2009</v>
      </c>
      <c r="G25" s="26"/>
      <c r="H25" s="41"/>
      <c r="I25" s="41">
        <f>I26/data_1tier!N14</f>
        <v>127359658.75548595</v>
      </c>
      <c r="J25" s="41">
        <f>J26/data_1tier!T14</f>
        <v>24419329293.900894</v>
      </c>
      <c r="K25" s="28"/>
      <c r="L25" s="41"/>
      <c r="M25" s="41">
        <f>M26/data_1tier!AJ19</f>
        <v>2493839269.628222</v>
      </c>
      <c r="N25" s="41">
        <f>N26/data_1tier!AK19</f>
        <v>23562228831.633179</v>
      </c>
      <c r="O25" s="28"/>
      <c r="P25" s="77" t="s">
        <v>131</v>
      </c>
      <c r="Q25" s="44">
        <v>754</v>
      </c>
      <c r="R25" s="80">
        <f>Q25/$Q$73</f>
        <v>1.350420609403453E-5</v>
      </c>
      <c r="S25" s="92">
        <f>R25*$B$33</f>
        <v>11070.077197584835</v>
      </c>
      <c r="T25" s="81">
        <f t="shared" ref="T25:T72" si="4">R25*$B$34</f>
        <v>5194.7370644660868</v>
      </c>
      <c r="U25" s="81">
        <f t="shared" ref="U25:U72" si="5">R25*$B$35</f>
        <v>11850.243943762842</v>
      </c>
      <c r="V25" s="81">
        <f t="shared" ref="V25:V72" si="6">R25*$B$36</f>
        <v>385412.87437087391</v>
      </c>
      <c r="W25" s="28" t="s">
        <v>144</v>
      </c>
      <c r="X25" s="26">
        <v>1349</v>
      </c>
      <c r="Y25" s="35">
        <f>X25/$X$46</f>
        <v>6.1523165820666125E-3</v>
      </c>
      <c r="Z25" s="76">
        <f>Y25*$B$37</f>
        <v>8505471.4074544031</v>
      </c>
      <c r="AA25" s="26">
        <f t="shared" ref="AA25:AA45" si="7">Y25*$B$38</f>
        <v>2101781.9216911555</v>
      </c>
      <c r="AB25" s="26">
        <f t="shared" ref="AB25:AB45" si="8">Y25*$B$39</f>
        <v>23894495.798317537</v>
      </c>
      <c r="AC25" s="28" t="s">
        <v>164</v>
      </c>
      <c r="AD25" s="26">
        <v>4730</v>
      </c>
      <c r="AE25" s="35">
        <f>AD25/$AD$50</f>
        <v>1.0845086762986933E-3</v>
      </c>
      <c r="AF25" s="26">
        <f>$B$40*AE25</f>
        <v>39796065.476276919</v>
      </c>
      <c r="AG25" s="77" t="s">
        <v>131</v>
      </c>
      <c r="AH25" s="65">
        <f>S25+T25+U25+V25</f>
        <v>413527.93257668766</v>
      </c>
      <c r="AI25" s="54">
        <f>AH25/$AH$74</f>
        <v>5.6705840496538887E-6</v>
      </c>
    </row>
    <row r="26" spans="1:35">
      <c r="A26" s="30" t="s">
        <v>192</v>
      </c>
      <c r="B26" s="82">
        <f>'[1]Weight%'!$B$29+'[1]Weight%'!$B$61</f>
        <v>0.24584201279141993</v>
      </c>
      <c r="C26" s="28" t="s">
        <v>33</v>
      </c>
      <c r="D26" s="171"/>
      <c r="E26" s="28"/>
      <c r="F26" s="28">
        <v>2010</v>
      </c>
      <c r="G26" s="26"/>
      <c r="H26" s="41"/>
      <c r="I26" s="41">
        <f>I27/data_1tier!N15</f>
        <v>120312714.76427822</v>
      </c>
      <c r="J26" s="41">
        <f>J27/data_1tier!T15</f>
        <v>29769563336.207195</v>
      </c>
      <c r="K26" s="83"/>
      <c r="L26" s="41">
        <f>L27/data_1tier!AD15</f>
        <v>24991144.278320421</v>
      </c>
      <c r="M26" s="41">
        <f>M27/data_1tier!AJ20</f>
        <v>3448308364.1287947</v>
      </c>
      <c r="N26" s="41">
        <f>N27/data_1tier!AK20</f>
        <v>32580219482.128025</v>
      </c>
      <c r="O26" s="28"/>
      <c r="P26" s="78" t="s">
        <v>117</v>
      </c>
      <c r="Q26" s="44">
        <v>93001</v>
      </c>
      <c r="R26" s="80">
        <f t="shared" ref="R26:R72" si="9">Q26/$Q$73</f>
        <v>1.6656560622696356E-3</v>
      </c>
      <c r="S26" s="81">
        <f t="shared" ref="S26:S72" si="10">R26*$B$33</f>
        <v>1365422.0815021049</v>
      </c>
      <c r="T26" s="81">
        <f t="shared" si="4"/>
        <v>640737.05800054444</v>
      </c>
      <c r="U26" s="81">
        <f t="shared" si="5"/>
        <v>1461650.5795940158</v>
      </c>
      <c r="V26" s="81">
        <f t="shared" si="6"/>
        <v>47538173.381121539</v>
      </c>
      <c r="W26" s="28" t="s">
        <v>141</v>
      </c>
      <c r="X26" s="26">
        <v>333</v>
      </c>
      <c r="Y26" s="35">
        <f t="shared" ref="Y26:Y45" si="11">X26/$X$46</f>
        <v>1.5186963838607725E-3</v>
      </c>
      <c r="Z26" s="26">
        <f t="shared" ref="Z26:Z45" si="12">Y26*$B$37</f>
        <v>2099571.5186673952</v>
      </c>
      <c r="AA26" s="26">
        <f t="shared" si="7"/>
        <v>518823.85465022596</v>
      </c>
      <c r="AB26" s="26">
        <f t="shared" si="8"/>
        <v>5898344.7745290883</v>
      </c>
      <c r="AC26" s="28" t="s">
        <v>144</v>
      </c>
      <c r="AD26" s="26">
        <v>8629</v>
      </c>
      <c r="AE26" s="35">
        <f t="shared" ref="AE26:AE49" si="13">AD26/$AD$50</f>
        <v>1.9784831644358192E-3</v>
      </c>
      <c r="AF26" s="26">
        <f t="shared" ref="AF26:AF49" si="14">$B$40*AE26</f>
        <v>72600475.474586383</v>
      </c>
      <c r="AG26" s="78" t="s">
        <v>117</v>
      </c>
      <c r="AH26" s="65">
        <f>S26+T26+U26+V26</f>
        <v>51005983.100218207</v>
      </c>
      <c r="AI26" s="54">
        <f t="shared" ref="AI26:AI73" si="15">AH26/$AH$74</f>
        <v>6.9942969124915286E-4</v>
      </c>
    </row>
    <row r="27" spans="1:35">
      <c r="A27" s="30" t="s">
        <v>193</v>
      </c>
      <c r="B27" s="82">
        <f>'[1]Weight%'!$B$30+'[1]Weight%'!$B$62</f>
        <v>0.27422576393156306</v>
      </c>
      <c r="C27" s="28" t="s">
        <v>33</v>
      </c>
      <c r="D27" s="171"/>
      <c r="E27" s="28"/>
      <c r="F27" s="28">
        <v>2011</v>
      </c>
      <c r="G27" s="26">
        <f>G28/data_1tier!D13</f>
        <v>16335758.108108114</v>
      </c>
      <c r="H27" s="41"/>
      <c r="I27" s="41">
        <f>I28/data_1tier!N16</f>
        <v>117942087.88024265</v>
      </c>
      <c r="J27" s="41">
        <f>J28/data_1tier!T16</f>
        <v>30616949766.76125</v>
      </c>
      <c r="K27" s="83"/>
      <c r="L27" s="41">
        <f>L28/data_1tier!AD16</f>
        <v>21699723.856806614</v>
      </c>
      <c r="M27" s="41">
        <f>M28/data_1tier!AJ21</f>
        <v>3562328786.0668755</v>
      </c>
      <c r="N27" s="41">
        <f>N28/data_1tier!AK21</f>
        <v>33657504336.009151</v>
      </c>
      <c r="O27" s="28"/>
      <c r="P27" s="78" t="s">
        <v>92</v>
      </c>
      <c r="Q27" s="44">
        <v>104543.99999999999</v>
      </c>
      <c r="R27" s="80">
        <f t="shared" si="9"/>
        <v>1.8723922041044372E-3</v>
      </c>
      <c r="S27" s="81">
        <f t="shared" si="10"/>
        <v>1534894.0988651309</v>
      </c>
      <c r="T27" s="81">
        <f t="shared" si="4"/>
        <v>720263.3841744595</v>
      </c>
      <c r="U27" s="81">
        <f t="shared" si="5"/>
        <v>1643066.1841601357</v>
      </c>
      <c r="V27" s="81">
        <f t="shared" si="6"/>
        <v>53438466.231072456</v>
      </c>
      <c r="W27" s="28" t="s">
        <v>148</v>
      </c>
      <c r="X27" s="26">
        <v>18405</v>
      </c>
      <c r="Y27" s="35">
        <f t="shared" si="11"/>
        <v>8.3938759594467019E-2</v>
      </c>
      <c r="Z27" s="26">
        <f t="shared" si="12"/>
        <v>116043885.28850873</v>
      </c>
      <c r="AA27" s="26">
        <f t="shared" si="7"/>
        <v>28675534.669181406</v>
      </c>
      <c r="AB27" s="26">
        <f t="shared" si="8"/>
        <v>326003109.83545905</v>
      </c>
      <c r="AC27" s="28" t="s">
        <v>141</v>
      </c>
      <c r="AD27" s="26">
        <v>30070</v>
      </c>
      <c r="AE27" s="35">
        <f t="shared" si="13"/>
        <v>6.8945403586261542E-3</v>
      </c>
      <c r="AF27" s="26">
        <f t="shared" si="14"/>
        <v>252995283.05954483</v>
      </c>
      <c r="AG27" s="78" t="s">
        <v>92</v>
      </c>
      <c r="AH27" s="65">
        <f>S27+T27+U27+V27</f>
        <v>57336689.898272179</v>
      </c>
      <c r="AI27" s="54">
        <f t="shared" si="15"/>
        <v>7.8624076775466302E-4</v>
      </c>
    </row>
    <row r="28" spans="1:35">
      <c r="A28" s="30" t="s">
        <v>203</v>
      </c>
      <c r="B28" s="82">
        <f>'[1]Weight%'!$B$28+'[1]Weight%'!$B$60</f>
        <v>0.27117117117117118</v>
      </c>
      <c r="C28" s="28" t="s">
        <v>33</v>
      </c>
      <c r="D28" s="171"/>
      <c r="E28" s="28"/>
      <c r="F28" s="28">
        <v>2012</v>
      </c>
      <c r="G28" s="26">
        <f>G29/data_1tier!D14</f>
        <v>24064136.486486495</v>
      </c>
      <c r="H28" s="41">
        <f>H29/data_1tier!I14</f>
        <v>23886403.310034826</v>
      </c>
      <c r="I28" s="41">
        <f>I29/data_1tier!N17</f>
        <v>190573304.33454528</v>
      </c>
      <c r="J28" s="41">
        <f>J29/data_1tier!T17</f>
        <v>32244348470.486473</v>
      </c>
      <c r="K28" s="83"/>
      <c r="L28" s="41">
        <f>L29/data_1tier!AD17</f>
        <v>40324827.43962428</v>
      </c>
      <c r="M28" s="41">
        <f>M29/data_1tier!AJ22</f>
        <v>3771162947.9632173</v>
      </c>
      <c r="N28" s="41">
        <f>N29/data_1tier!AK22</f>
        <v>35630605959.032951</v>
      </c>
      <c r="O28" s="28"/>
      <c r="P28" s="78" t="s">
        <v>109</v>
      </c>
      <c r="Q28" s="44">
        <v>1949</v>
      </c>
      <c r="R28" s="80">
        <f t="shared" si="9"/>
        <v>3.4906760845190047E-5</v>
      </c>
      <c r="S28" s="81">
        <f t="shared" si="10"/>
        <v>28614.828193757079</v>
      </c>
      <c r="T28" s="81">
        <f t="shared" si="4"/>
        <v>13427.775250191515</v>
      </c>
      <c r="U28" s="81">
        <f t="shared" si="5"/>
        <v>30631.466109275567</v>
      </c>
      <c r="V28" s="81">
        <f t="shared" si="6"/>
        <v>996246.27605946036</v>
      </c>
      <c r="W28" s="28" t="s">
        <v>88</v>
      </c>
      <c r="X28" s="26">
        <v>3108</v>
      </c>
      <c r="Y28" s="35">
        <f t="shared" si="11"/>
        <v>1.4174499582700542E-2</v>
      </c>
      <c r="Z28" s="26">
        <f t="shared" si="12"/>
        <v>19596000.840895686</v>
      </c>
      <c r="AA28" s="26">
        <f t="shared" si="7"/>
        <v>4842355.9767354419</v>
      </c>
      <c r="AB28" s="26">
        <f t="shared" si="8"/>
        <v>55051217.895604819</v>
      </c>
      <c r="AC28" s="28" t="s">
        <v>148</v>
      </c>
      <c r="AD28" s="26">
        <v>90936</v>
      </c>
      <c r="AE28" s="35">
        <f t="shared" si="13"/>
        <v>2.0850080547124311E-2</v>
      </c>
      <c r="AF28" s="26">
        <f t="shared" si="14"/>
        <v>765094082.48429573</v>
      </c>
      <c r="AG28" s="78" t="s">
        <v>259</v>
      </c>
      <c r="AH28" s="65">
        <f>AF25</f>
        <v>39796065.476276919</v>
      </c>
      <c r="AI28" s="54">
        <f t="shared" si="15"/>
        <v>5.4571146554146816E-4</v>
      </c>
    </row>
    <row r="29" spans="1:35">
      <c r="A29" s="30" t="s">
        <v>194</v>
      </c>
      <c r="B29" s="82">
        <f>'[1]Weight%'!$B$33+'[1]Weight%'!$B$65</f>
        <v>0.49233715358910596</v>
      </c>
      <c r="C29" s="28" t="s">
        <v>33</v>
      </c>
      <c r="D29" s="171"/>
      <c r="E29" s="28"/>
      <c r="F29" s="28">
        <v>2013</v>
      </c>
      <c r="G29" s="26">
        <f>G30/data_1tier!D15</f>
        <v>46111979.729729742</v>
      </c>
      <c r="H29" s="41">
        <f>H30/data_1tier!I15</f>
        <v>36049879.408513352</v>
      </c>
      <c r="I29" s="41">
        <f>I30/data_1tier!N18</f>
        <v>217421103.52650103</v>
      </c>
      <c r="J29" s="41">
        <f>J30/data_1tier!T18</f>
        <v>33606266199.238728</v>
      </c>
      <c r="K29" s="83"/>
      <c r="L29" s="41">
        <f>L30/data_1tier!AD18</f>
        <v>57471748.198408805</v>
      </c>
      <c r="M29" s="41">
        <f>M30/data_1tier!AJ23</f>
        <v>3895135035.2209949</v>
      </c>
      <c r="N29" s="41">
        <f>N30/data_1tier!AK23</f>
        <v>36801915884.366844</v>
      </c>
      <c r="O29" s="28"/>
      <c r="P29" s="78" t="s">
        <v>110</v>
      </c>
      <c r="Q29" s="44">
        <v>21295</v>
      </c>
      <c r="R29" s="80">
        <f t="shared" si="9"/>
        <v>3.8139531667435718E-4</v>
      </c>
      <c r="S29" s="81">
        <f t="shared" si="10"/>
        <v>312648.93093178916</v>
      </c>
      <c r="T29" s="81">
        <f t="shared" si="4"/>
        <v>146713.42942679749</v>
      </c>
      <c r="U29" s="81">
        <f t="shared" si="5"/>
        <v>334682.95063982724</v>
      </c>
      <c r="V29" s="81">
        <f t="shared" si="6"/>
        <v>10885102.333856445</v>
      </c>
      <c r="W29" s="28" t="s">
        <v>17</v>
      </c>
      <c r="X29" s="26">
        <v>103355</v>
      </c>
      <c r="Y29" s="35">
        <f t="shared" si="11"/>
        <v>0.47136596022201244</v>
      </c>
      <c r="Z29" s="26">
        <f t="shared" si="12"/>
        <v>651655298.23383975</v>
      </c>
      <c r="AA29" s="26">
        <f t="shared" si="7"/>
        <v>161030148.64076307</v>
      </c>
      <c r="AB29" s="26">
        <f t="shared" si="8"/>
        <v>1830700973.4878497</v>
      </c>
      <c r="AC29" s="28" t="s">
        <v>88</v>
      </c>
      <c r="AD29" s="26">
        <v>14719</v>
      </c>
      <c r="AE29" s="35">
        <f t="shared" si="13"/>
        <v>3.3748167455476675E-3</v>
      </c>
      <c r="AF29" s="26">
        <f t="shared" si="14"/>
        <v>123838961.46835518</v>
      </c>
      <c r="AG29" s="78" t="s">
        <v>109</v>
      </c>
      <c r="AH29" s="65">
        <f>S28+T28+U28+V28</f>
        <v>1068920.3456126845</v>
      </c>
      <c r="AI29" s="54">
        <f t="shared" si="15"/>
        <v>1.4657782908190221E-5</v>
      </c>
    </row>
    <row r="30" spans="1:35">
      <c r="A30" s="30" t="s">
        <v>195</v>
      </c>
      <c r="B30" s="82">
        <f>'[1]Weight%'!$B$34+'[1]Weight%'!$B$66</f>
        <v>0.4692643885819518</v>
      </c>
      <c r="C30" s="28" t="s">
        <v>33</v>
      </c>
      <c r="D30" s="171"/>
      <c r="E30" s="28"/>
      <c r="F30" s="28">
        <v>2014</v>
      </c>
      <c r="G30" s="26">
        <f>G31/data_1tier!D16</f>
        <v>78779428.378378406</v>
      </c>
      <c r="H30" s="41">
        <f>H31/data_1tier!I16</f>
        <v>52852099.27795063</v>
      </c>
      <c r="I30" s="41">
        <f>I31/data_1tier!N19</f>
        <v>194732321.96063694</v>
      </c>
      <c r="J30" s="41">
        <f>J31/data_1tier!T19</f>
        <v>34647306241.869362</v>
      </c>
      <c r="K30" s="83"/>
      <c r="L30" s="41">
        <f>L31/data_1tier!AD19</f>
        <v>113636125.81022829</v>
      </c>
      <c r="M30" s="41">
        <f>M31/data_1tier!AJ24</f>
        <v>3920775378.094542</v>
      </c>
      <c r="N30" s="41">
        <f>N31/data_1tier!AK24</f>
        <v>37044170320.515053</v>
      </c>
      <c r="O30" s="28"/>
      <c r="P30" s="78" t="s">
        <v>93</v>
      </c>
      <c r="Q30" s="44">
        <v>237057</v>
      </c>
      <c r="R30" s="80">
        <f t="shared" si="9"/>
        <v>4.2457116499118614E-3</v>
      </c>
      <c r="S30" s="81">
        <f t="shared" si="10"/>
        <v>3480423.4618406738</v>
      </c>
      <c r="T30" s="81">
        <f t="shared" si="4"/>
        <v>1633221.1993251154</v>
      </c>
      <c r="U30" s="81">
        <f t="shared" si="5"/>
        <v>3725707.2660166947</v>
      </c>
      <c r="V30" s="81">
        <f t="shared" si="6"/>
        <v>121173501.00760776</v>
      </c>
      <c r="W30" s="28" t="s">
        <v>22</v>
      </c>
      <c r="X30" s="26">
        <v>5070</v>
      </c>
      <c r="Y30" s="35">
        <f t="shared" si="11"/>
        <v>2.3122494493015365E-2</v>
      </c>
      <c r="Z30" s="26">
        <f t="shared" si="12"/>
        <v>31966449.248179261</v>
      </c>
      <c r="AA30" s="26">
        <f t="shared" si="7"/>
        <v>7899210.0392692052</v>
      </c>
      <c r="AB30" s="26">
        <f t="shared" si="8"/>
        <v>89803627.648235664</v>
      </c>
      <c r="AC30" s="28" t="s">
        <v>17</v>
      </c>
      <c r="AD30" s="26">
        <v>2976459</v>
      </c>
      <c r="AE30" s="35">
        <f t="shared" si="13"/>
        <v>0.68245150320239589</v>
      </c>
      <c r="AF30" s="26">
        <f t="shared" si="14"/>
        <v>25042570243.436306</v>
      </c>
      <c r="AG30" s="78" t="s">
        <v>110</v>
      </c>
      <c r="AH30" s="163">
        <f>S29+T29+U29+V29+Z25+AA25+AB25+AF26</f>
        <v>118781372.24690434</v>
      </c>
      <c r="AI30" s="169">
        <f t="shared" si="15"/>
        <v>1.6288131992979384E-3</v>
      </c>
    </row>
    <row r="31" spans="1:35">
      <c r="A31" s="30" t="s">
        <v>196</v>
      </c>
      <c r="B31" s="82">
        <f>'[1]Weight%'!$B$32+'[1]Weight%'!$B$64</f>
        <v>0.50344378257760847</v>
      </c>
      <c r="C31" s="28" t="s">
        <v>33</v>
      </c>
      <c r="D31" s="171"/>
      <c r="E31" s="28"/>
      <c r="F31" s="28">
        <v>2015</v>
      </c>
      <c r="G31" s="26">
        <f>G32/data_1tier!D17</f>
        <v>133714368.91891897</v>
      </c>
      <c r="H31" s="41">
        <f>H32/data_1tier!I17</f>
        <v>87817913.74685894</v>
      </c>
      <c r="I31" s="41">
        <f>I32/data_1tier!N20</f>
        <v>202254005.594363</v>
      </c>
      <c r="J31" s="41">
        <f>J32/data_1tier!T20</f>
        <v>35034498455.549545</v>
      </c>
      <c r="K31" s="41">
        <f>K32/data_1tier!Y15</f>
        <v>443103438.23019534</v>
      </c>
      <c r="L31" s="41">
        <f>L32/data_1tier!AD20</f>
        <v>151438187.89683601</v>
      </c>
      <c r="M31" s="41">
        <f>M32/data_1tier!AJ25</f>
        <v>3964741431.1783047</v>
      </c>
      <c r="N31" s="41">
        <f>N32/data_1tier!AK25</f>
        <v>37459569266.309097</v>
      </c>
      <c r="O31" s="28"/>
      <c r="P31" s="78" t="s">
        <v>118</v>
      </c>
      <c r="Q31" s="44">
        <v>1608870</v>
      </c>
      <c r="R31" s="80">
        <f t="shared" si="9"/>
        <v>2.8815002730118479E-2</v>
      </c>
      <c r="S31" s="81">
        <f t="shared" si="10"/>
        <v>23621107.560846567</v>
      </c>
      <c r="T31" s="81">
        <f t="shared" si="4"/>
        <v>11084425.226667842</v>
      </c>
      <c r="U31" s="81">
        <f t="shared" si="5"/>
        <v>25285811.636341807</v>
      </c>
      <c r="V31" s="81">
        <f t="shared" si="6"/>
        <v>822386221.73616433</v>
      </c>
      <c r="W31" s="28" t="s">
        <v>47</v>
      </c>
      <c r="X31" s="26">
        <v>35540</v>
      </c>
      <c r="Y31" s="35">
        <f t="shared" si="11"/>
        <v>0.16208549394117674</v>
      </c>
      <c r="Z31" s="26">
        <f t="shared" si="12"/>
        <v>224080395.71603373</v>
      </c>
      <c r="AA31" s="26">
        <f t="shared" si="7"/>
        <v>55372371.754561648</v>
      </c>
      <c r="AB31" s="26">
        <f t="shared" si="8"/>
        <v>629511030.89118266</v>
      </c>
      <c r="AC31" s="28" t="s">
        <v>22</v>
      </c>
      <c r="AD31" s="26">
        <v>1180</v>
      </c>
      <c r="AE31" s="35">
        <f t="shared" si="13"/>
        <v>2.7055396152906094E-4</v>
      </c>
      <c r="AF31" s="26">
        <f t="shared" si="14"/>
        <v>9927982.5078238416</v>
      </c>
      <c r="AG31" s="78" t="s">
        <v>93</v>
      </c>
      <c r="AH31" s="163">
        <f>S30+T30+U30+V30+Z26+AA26+AB26+AF27</f>
        <v>391524876.14218175</v>
      </c>
      <c r="AI31" s="169">
        <f t="shared" si="15"/>
        <v>5.3688627606379279E-3</v>
      </c>
    </row>
    <row r="32" spans="1:35">
      <c r="A32" s="30" t="s">
        <v>197</v>
      </c>
      <c r="B32" s="82">
        <f>'[1]Weight%'!$B$35+'[1]Weight%'!$B$67</f>
        <v>0.21642642642642643</v>
      </c>
      <c r="C32" s="28" t="s">
        <v>33</v>
      </c>
      <c r="D32" s="171"/>
      <c r="E32" s="28"/>
      <c r="F32" s="28">
        <v>2016</v>
      </c>
      <c r="G32" s="26">
        <f>G33/data_1tier!D18</f>
        <v>189414418.91891897</v>
      </c>
      <c r="H32" s="41">
        <f>H33/data_1tier!I18</f>
        <v>113285966.23038864</v>
      </c>
      <c r="I32" s="41">
        <f>I33/data_1tier!N21</f>
        <v>318393150.30415243</v>
      </c>
      <c r="J32" s="41">
        <f>J33/data_1tier!T21</f>
        <v>36857245258.986481</v>
      </c>
      <c r="K32" s="41">
        <f>K33/data_1tier!Y16</f>
        <v>664655157.34529305</v>
      </c>
      <c r="L32" s="41">
        <f>L33/data_1tier!AD21</f>
        <v>223369848.96500906</v>
      </c>
      <c r="M32" s="41">
        <f>M33/data_1tier!AJ26</f>
        <v>4077058557.8394585</v>
      </c>
      <c r="N32" s="41">
        <f>N33/data_1tier!AK26</f>
        <v>38520761089.026764</v>
      </c>
      <c r="O32" s="28"/>
      <c r="P32" s="78" t="s">
        <v>115</v>
      </c>
      <c r="Q32" s="45">
        <v>327681</v>
      </c>
      <c r="R32" s="80">
        <f t="shared" si="9"/>
        <v>5.8687954338187383E-3</v>
      </c>
      <c r="S32" s="81">
        <f t="shared" si="10"/>
        <v>4810946.9047503928</v>
      </c>
      <c r="T32" s="81">
        <f t="shared" si="4"/>
        <v>2257581.7453863551</v>
      </c>
      <c r="U32" s="81">
        <f t="shared" si="5"/>
        <v>5149999.7158304397</v>
      </c>
      <c r="V32" s="81">
        <f t="shared" si="6"/>
        <v>167496652.63491026</v>
      </c>
      <c r="W32" s="28" t="s">
        <v>149</v>
      </c>
      <c r="X32" s="26">
        <v>1900</v>
      </c>
      <c r="Y32" s="35">
        <f t="shared" si="11"/>
        <v>8.6652346226290325E-3</v>
      </c>
      <c r="Z32" s="26">
        <f t="shared" si="12"/>
        <v>11979537.193597751</v>
      </c>
      <c r="AA32" s="26">
        <f t="shared" si="7"/>
        <v>2960256.2277340218</v>
      </c>
      <c r="AB32" s="26">
        <f t="shared" si="8"/>
        <v>33654219.434250057</v>
      </c>
      <c r="AC32" s="28" t="s">
        <v>47</v>
      </c>
      <c r="AD32" s="26">
        <v>123621</v>
      </c>
      <c r="AE32" s="35">
        <f t="shared" si="13"/>
        <v>2.8344195998461053E-2</v>
      </c>
      <c r="AF32" s="26">
        <f t="shared" si="14"/>
        <v>1040090784.4065179</v>
      </c>
      <c r="AG32" s="78" t="s">
        <v>118</v>
      </c>
      <c r="AH32" s="163">
        <f>S31+T31+U31+V31+Z27+AA27+AB27+AF28</f>
        <v>2118194178.4374657</v>
      </c>
      <c r="AI32" s="169">
        <f t="shared" si="15"/>
        <v>2.9046159100968912E-2</v>
      </c>
    </row>
    <row r="33" spans="1:35" ht="32">
      <c r="A33" s="67" t="s">
        <v>199</v>
      </c>
      <c r="B33" s="26">
        <f>data_1tier!B7*data_2tier!B25</f>
        <v>819750314.86486495</v>
      </c>
      <c r="C33" s="28" t="s">
        <v>7</v>
      </c>
      <c r="D33" s="28"/>
      <c r="E33" s="28"/>
      <c r="F33" s="28">
        <v>2017</v>
      </c>
      <c r="G33" s="26">
        <f>G34/data_1tier!D19</f>
        <v>308920774.32432437</v>
      </c>
      <c r="H33" s="41">
        <f>H34/data_1tier!I19</f>
        <v>164079679.50363928</v>
      </c>
      <c r="I33" s="41">
        <f>I34/data_1tier!N22</f>
        <v>468037930.94710404</v>
      </c>
      <c r="J33" s="41">
        <f>J34/data_1tier!T22</f>
        <v>37547868325.617111</v>
      </c>
      <c r="K33" s="41">
        <f>K34/data_1tier!Y17</f>
        <v>886206876.46039069</v>
      </c>
      <c r="L33" s="41">
        <f>L34/data_1tier!AD22</f>
        <v>249648654.72559837</v>
      </c>
      <c r="M33" s="41">
        <f>M34/data_1tier!AJ27</f>
        <v>4250840845.9945798</v>
      </c>
      <c r="N33" s="41">
        <f>N34/data_1tier!AK27</f>
        <v>40162686489.057144</v>
      </c>
      <c r="O33" s="28"/>
      <c r="P33" s="78" t="s">
        <v>120</v>
      </c>
      <c r="Q33" s="44">
        <v>19994081</v>
      </c>
      <c r="R33" s="80">
        <f t="shared" si="9"/>
        <v>0.35809574334856764</v>
      </c>
      <c r="S33" s="81">
        <f t="shared" si="10"/>
        <v>293549098.36175621</v>
      </c>
      <c r="T33" s="81">
        <f t="shared" si="4"/>
        <v>137750654.69580525</v>
      </c>
      <c r="U33" s="81">
        <f t="shared" si="5"/>
        <v>314237052.09728611</v>
      </c>
      <c r="V33" s="81">
        <f t="shared" si="6"/>
        <v>10220127624.156601</v>
      </c>
      <c r="W33" s="28" t="s">
        <v>150</v>
      </c>
      <c r="X33" s="26">
        <v>708</v>
      </c>
      <c r="Y33" s="35">
        <f t="shared" si="11"/>
        <v>3.2289400593796605E-3</v>
      </c>
      <c r="Z33" s="26">
        <f t="shared" si="12"/>
        <v>4463953.8595090564</v>
      </c>
      <c r="AA33" s="26">
        <f t="shared" si="7"/>
        <v>1103084.9522293091</v>
      </c>
      <c r="AB33" s="26">
        <f t="shared" si="8"/>
        <v>12540624.92602581</v>
      </c>
      <c r="AC33" s="28" t="s">
        <v>149</v>
      </c>
      <c r="AD33" s="26">
        <v>53219</v>
      </c>
      <c r="AE33" s="35">
        <f t="shared" si="13"/>
        <v>1.2202212947978894E-2</v>
      </c>
      <c r="AF33" s="26">
        <f t="shared" si="14"/>
        <v>447760424.64735341</v>
      </c>
      <c r="AG33" s="78" t="s">
        <v>115</v>
      </c>
      <c r="AH33" s="163">
        <f>S32+T32+U32+V32+Z28+AA28+AB28+AF29</f>
        <v>383043717.18246853</v>
      </c>
      <c r="AI33" s="169">
        <f t="shared" si="15"/>
        <v>5.2525631810185743E-3</v>
      </c>
    </row>
    <row r="34" spans="1:35" ht="32">
      <c r="A34" s="67" t="s">
        <v>200</v>
      </c>
      <c r="B34" s="26">
        <f>data_1tier!G7*data_2tier!B26</f>
        <v>384675487.64387244</v>
      </c>
      <c r="C34" s="28" t="s">
        <v>7</v>
      </c>
      <c r="D34" s="28"/>
      <c r="E34" s="28"/>
      <c r="F34" s="28">
        <v>2018</v>
      </c>
      <c r="G34" s="26">
        <f>G35/data_1tier!D20</f>
        <v>558032035.13513517</v>
      </c>
      <c r="H34" s="41">
        <f>H35/data_1tier!I20</f>
        <v>252838086.45463306</v>
      </c>
      <c r="I34" s="41">
        <f>I35/data_1tier!N23</f>
        <v>571006275.75546694</v>
      </c>
      <c r="J34" s="41">
        <f>J35/data_1tier!T23</f>
        <v>36035790878.720718</v>
      </c>
      <c r="K34" s="41">
        <f>K35/data_1tier!Y18</f>
        <v>1329310314.6905861</v>
      </c>
      <c r="L34" s="41">
        <f>L35/data_1tier!AD23</f>
        <v>289066863.36648232</v>
      </c>
      <c r="M34" s="41">
        <f>M35/data_1tier!AJ28</f>
        <v>4480961118.3799353</v>
      </c>
      <c r="N34" s="41">
        <f>N35/data_1tier!AK28</f>
        <v>42336903000.432335</v>
      </c>
      <c r="O34" s="28"/>
      <c r="P34" s="78" t="s">
        <v>119</v>
      </c>
      <c r="Q34" s="44">
        <v>43351</v>
      </c>
      <c r="R34" s="80">
        <f t="shared" si="9"/>
        <v>7.7642021005635393E-4</v>
      </c>
      <c r="S34" s="81">
        <f t="shared" si="10"/>
        <v>636470.71166114067</v>
      </c>
      <c r="T34" s="81">
        <f t="shared" si="4"/>
        <v>298669.8229199858</v>
      </c>
      <c r="U34" s="81">
        <f t="shared" si="5"/>
        <v>681326.16075074661</v>
      </c>
      <c r="V34" s="81">
        <f t="shared" si="6"/>
        <v>22159195.64569198</v>
      </c>
      <c r="W34" s="28" t="s">
        <v>142</v>
      </c>
      <c r="X34" s="26">
        <v>335</v>
      </c>
      <c r="Y34" s="35">
        <f t="shared" si="11"/>
        <v>1.5278176834635398E-3</v>
      </c>
      <c r="Z34" s="26">
        <f t="shared" si="12"/>
        <v>2112181.5578185506</v>
      </c>
      <c r="AA34" s="26">
        <f t="shared" si="7"/>
        <v>521939.91383731435</v>
      </c>
      <c r="AB34" s="26">
        <f t="shared" si="8"/>
        <v>5933770.2686704034</v>
      </c>
      <c r="AC34" s="28" t="s">
        <v>150</v>
      </c>
      <c r="AD34" s="26">
        <v>10301</v>
      </c>
      <c r="AE34" s="35">
        <f t="shared" si="13"/>
        <v>2.361844370941404E-3</v>
      </c>
      <c r="AF34" s="26">
        <f t="shared" si="14"/>
        <v>86667921.875502869</v>
      </c>
      <c r="AG34" s="78" t="s">
        <v>120</v>
      </c>
      <c r="AH34" s="163">
        <f>S33+T33+U33+V33+Z29+AA29+AB29+AF30</f>
        <v>38651621093.110207</v>
      </c>
      <c r="AI34" s="169">
        <f t="shared" si="15"/>
        <v>0.53001804424229715</v>
      </c>
    </row>
    <row r="35" spans="1:35" ht="32">
      <c r="A35" s="67" t="s">
        <v>201</v>
      </c>
      <c r="B35" s="26">
        <f>data_1tier!L7*data_2tier!B27</f>
        <v>877522444.58100176</v>
      </c>
      <c r="C35" s="28" t="s">
        <v>7</v>
      </c>
      <c r="D35" s="28"/>
      <c r="E35" s="28"/>
      <c r="F35" s="28">
        <v>2019</v>
      </c>
      <c r="G35" s="26">
        <f>G36/data_1tier!D21</f>
        <v>628462374.32432437</v>
      </c>
      <c r="H35" s="41">
        <f>H36/data_1tier!I21</f>
        <v>227468764.12344038</v>
      </c>
      <c r="I35" s="41">
        <f>I36/data_1tier!N24</f>
        <v>645237091.60367775</v>
      </c>
      <c r="J35" s="41">
        <f>J36/data_1tier!T24</f>
        <v>34323825740.954952</v>
      </c>
      <c r="K35" s="41">
        <f>K36/data_1tier!Y19</f>
        <v>886206876.46039069</v>
      </c>
      <c r="L35" s="41">
        <f>L36/data_1tier!AD24</f>
        <v>315345669.12707162</v>
      </c>
      <c r="M35" s="41">
        <f>M36/data_1tier!AJ29</f>
        <v>4391964252.1193619</v>
      </c>
      <c r="N35" s="41">
        <f>N36/data_1tier!AK29</f>
        <v>41496045069.583199</v>
      </c>
      <c r="O35" s="28"/>
      <c r="P35" s="78" t="s">
        <v>101</v>
      </c>
      <c r="Q35" s="44">
        <v>1152901</v>
      </c>
      <c r="R35" s="80">
        <f t="shared" si="9"/>
        <v>2.0648557970846821E-2</v>
      </c>
      <c r="S35" s="81">
        <f t="shared" si="10"/>
        <v>16926661.898107097</v>
      </c>
      <c r="T35" s="81">
        <f t="shared" si="4"/>
        <v>7942994.10657827</v>
      </c>
      <c r="U35" s="81">
        <f t="shared" si="5"/>
        <v>18119573.067650031</v>
      </c>
      <c r="V35" s="81">
        <f t="shared" si="6"/>
        <v>589314175.43110728</v>
      </c>
      <c r="W35" s="28" t="s">
        <v>18</v>
      </c>
      <c r="X35" s="26">
        <v>4658</v>
      </c>
      <c r="Y35" s="35">
        <f t="shared" si="11"/>
        <v>2.124350677484528E-2</v>
      </c>
      <c r="Z35" s="26">
        <f t="shared" si="12"/>
        <v>29368781.183041222</v>
      </c>
      <c r="AA35" s="26">
        <f t="shared" si="7"/>
        <v>7257301.8467289861</v>
      </c>
      <c r="AB35" s="26">
        <f t="shared" si="8"/>
        <v>82505975.855124608</v>
      </c>
      <c r="AC35" s="28" t="s">
        <v>142</v>
      </c>
      <c r="AD35" s="26">
        <v>47937</v>
      </c>
      <c r="AE35" s="35">
        <f t="shared" si="13"/>
        <v>1.0991140045608978E-2</v>
      </c>
      <c r="AF35" s="26">
        <f t="shared" si="14"/>
        <v>403320082.60809451</v>
      </c>
      <c r="AG35" s="78" t="s">
        <v>119</v>
      </c>
      <c r="AH35" s="163">
        <f>S34+T34+U34+V34</f>
        <v>23775662.341023851</v>
      </c>
      <c r="AI35" s="169">
        <f t="shared" si="15"/>
        <v>3.2602850018109507E-4</v>
      </c>
    </row>
    <row r="36" spans="1:35" ht="32">
      <c r="A36" s="67" t="s">
        <v>204</v>
      </c>
      <c r="B36" s="26">
        <f>data_1tier!R7*B28</f>
        <v>28540209745.549549</v>
      </c>
      <c r="C36" s="28" t="s">
        <v>7</v>
      </c>
      <c r="D36" s="28"/>
      <c r="E36" s="28"/>
      <c r="F36" s="28">
        <v>2020</v>
      </c>
      <c r="G36" s="26">
        <f>B33</f>
        <v>819750314.86486495</v>
      </c>
      <c r="H36" s="41">
        <f>B34</f>
        <v>384675487.64387244</v>
      </c>
      <c r="I36" s="41">
        <f>B35</f>
        <v>877522444.58100176</v>
      </c>
      <c r="J36" s="41">
        <f>B36</f>
        <v>28540209745.549549</v>
      </c>
      <c r="K36" s="41">
        <f>B37</f>
        <v>1382482727.2782094</v>
      </c>
      <c r="L36" s="41">
        <f>B38</f>
        <v>341624474.88766092</v>
      </c>
      <c r="M36" s="41">
        <f>B39</f>
        <v>3883820911.9419508</v>
      </c>
      <c r="N36" s="41">
        <f>B40</f>
        <v>36695018072.235657</v>
      </c>
      <c r="O36" s="28"/>
      <c r="P36" s="77" t="s">
        <v>258</v>
      </c>
      <c r="Q36" s="44">
        <v>23754</v>
      </c>
      <c r="R36" s="80">
        <f t="shared" si="9"/>
        <v>4.2543622222506128E-4</v>
      </c>
      <c r="S36" s="81">
        <f t="shared" si="10"/>
        <v>348751.47712391266</v>
      </c>
      <c r="T36" s="81">
        <f t="shared" si="4"/>
        <v>163654.88624579232</v>
      </c>
      <c r="U36" s="81">
        <f t="shared" si="5"/>
        <v>373329.83374024206</v>
      </c>
      <c r="V36" s="81">
        <f t="shared" si="6"/>
        <v>12142039.015657477</v>
      </c>
      <c r="W36" s="28" t="s">
        <v>145</v>
      </c>
      <c r="X36" s="26">
        <v>1801</v>
      </c>
      <c r="Y36" s="35">
        <f t="shared" si="11"/>
        <v>8.2137302922920454E-3</v>
      </c>
      <c r="Z36" s="26">
        <f t="shared" si="12"/>
        <v>11355340.255615551</v>
      </c>
      <c r="AA36" s="26">
        <f t="shared" si="7"/>
        <v>2806011.2979731439</v>
      </c>
      <c r="AB36" s="26">
        <f t="shared" si="8"/>
        <v>31900657.474254917</v>
      </c>
      <c r="AC36" s="28" t="s">
        <v>18</v>
      </c>
      <c r="AD36" s="26">
        <v>405451</v>
      </c>
      <c r="AE36" s="35">
        <f t="shared" si="13"/>
        <v>9.296302903044007E-2</v>
      </c>
      <c r="AF36" s="26">
        <f t="shared" si="14"/>
        <v>3411280030.3217664</v>
      </c>
      <c r="AG36" s="78" t="s">
        <v>101</v>
      </c>
      <c r="AH36" s="163">
        <f>S35+T35+U35+V35+Z30+AA30+AB30+AF31</f>
        <v>771900673.94695067</v>
      </c>
      <c r="AI36" s="169">
        <f t="shared" si="15"/>
        <v>1.0584841566389083E-2</v>
      </c>
    </row>
    <row r="37" spans="1:35" ht="32">
      <c r="A37" s="67" t="s">
        <v>202</v>
      </c>
      <c r="B37" s="26">
        <f>data_1tier!W7*data_2tier!B29</f>
        <v>1382482727.2782094</v>
      </c>
      <c r="C37" s="28" t="s">
        <v>7</v>
      </c>
      <c r="D37" s="28"/>
      <c r="E37" s="28"/>
      <c r="F37" s="28"/>
      <c r="G37" s="28"/>
      <c r="H37" s="28"/>
      <c r="I37" s="28"/>
      <c r="J37" s="28"/>
      <c r="K37" s="28"/>
      <c r="L37" s="28"/>
      <c r="M37" s="28"/>
      <c r="N37" s="28"/>
      <c r="O37" s="28"/>
      <c r="P37" s="78" t="s">
        <v>94</v>
      </c>
      <c r="Q37" s="44">
        <v>86270</v>
      </c>
      <c r="R37" s="80">
        <f t="shared" si="9"/>
        <v>1.5451032622445077E-3</v>
      </c>
      <c r="S37" s="81">
        <f t="shared" si="10"/>
        <v>1266598.8857236651</v>
      </c>
      <c r="T37" s="81">
        <f t="shared" si="4"/>
        <v>594363.35086404416</v>
      </c>
      <c r="U37" s="81">
        <f t="shared" si="5"/>
        <v>1355862.7918148811</v>
      </c>
      <c r="V37" s="81">
        <f t="shared" si="6"/>
        <v>44097571.182991102</v>
      </c>
      <c r="W37" s="28" t="s">
        <v>151</v>
      </c>
      <c r="X37" s="26">
        <v>487</v>
      </c>
      <c r="Y37" s="35">
        <f t="shared" si="11"/>
        <v>2.2210364532738625E-3</v>
      </c>
      <c r="Z37" s="26">
        <f t="shared" si="12"/>
        <v>3070544.533306371</v>
      </c>
      <c r="AA37" s="26">
        <f t="shared" si="7"/>
        <v>758760.41205603606</v>
      </c>
      <c r="AB37" s="26">
        <f t="shared" si="8"/>
        <v>8626107.8234104086</v>
      </c>
      <c r="AC37" s="28" t="s">
        <v>145</v>
      </c>
      <c r="AD37" s="26">
        <v>8240</v>
      </c>
      <c r="AE37" s="35">
        <f t="shared" si="13"/>
        <v>1.8892920703385272E-3</v>
      </c>
      <c r="AF37" s="26">
        <f t="shared" si="14"/>
        <v>69327606.664803773</v>
      </c>
      <c r="AG37" s="77" t="s">
        <v>258</v>
      </c>
      <c r="AH37" s="163">
        <f>S36+T36+U36+V36</f>
        <v>13027775.212767424</v>
      </c>
      <c r="AI37" s="169">
        <f t="shared" si="15"/>
        <v>1.7864595956960006E-4</v>
      </c>
    </row>
    <row r="38" spans="1:35" ht="32">
      <c r="A38" s="67" t="s">
        <v>205</v>
      </c>
      <c r="B38" s="26">
        <f>data_1tier!AB7*data_2tier!B30</f>
        <v>341624474.88766092</v>
      </c>
      <c r="C38" s="28" t="s">
        <v>7</v>
      </c>
      <c r="D38" s="28"/>
      <c r="E38" s="28"/>
      <c r="F38" s="28"/>
      <c r="G38" s="28"/>
      <c r="H38" s="28"/>
      <c r="I38" s="28"/>
      <c r="J38" s="28"/>
      <c r="K38" s="28"/>
      <c r="L38" s="28"/>
      <c r="M38" s="28"/>
      <c r="N38" s="28"/>
      <c r="O38" s="28"/>
      <c r="P38" s="78" t="s">
        <v>95</v>
      </c>
      <c r="Q38" s="44">
        <v>927718</v>
      </c>
      <c r="R38" s="80">
        <f t="shared" si="9"/>
        <v>1.6615510701784516E-2</v>
      </c>
      <c r="S38" s="81">
        <f t="shared" si="10"/>
        <v>13620570.12942839</v>
      </c>
      <c r="T38" s="81">
        <f t="shared" si="4"/>
        <v>6391579.6816609399</v>
      </c>
      <c r="U38" s="81">
        <f t="shared" si="5"/>
        <v>14580483.568991745</v>
      </c>
      <c r="V38" s="81">
        <f t="shared" si="6"/>
        <v>474210160.45835328</v>
      </c>
      <c r="W38" s="28" t="s">
        <v>23</v>
      </c>
      <c r="X38" s="26">
        <v>6037</v>
      </c>
      <c r="Y38" s="35">
        <f t="shared" si="11"/>
        <v>2.7532642850953404E-2</v>
      </c>
      <c r="Z38" s="26">
        <f t="shared" si="12"/>
        <v>38063403.177762955</v>
      </c>
      <c r="AA38" s="26">
        <f t="shared" si="7"/>
        <v>9405824.6562264692</v>
      </c>
      <c r="AB38" s="26">
        <f t="shared" si="8"/>
        <v>106931854.06556189</v>
      </c>
      <c r="AC38" s="28" t="s">
        <v>163</v>
      </c>
      <c r="AD38" s="26">
        <v>133314</v>
      </c>
      <c r="AE38" s="35">
        <f t="shared" si="13"/>
        <v>3.0566636294309515E-2</v>
      </c>
      <c r="AF38" s="26">
        <f t="shared" si="14"/>
        <v>1121643271.2271421</v>
      </c>
      <c r="AG38" s="78" t="s">
        <v>94</v>
      </c>
      <c r="AH38" s="163">
        <f>S37+T37+U37+V37</f>
        <v>47314396.211393692</v>
      </c>
      <c r="AI38" s="169">
        <f t="shared" si="15"/>
        <v>6.4880807156981557E-4</v>
      </c>
    </row>
    <row r="39" spans="1:35" ht="32">
      <c r="A39" s="67" t="s">
        <v>206</v>
      </c>
      <c r="B39" s="26">
        <f>data_1tier!AG9*data_2tier!B31</f>
        <v>3883820911.9419508</v>
      </c>
      <c r="C39" s="28" t="s">
        <v>7</v>
      </c>
      <c r="D39" s="28"/>
      <c r="E39" s="28"/>
      <c r="F39" s="28"/>
      <c r="G39" s="28"/>
      <c r="H39" s="28"/>
      <c r="I39" s="28"/>
      <c r="J39" s="28"/>
      <c r="K39" s="28"/>
      <c r="L39" s="28"/>
      <c r="M39" s="28"/>
      <c r="N39" s="28"/>
      <c r="O39" s="28"/>
      <c r="P39" s="78" t="s">
        <v>96</v>
      </c>
      <c r="Q39" s="44">
        <v>3515372</v>
      </c>
      <c r="R39" s="80">
        <f t="shared" si="9"/>
        <v>6.2960620670024336E-2</v>
      </c>
      <c r="S39" s="81">
        <f t="shared" si="10"/>
        <v>51611988.618339777</v>
      </c>
      <c r="T39" s="81">
        <f t="shared" si="4"/>
        <v>24219407.458602488</v>
      </c>
      <c r="U39" s="81">
        <f t="shared" si="5"/>
        <v>55249357.762696907</v>
      </c>
      <c r="V39" s="81">
        <f t="shared" si="6"/>
        <v>1796909319.632477</v>
      </c>
      <c r="W39" s="28" t="s">
        <v>143</v>
      </c>
      <c r="X39" s="26">
        <v>61</v>
      </c>
      <c r="Y39" s="35">
        <f t="shared" si="11"/>
        <v>2.7819963788440575E-4</v>
      </c>
      <c r="Z39" s="26">
        <f t="shared" si="12"/>
        <v>384606.19411024352</v>
      </c>
      <c r="AA39" s="26">
        <f t="shared" si="7"/>
        <v>95039.805206197532</v>
      </c>
      <c r="AB39" s="26">
        <f t="shared" si="8"/>
        <v>1080477.5713101332</v>
      </c>
      <c r="AC39" s="28" t="s">
        <v>151</v>
      </c>
      <c r="AD39" s="26">
        <v>2755</v>
      </c>
      <c r="AE39" s="35">
        <f t="shared" si="13"/>
        <v>6.3167471526488382E-4</v>
      </c>
      <c r="AF39" s="26">
        <f t="shared" si="14"/>
        <v>23179315.092419226</v>
      </c>
      <c r="AG39" s="78" t="s">
        <v>95</v>
      </c>
      <c r="AH39" s="163">
        <f>S38+T38+U38+V38</f>
        <v>508802793.83843434</v>
      </c>
      <c r="AI39" s="169">
        <f t="shared" si="15"/>
        <v>6.9770595402875403E-3</v>
      </c>
    </row>
    <row r="40" spans="1:35" ht="32">
      <c r="A40" s="67" t="s">
        <v>207</v>
      </c>
      <c r="B40" s="26">
        <f>data_1tier!AG11*data_2tier!B32</f>
        <v>36695018072.235657</v>
      </c>
      <c r="C40" s="28" t="s">
        <v>7</v>
      </c>
      <c r="D40" s="28"/>
      <c r="E40" s="28"/>
      <c r="F40" s="28"/>
      <c r="G40" s="28"/>
      <c r="H40" s="28"/>
      <c r="I40" s="28"/>
      <c r="J40" s="28"/>
      <c r="K40" s="28"/>
      <c r="L40" s="28"/>
      <c r="M40" s="28"/>
      <c r="N40" s="28"/>
      <c r="O40" s="28"/>
      <c r="P40" s="78" t="s">
        <v>102</v>
      </c>
      <c r="Q40" s="44">
        <v>406496.92800000001</v>
      </c>
      <c r="R40" s="80">
        <f t="shared" si="9"/>
        <v>7.2803956131351662E-3</v>
      </c>
      <c r="S40" s="81">
        <f t="shared" si="10"/>
        <v>5968106.596208334</v>
      </c>
      <c r="T40" s="81">
        <f t="shared" si="4"/>
        <v>2800589.7327230796</v>
      </c>
      <c r="U40" s="81">
        <f t="shared" si="5"/>
        <v>6388710.5559551725</v>
      </c>
      <c r="V40" s="81">
        <f t="shared" si="6"/>
        <v>207784017.82945645</v>
      </c>
      <c r="W40" s="28" t="s">
        <v>19</v>
      </c>
      <c r="X40" s="26">
        <v>10445</v>
      </c>
      <c r="Y40" s="35">
        <f t="shared" si="11"/>
        <v>4.7635987175452761E-2</v>
      </c>
      <c r="Z40" s="26">
        <f t="shared" si="12"/>
        <v>65855929.466909744</v>
      </c>
      <c r="AA40" s="26">
        <f t="shared" si="7"/>
        <v>16273619.1045694</v>
      </c>
      <c r="AB40" s="26">
        <f t="shared" si="8"/>
        <v>185009643.15302202</v>
      </c>
      <c r="AC40" s="28" t="s">
        <v>143</v>
      </c>
      <c r="AD40" s="26">
        <v>3039</v>
      </c>
      <c r="AE40" s="35">
        <f t="shared" si="13"/>
        <v>6.9679109244645434E-4</v>
      </c>
      <c r="AF40" s="26">
        <f t="shared" si="14"/>
        <v>25568761.729895469</v>
      </c>
      <c r="AG40" s="78" t="s">
        <v>96</v>
      </c>
      <c r="AH40" s="163">
        <f>S39+T39+U39+V39</f>
        <v>1927990073.4721162</v>
      </c>
      <c r="AI40" s="169">
        <f t="shared" si="15"/>
        <v>2.6437947469230623E-2</v>
      </c>
    </row>
    <row r="41" spans="1:35" ht="43.5" customHeight="1">
      <c r="A41" s="67" t="s">
        <v>588</v>
      </c>
      <c r="B41" s="26">
        <f>SUM(B33:B40)</f>
        <v>72925104178.982758</v>
      </c>
      <c r="C41" s="28" t="s">
        <v>7</v>
      </c>
      <c r="D41" s="28"/>
      <c r="E41" s="28"/>
      <c r="F41" s="28"/>
      <c r="G41" s="28"/>
      <c r="H41" s="28"/>
      <c r="I41" s="28"/>
      <c r="J41" s="28"/>
      <c r="K41" s="28"/>
      <c r="L41" s="28"/>
      <c r="M41" s="28"/>
      <c r="N41" s="28"/>
      <c r="O41" s="28"/>
      <c r="P41" s="78" t="s">
        <v>121</v>
      </c>
      <c r="Q41" s="44">
        <v>2851268</v>
      </c>
      <c r="R41" s="80">
        <f t="shared" si="9"/>
        <v>5.1066459816081759E-2</v>
      </c>
      <c r="S41" s="81">
        <f t="shared" si="10"/>
        <v>41861746.513266996</v>
      </c>
      <c r="T41" s="81">
        <f t="shared" si="4"/>
        <v>19644015.331997469</v>
      </c>
      <c r="U41" s="81">
        <f t="shared" si="5"/>
        <v>44811964.653905556</v>
      </c>
      <c r="V41" s="81">
        <f t="shared" si="6"/>
        <v>1457447474.113651</v>
      </c>
      <c r="W41" s="28" t="s">
        <v>29</v>
      </c>
      <c r="X41" s="26">
        <v>13351</v>
      </c>
      <c r="Y41" s="35">
        <f t="shared" si="11"/>
        <v>6.0889235498273797E-2</v>
      </c>
      <c r="Z41" s="26">
        <f t="shared" si="12"/>
        <v>84178316.353538722</v>
      </c>
      <c r="AA41" s="26">
        <f t="shared" si="7"/>
        <v>20801253.10340891</v>
      </c>
      <c r="AB41" s="26">
        <f t="shared" si="8"/>
        <v>236482886.14035395</v>
      </c>
      <c r="AC41" s="28" t="s">
        <v>19</v>
      </c>
      <c r="AD41" s="26">
        <v>55583</v>
      </c>
      <c r="AE41" s="35">
        <f t="shared" si="13"/>
        <v>1.2744238003109995E-2</v>
      </c>
      <c r="AF41" s="26">
        <f t="shared" si="14"/>
        <v>467650043.8409937</v>
      </c>
      <c r="AG41" s="78" t="s">
        <v>102</v>
      </c>
      <c r="AH41" s="163">
        <f>S40+T40+U40+V40</f>
        <v>222941424.71434304</v>
      </c>
      <c r="AI41" s="169">
        <f t="shared" si="15"/>
        <v>3.0571286421088926E-3</v>
      </c>
    </row>
    <row r="42" spans="1:35" ht="32">
      <c r="A42" s="67" t="s">
        <v>262</v>
      </c>
      <c r="B42" s="41">
        <f>SUM(G25:G36)</f>
        <v>2803585589.1891894</v>
      </c>
      <c r="C42" s="28" t="s">
        <v>7</v>
      </c>
      <c r="D42" s="28"/>
      <c r="E42" s="28"/>
      <c r="F42" s="28"/>
      <c r="G42" s="28"/>
      <c r="H42" s="28"/>
      <c r="I42" s="28"/>
      <c r="J42" s="28"/>
      <c r="K42" s="28"/>
      <c r="L42" s="28"/>
      <c r="M42" s="28"/>
      <c r="N42" s="28"/>
      <c r="O42" s="28"/>
      <c r="P42" s="78" t="s">
        <v>122</v>
      </c>
      <c r="Q42" s="44">
        <v>551400</v>
      </c>
      <c r="R42" s="80">
        <f t="shared" si="9"/>
        <v>9.8756223345499196E-3</v>
      </c>
      <c r="S42" s="81">
        <f t="shared" si="10"/>
        <v>8095544.5182337891</v>
      </c>
      <c r="T42" s="81">
        <f t="shared" si="4"/>
        <v>3798909.8373297085</v>
      </c>
      <c r="U42" s="81">
        <f t="shared" si="5"/>
        <v>8666080.252772985</v>
      </c>
      <c r="V42" s="81">
        <f t="shared" si="6"/>
        <v>281852332.79588842</v>
      </c>
      <c r="W42" s="28" t="s">
        <v>48</v>
      </c>
      <c r="X42" s="26">
        <v>745</v>
      </c>
      <c r="Y42" s="35">
        <f t="shared" si="11"/>
        <v>3.3976841020308575E-3</v>
      </c>
      <c r="Z42" s="26">
        <f t="shared" si="12"/>
        <v>4697239.5838054335</v>
      </c>
      <c r="AA42" s="26">
        <f t="shared" si="7"/>
        <v>1160732.0471904455</v>
      </c>
      <c r="AB42" s="26">
        <f t="shared" si="8"/>
        <v>13195996.567640154</v>
      </c>
      <c r="AC42" s="28" t="s">
        <v>29</v>
      </c>
      <c r="AD42" s="26">
        <v>52279</v>
      </c>
      <c r="AE42" s="35">
        <f t="shared" si="13"/>
        <v>1.1986686910828624E-2</v>
      </c>
      <c r="AF42" s="26">
        <f t="shared" si="14"/>
        <v>439851692.81908697</v>
      </c>
      <c r="AG42" s="78" t="s">
        <v>121</v>
      </c>
      <c r="AH42" s="163">
        <f t="shared" ref="AH42:AH47" si="16">S41+T41+U41+V41+Z31+AA31+AB31+AF32</f>
        <v>3512819783.3811169</v>
      </c>
      <c r="AI42" s="169">
        <f t="shared" si="15"/>
        <v>4.8170240179012634E-2</v>
      </c>
    </row>
    <row r="43" spans="1:35" ht="32">
      <c r="A43" s="67" t="s">
        <v>263</v>
      </c>
      <c r="B43" s="41">
        <f>SUM(H25:H36)</f>
        <v>1342954279.6993315</v>
      </c>
      <c r="C43" s="28" t="s">
        <v>7</v>
      </c>
      <c r="D43" s="28"/>
      <c r="E43" s="28"/>
      <c r="F43" s="28"/>
      <c r="G43" s="28"/>
      <c r="H43" s="28"/>
      <c r="I43" s="28"/>
      <c r="J43" s="28"/>
      <c r="K43" s="28"/>
      <c r="L43" s="28"/>
      <c r="M43" s="28"/>
      <c r="N43" s="28"/>
      <c r="O43" s="28"/>
      <c r="P43" s="78" t="s">
        <v>123</v>
      </c>
      <c r="Q43" s="44">
        <v>826210</v>
      </c>
      <c r="R43" s="80">
        <f t="shared" si="9"/>
        <v>1.4797493523809374E-2</v>
      </c>
      <c r="S43" s="81">
        <f t="shared" si="10"/>
        <v>12130249.975353535</v>
      </c>
      <c r="T43" s="81">
        <f t="shared" si="4"/>
        <v>5692233.0371784158</v>
      </c>
      <c r="U43" s="81">
        <f t="shared" si="5"/>
        <v>12985132.690684745</v>
      </c>
      <c r="V43" s="81">
        <f t="shared" si="6"/>
        <v>422323568.87793064</v>
      </c>
      <c r="W43" s="28" t="s">
        <v>147</v>
      </c>
      <c r="X43" s="26">
        <v>9939</v>
      </c>
      <c r="Y43" s="35">
        <f t="shared" si="11"/>
        <v>4.5328298375952605E-2</v>
      </c>
      <c r="Z43" s="26">
        <f t="shared" si="12"/>
        <v>62665589.56166739</v>
      </c>
      <c r="AA43" s="26">
        <f t="shared" si="7"/>
        <v>15485256.130236022</v>
      </c>
      <c r="AB43" s="26">
        <f t="shared" si="8"/>
        <v>176046993.13526911</v>
      </c>
      <c r="AC43" s="28" t="s">
        <v>162</v>
      </c>
      <c r="AD43" s="26">
        <v>10</v>
      </c>
      <c r="AE43" s="35">
        <f t="shared" si="13"/>
        <v>2.2928301824496689E-6</v>
      </c>
      <c r="AF43" s="26">
        <f t="shared" si="14"/>
        <v>84135.444981557986</v>
      </c>
      <c r="AG43" s="78" t="s">
        <v>122</v>
      </c>
      <c r="AH43" s="163">
        <f t="shared" si="16"/>
        <v>798767304.90716016</v>
      </c>
      <c r="AI43" s="169">
        <f t="shared" si="15"/>
        <v>1.0953255588729999E-2</v>
      </c>
    </row>
    <row r="44" spans="1:35" ht="32">
      <c r="A44" s="67" t="s">
        <v>264</v>
      </c>
      <c r="B44" s="41">
        <f>SUM(I25:I36)</f>
        <v>4050792090.0074563</v>
      </c>
      <c r="C44" s="28" t="s">
        <v>7</v>
      </c>
      <c r="D44" s="28"/>
      <c r="E44" s="28"/>
      <c r="F44" s="28"/>
      <c r="G44" s="28"/>
      <c r="H44" s="28"/>
      <c r="I44" s="28"/>
      <c r="J44" s="28"/>
      <c r="K44" s="28"/>
      <c r="L44" s="28"/>
      <c r="M44" s="28"/>
      <c r="N44" s="28"/>
      <c r="O44" s="28"/>
      <c r="P44" s="78" t="s">
        <v>97</v>
      </c>
      <c r="Q44" s="44">
        <v>451826</v>
      </c>
      <c r="R44" s="80">
        <f t="shared" si="9"/>
        <v>8.0922432661051005E-3</v>
      </c>
      <c r="S44" s="81">
        <f t="shared" si="10"/>
        <v>6633618.9653527392</v>
      </c>
      <c r="T44" s="81">
        <f t="shared" si="4"/>
        <v>3112887.6245218227</v>
      </c>
      <c r="U44" s="81">
        <f t="shared" si="5"/>
        <v>7101125.093016698</v>
      </c>
      <c r="V44" s="81">
        <f t="shared" si="6"/>
        <v>230954320.12665051</v>
      </c>
      <c r="W44" s="28" t="s">
        <v>146</v>
      </c>
      <c r="X44" s="26">
        <v>699</v>
      </c>
      <c r="Y44" s="35">
        <f t="shared" si="11"/>
        <v>3.1878942111672071E-3</v>
      </c>
      <c r="Z44" s="26">
        <f t="shared" si="12"/>
        <v>4407208.6833288567</v>
      </c>
      <c r="AA44" s="26">
        <f t="shared" si="7"/>
        <v>1089062.6858874112</v>
      </c>
      <c r="AB44" s="26">
        <f t="shared" si="8"/>
        <v>12381210.202389888</v>
      </c>
      <c r="AC44" s="28" t="s">
        <v>48</v>
      </c>
      <c r="AD44" s="26">
        <v>22567</v>
      </c>
      <c r="AE44" s="35">
        <f t="shared" si="13"/>
        <v>5.1742298727341677E-3</v>
      </c>
      <c r="AF44" s="26">
        <f t="shared" si="14"/>
        <v>189868458.68988189</v>
      </c>
      <c r="AG44" s="78" t="s">
        <v>123</v>
      </c>
      <c r="AH44" s="163">
        <f t="shared" si="16"/>
        <v>557906770.19441438</v>
      </c>
      <c r="AI44" s="169">
        <f t="shared" si="15"/>
        <v>7.6504075856391436E-3</v>
      </c>
    </row>
    <row r="45" spans="1:35" ht="32">
      <c r="A45" s="67" t="s">
        <v>265</v>
      </c>
      <c r="B45" s="41">
        <f>SUM(J25:J36)</f>
        <v>393643201713.84222</v>
      </c>
      <c r="C45" s="28" t="s">
        <v>7</v>
      </c>
      <c r="D45" s="28"/>
      <c r="E45" s="28"/>
      <c r="F45" s="28"/>
      <c r="G45" s="28"/>
      <c r="H45" s="28"/>
      <c r="I45" s="28"/>
      <c r="J45" s="28"/>
      <c r="K45" s="28"/>
      <c r="L45" s="28"/>
      <c r="M45" s="28"/>
      <c r="N45" s="28"/>
      <c r="O45" s="28"/>
      <c r="P45" s="78" t="s">
        <v>124</v>
      </c>
      <c r="Q45" s="44">
        <v>6960025</v>
      </c>
      <c r="R45" s="80">
        <f t="shared" si="9"/>
        <v>0.12465465785097171</v>
      </c>
      <c r="S45" s="81">
        <f t="shared" si="10"/>
        <v>102185695.02270608</v>
      </c>
      <c r="T45" s="81">
        <f t="shared" si="4"/>
        <v>47951591.295902617</v>
      </c>
      <c r="U45" s="81">
        <f t="shared" si="5"/>
        <v>109387260.08579306</v>
      </c>
      <c r="V45" s="81">
        <f t="shared" si="6"/>
        <v>3557670080.8264475</v>
      </c>
      <c r="W45" s="28" t="s">
        <v>25</v>
      </c>
      <c r="X45" s="26">
        <v>941</v>
      </c>
      <c r="Y45" s="35">
        <f t="shared" si="11"/>
        <v>4.2915714631020629E-3</v>
      </c>
      <c r="Z45" s="26">
        <f t="shared" si="12"/>
        <v>5933023.4206186756</v>
      </c>
      <c r="AA45" s="26">
        <f t="shared" si="7"/>
        <v>1466105.847525113</v>
      </c>
      <c r="AB45" s="26">
        <f t="shared" si="8"/>
        <v>16667694.993489105</v>
      </c>
      <c r="AC45" s="28" t="s">
        <v>161</v>
      </c>
      <c r="AD45" s="26">
        <v>36905</v>
      </c>
      <c r="AE45" s="35">
        <f t="shared" si="13"/>
        <v>8.461689788330503E-3</v>
      </c>
      <c r="AF45" s="26">
        <f t="shared" si="14"/>
        <v>310501859.7044397</v>
      </c>
      <c r="AG45" s="78" t="s">
        <v>97</v>
      </c>
      <c r="AH45" s="163">
        <f t="shared" si="16"/>
        <v>659689926.15796256</v>
      </c>
      <c r="AI45" s="169">
        <f t="shared" si="15"/>
        <v>9.0461293622407651E-3</v>
      </c>
    </row>
    <row r="46" spans="1:35" ht="32">
      <c r="A46" s="67" t="s">
        <v>266</v>
      </c>
      <c r="B46" s="28">
        <f>SUM(K25:K36)</f>
        <v>5591965390.465065</v>
      </c>
      <c r="C46" s="28" t="s">
        <v>7</v>
      </c>
      <c r="D46" s="28"/>
      <c r="E46" s="28"/>
      <c r="F46" s="28"/>
      <c r="G46" s="28"/>
      <c r="H46" s="28"/>
      <c r="I46" s="28"/>
      <c r="J46" s="28"/>
      <c r="K46" s="28"/>
      <c r="L46" s="28"/>
      <c r="M46" s="28"/>
      <c r="N46" s="28"/>
      <c r="O46" s="28"/>
      <c r="P46" s="78" t="s">
        <v>111</v>
      </c>
      <c r="Q46" s="44">
        <v>64790</v>
      </c>
      <c r="R46" s="80">
        <f t="shared" si="9"/>
        <v>1.1603945793534445E-3</v>
      </c>
      <c r="S46" s="81">
        <f t="shared" si="10"/>
        <v>951233.82179246866</v>
      </c>
      <c r="T46" s="81">
        <f t="shared" si="4"/>
        <v>446375.35067209246</v>
      </c>
      <c r="U46" s="81">
        <f t="shared" si="5"/>
        <v>1018272.2879527778</v>
      </c>
      <c r="V46" s="81">
        <f t="shared" si="6"/>
        <v>33117904.682346046</v>
      </c>
      <c r="W46" s="28" t="s">
        <v>27</v>
      </c>
      <c r="X46" s="41">
        <f>SUM(X25:X45)</f>
        <v>219267</v>
      </c>
      <c r="Y46" s="28"/>
      <c r="Z46" s="28"/>
      <c r="AA46" s="28"/>
      <c r="AB46" s="28"/>
      <c r="AC46" s="28" t="s">
        <v>165</v>
      </c>
      <c r="AD46" s="26">
        <v>7286</v>
      </c>
      <c r="AE46" s="35">
        <f t="shared" si="13"/>
        <v>1.6705560709328287E-3</v>
      </c>
      <c r="AF46" s="26">
        <f t="shared" si="14"/>
        <v>61301085.213563144</v>
      </c>
      <c r="AG46" s="78" t="s">
        <v>124</v>
      </c>
      <c r="AH46" s="163">
        <f t="shared" si="16"/>
        <v>7347606716.4375095</v>
      </c>
      <c r="AI46" s="169">
        <f t="shared" si="15"/>
        <v>0.10075551895550276</v>
      </c>
    </row>
    <row r="47" spans="1:35" ht="32">
      <c r="A47" s="67" t="s">
        <v>267</v>
      </c>
      <c r="B47" s="41">
        <f>SUM(L25:L36)</f>
        <v>1828617268.5520468</v>
      </c>
      <c r="C47" s="28" t="s">
        <v>7</v>
      </c>
      <c r="D47" s="28"/>
      <c r="E47" s="28"/>
      <c r="F47" s="28"/>
      <c r="G47" s="28"/>
      <c r="H47" s="28"/>
      <c r="I47" s="28"/>
      <c r="J47" s="28"/>
      <c r="K47" s="28"/>
      <c r="L47" s="28"/>
      <c r="M47" s="28"/>
      <c r="N47" s="28"/>
      <c r="O47" s="28"/>
      <c r="P47" s="78" t="s">
        <v>125</v>
      </c>
      <c r="Q47" s="44">
        <v>457755</v>
      </c>
      <c r="R47" s="80">
        <f t="shared" si="9"/>
        <v>8.1984321758286158E-3</v>
      </c>
      <c r="S47" s="81">
        <f t="shared" si="10"/>
        <v>6720667.3575337473</v>
      </c>
      <c r="T47" s="81">
        <f t="shared" si="4"/>
        <v>3153735.8951520869</v>
      </c>
      <c r="U47" s="81">
        <f t="shared" si="5"/>
        <v>7194308.2446646681</v>
      </c>
      <c r="V47" s="81">
        <f t="shared" si="6"/>
        <v>233984973.88281086</v>
      </c>
      <c r="W47" s="28"/>
      <c r="X47" s="28"/>
      <c r="Y47" s="28"/>
      <c r="Z47" s="28"/>
      <c r="AA47" s="28"/>
      <c r="AB47" s="28"/>
      <c r="AC47" s="28" t="s">
        <v>147</v>
      </c>
      <c r="AD47" s="26">
        <v>23250</v>
      </c>
      <c r="AE47" s="35">
        <f t="shared" si="13"/>
        <v>5.33083017419548E-3</v>
      </c>
      <c r="AF47" s="26">
        <f t="shared" si="14"/>
        <v>195614909.5821223</v>
      </c>
      <c r="AG47" s="78" t="s">
        <v>111</v>
      </c>
      <c r="AH47" s="163">
        <f t="shared" si="16"/>
        <v>150923401.83541077</v>
      </c>
      <c r="AI47" s="169">
        <f t="shared" si="15"/>
        <v>2.0695671749058316E-3</v>
      </c>
    </row>
    <row r="48" spans="1:35" ht="32">
      <c r="A48" s="67" t="s">
        <v>268</v>
      </c>
      <c r="B48" s="41">
        <f>SUM(M25:M36)</f>
        <v>46140936898.556236</v>
      </c>
      <c r="C48" s="28" t="s">
        <v>7</v>
      </c>
      <c r="D48" s="28"/>
      <c r="E48" s="28"/>
      <c r="F48" s="28"/>
      <c r="G48" s="28"/>
      <c r="H48" s="28"/>
      <c r="I48" s="28"/>
      <c r="J48" s="28"/>
      <c r="K48" s="28"/>
      <c r="L48" s="28"/>
      <c r="M48" s="28"/>
      <c r="N48" s="28"/>
      <c r="O48" s="28"/>
      <c r="P48" s="78" t="s">
        <v>116</v>
      </c>
      <c r="Q48" s="45">
        <v>967479</v>
      </c>
      <c r="R48" s="80">
        <f t="shared" si="9"/>
        <v>1.7327633697149115E-2</v>
      </c>
      <c r="S48" s="81">
        <f t="shared" si="10"/>
        <v>14204333.179101031</v>
      </c>
      <c r="T48" s="81">
        <f t="shared" si="4"/>
        <v>6665515.9421652323</v>
      </c>
      <c r="U48" s="81">
        <f t="shared" si="5"/>
        <v>15205387.480726432</v>
      </c>
      <c r="V48" s="81">
        <f t="shared" si="6"/>
        <v>494534300.11068791</v>
      </c>
      <c r="W48" s="28"/>
      <c r="X48" s="28"/>
      <c r="Y48" s="28"/>
      <c r="Z48" s="28"/>
      <c r="AA48" s="28"/>
      <c r="AB48" s="28"/>
      <c r="AC48" s="28" t="s">
        <v>25</v>
      </c>
      <c r="AD48" s="26">
        <v>13931</v>
      </c>
      <c r="AE48" s="35">
        <f t="shared" si="13"/>
        <v>3.1941417271706338E-3</v>
      </c>
      <c r="AF48" s="26">
        <f t="shared" si="14"/>
        <v>117209088.40380841</v>
      </c>
      <c r="AG48" s="78" t="s">
        <v>125</v>
      </c>
      <c r="AH48" s="163">
        <f>S47+T47+U47+V47</f>
        <v>251053685.38016137</v>
      </c>
      <c r="AI48" s="169">
        <f t="shared" si="15"/>
        <v>3.4426236096144775E-3</v>
      </c>
    </row>
    <row r="49" spans="1:35" ht="32">
      <c r="A49" s="67" t="s">
        <v>269</v>
      </c>
      <c r="B49" s="41">
        <f>SUM(N25:N36)</f>
        <v>435947627800.32941</v>
      </c>
      <c r="C49" s="28" t="s">
        <v>7</v>
      </c>
      <c r="D49" s="28"/>
      <c r="E49" s="28"/>
      <c r="F49" s="28"/>
      <c r="G49" s="28"/>
      <c r="H49" s="28"/>
      <c r="I49" s="28"/>
      <c r="J49" s="28"/>
      <c r="K49" s="28"/>
      <c r="L49" s="28"/>
      <c r="M49" s="28"/>
      <c r="N49" s="28"/>
      <c r="O49" s="28"/>
      <c r="P49" s="78" t="s">
        <v>133</v>
      </c>
      <c r="Q49" s="44">
        <v>221299</v>
      </c>
      <c r="R49" s="80">
        <f t="shared" si="9"/>
        <v>3.963484488599134E-3</v>
      </c>
      <c r="S49" s="81">
        <f t="shared" si="10"/>
        <v>3249067.6574911484</v>
      </c>
      <c r="T49" s="81">
        <f t="shared" si="4"/>
        <v>1524655.3284207962</v>
      </c>
      <c r="U49" s="81">
        <f t="shared" si="5"/>
        <v>3478046.5974943936</v>
      </c>
      <c r="V49" s="81">
        <f t="shared" si="6"/>
        <v>113118678.62785147</v>
      </c>
      <c r="W49" s="28"/>
      <c r="X49" s="28"/>
      <c r="Y49" s="28"/>
      <c r="Z49" s="28"/>
      <c r="AA49" s="28"/>
      <c r="AB49" s="28"/>
      <c r="AC49" s="28" t="s">
        <v>20</v>
      </c>
      <c r="AD49" s="26">
        <v>235011</v>
      </c>
      <c r="AE49" s="35">
        <f t="shared" si="13"/>
        <v>5.3884031400767918E-2</v>
      </c>
      <c r="AF49" s="26">
        <f t="shared" si="14"/>
        <v>1977275506.0560923</v>
      </c>
      <c r="AG49" s="78" t="s">
        <v>116</v>
      </c>
      <c r="AH49" s="163">
        <f>S48+T48+U48+V48+AF38</f>
        <v>1652252807.9398227</v>
      </c>
      <c r="AI49" s="169">
        <f t="shared" si="15"/>
        <v>2.26568453558138E-2</v>
      </c>
    </row>
    <row r="50" spans="1:35" ht="32">
      <c r="A50" s="67" t="s">
        <v>495</v>
      </c>
      <c r="B50" s="41">
        <f>SUM(B42:B49)</f>
        <v>891349681030.64099</v>
      </c>
      <c r="C50" s="28" t="s">
        <v>7</v>
      </c>
      <c r="D50" s="28"/>
      <c r="E50" s="28"/>
      <c r="F50" s="28"/>
      <c r="G50" s="28"/>
      <c r="H50" s="28"/>
      <c r="I50" s="28"/>
      <c r="J50" s="28"/>
      <c r="K50" s="28"/>
      <c r="L50" s="28"/>
      <c r="M50" s="28"/>
      <c r="N50" s="28"/>
      <c r="O50" s="28"/>
      <c r="P50" s="78" t="s">
        <v>137</v>
      </c>
      <c r="Q50" s="44">
        <v>8346</v>
      </c>
      <c r="R50" s="80">
        <f t="shared" si="9"/>
        <v>1.4947759159258909E-4</v>
      </c>
      <c r="S50" s="81">
        <f t="shared" si="10"/>
        <v>122534.30277326659</v>
      </c>
      <c r="T50" s="81">
        <f t="shared" si="4"/>
        <v>57500.365437710818</v>
      </c>
      <c r="U50" s="81">
        <f t="shared" si="5"/>
        <v>131169.94158440936</v>
      </c>
      <c r="V50" s="81">
        <f t="shared" si="6"/>
        <v>4266121.8163120868</v>
      </c>
      <c r="W50" s="28"/>
      <c r="X50" s="28"/>
      <c r="Y50" s="28"/>
      <c r="Z50" s="28"/>
      <c r="AA50" s="28"/>
      <c r="AB50" s="28"/>
      <c r="AC50" s="28" t="s">
        <v>27</v>
      </c>
      <c r="AD50" s="26">
        <f>SUM(AD25:AD49)</f>
        <v>4361422</v>
      </c>
      <c r="AE50" s="26"/>
      <c r="AF50" s="26"/>
      <c r="AG50" s="78" t="s">
        <v>133</v>
      </c>
      <c r="AH50" s="163">
        <f>S49+T49+U49+V49</f>
        <v>121370448.21125782</v>
      </c>
      <c r="AI50" s="169">
        <f t="shared" si="15"/>
        <v>1.664316418573416E-3</v>
      </c>
    </row>
    <row r="51" spans="1:35">
      <c r="A51" s="67"/>
      <c r="B51" s="28"/>
      <c r="C51" s="28"/>
      <c r="D51" s="28"/>
      <c r="E51" s="28"/>
      <c r="F51" s="28"/>
      <c r="G51" s="28"/>
      <c r="H51" s="28"/>
      <c r="I51" s="28"/>
      <c r="J51" s="28"/>
      <c r="K51" s="28"/>
      <c r="L51" s="28"/>
      <c r="M51" s="28"/>
      <c r="N51" s="28"/>
      <c r="O51" s="28"/>
      <c r="P51" s="78" t="s">
        <v>135</v>
      </c>
      <c r="Q51" s="44">
        <v>127058</v>
      </c>
      <c r="R51" s="80">
        <f t="shared" si="9"/>
        <v>2.275619917633739E-3</v>
      </c>
      <c r="S51" s="81">
        <f t="shared" si="10"/>
        <v>1865440.1439930156</v>
      </c>
      <c r="T51" s="81">
        <f t="shared" si="4"/>
        <v>875375.20150786731</v>
      </c>
      <c r="U51" s="81">
        <f t="shared" si="5"/>
        <v>1996907.5530591765</v>
      </c>
      <c r="V51" s="81">
        <f t="shared" si="6"/>
        <v>64946669.750417098</v>
      </c>
      <c r="W51" s="28"/>
      <c r="X51" s="28"/>
      <c r="Y51" s="28"/>
      <c r="Z51" s="28"/>
      <c r="AA51" s="28"/>
      <c r="AB51" s="28"/>
      <c r="AC51" s="28"/>
      <c r="AD51" s="28"/>
      <c r="AE51" s="28"/>
      <c r="AF51" s="28"/>
      <c r="AG51" s="78" t="s">
        <v>137</v>
      </c>
      <c r="AH51" s="163">
        <f>S50+T50+U50+V50</f>
        <v>4577326.4261074737</v>
      </c>
      <c r="AI51" s="169">
        <f t="shared" si="15"/>
        <v>6.2767499308237867E-5</v>
      </c>
    </row>
    <row r="52" spans="1:35">
      <c r="A52" s="67"/>
      <c r="B52" s="28"/>
      <c r="C52" s="28"/>
      <c r="D52" s="28"/>
      <c r="E52" s="28"/>
      <c r="F52" s="28"/>
      <c r="G52" s="28"/>
      <c r="H52" s="28"/>
      <c r="I52" s="28"/>
      <c r="J52" s="28"/>
      <c r="K52" s="28"/>
      <c r="L52" s="28"/>
      <c r="M52" s="28"/>
      <c r="N52" s="28"/>
      <c r="O52" s="28"/>
      <c r="P52" s="78" t="s">
        <v>126</v>
      </c>
      <c r="Q52" s="44">
        <v>95504</v>
      </c>
      <c r="R52" s="80">
        <f t="shared" si="9"/>
        <v>1.7104850116772862E-3</v>
      </c>
      <c r="S52" s="81">
        <f t="shared" si="10"/>
        <v>1402170.6268940875</v>
      </c>
      <c r="T52" s="81">
        <f t="shared" si="4"/>
        <v>657981.65597449488</v>
      </c>
      <c r="U52" s="81">
        <f t="shared" si="5"/>
        <v>1500988.9888662156</v>
      </c>
      <c r="V52" s="81">
        <f t="shared" si="6"/>
        <v>48817600.999888517</v>
      </c>
      <c r="W52" s="28"/>
      <c r="X52" s="28"/>
      <c r="Y52" s="28"/>
      <c r="Z52" s="28"/>
      <c r="AA52" s="28"/>
      <c r="AB52" s="28"/>
      <c r="AC52" s="28"/>
      <c r="AD52" s="28"/>
      <c r="AE52" s="28"/>
      <c r="AF52" s="28"/>
      <c r="AG52" s="78" t="s">
        <v>135</v>
      </c>
      <c r="AH52" s="163">
        <f>S51+T51+U51+V51</f>
        <v>69684392.64897716</v>
      </c>
      <c r="AI52" s="169">
        <f t="shared" si="15"/>
        <v>9.5556109838318794E-4</v>
      </c>
    </row>
    <row r="53" spans="1:35">
      <c r="A53" s="30"/>
      <c r="B53" s="28"/>
      <c r="C53" s="28"/>
      <c r="D53" s="28"/>
      <c r="E53" s="28"/>
      <c r="F53" s="28"/>
      <c r="G53" s="28"/>
      <c r="H53" s="28"/>
      <c r="I53" s="28"/>
      <c r="J53" s="28"/>
      <c r="K53" s="28"/>
      <c r="L53" s="28"/>
      <c r="M53" s="28"/>
      <c r="N53" s="28"/>
      <c r="O53" s="28"/>
      <c r="P53" s="78" t="s">
        <v>127</v>
      </c>
      <c r="Q53" s="44">
        <v>37141</v>
      </c>
      <c r="R53" s="80">
        <f t="shared" si="9"/>
        <v>6.6519856570097671E-4</v>
      </c>
      <c r="S53" s="81">
        <f t="shared" si="10"/>
        <v>545296.7336810322</v>
      </c>
      <c r="T53" s="81">
        <f t="shared" si="4"/>
        <v>255885.58264102775</v>
      </c>
      <c r="U53" s="81">
        <f t="shared" si="5"/>
        <v>583726.67150569719</v>
      </c>
      <c r="V53" s="81">
        <f t="shared" si="6"/>
        <v>18984906.587544598</v>
      </c>
      <c r="W53" s="28"/>
      <c r="X53" s="28"/>
      <c r="Y53" s="28"/>
      <c r="Z53" s="28"/>
      <c r="AA53" s="28"/>
      <c r="AB53" s="28"/>
      <c r="AC53" s="28"/>
      <c r="AD53" s="28"/>
      <c r="AE53" s="28"/>
      <c r="AF53" s="28"/>
      <c r="AG53" s="78" t="s">
        <v>126</v>
      </c>
      <c r="AH53" s="163">
        <f>S52+T52+U52+V52+Z37+AA37+AB37+AF39</f>
        <v>88013470.132815346</v>
      </c>
      <c r="AI53" s="169">
        <f t="shared" si="15"/>
        <v>1.2069022200750057E-3</v>
      </c>
    </row>
    <row r="54" spans="1:35">
      <c r="A54" s="84"/>
      <c r="B54" s="28"/>
      <c r="C54" s="28"/>
      <c r="D54" s="28"/>
      <c r="E54" s="28"/>
      <c r="F54" s="28"/>
      <c r="G54" s="28"/>
      <c r="H54" s="28"/>
      <c r="I54" s="28"/>
      <c r="J54" s="28"/>
      <c r="K54" s="28"/>
      <c r="L54" s="28"/>
      <c r="M54" s="28"/>
      <c r="N54" s="28"/>
      <c r="O54" s="28"/>
      <c r="P54" s="78" t="s">
        <v>103</v>
      </c>
      <c r="Q54" s="44">
        <v>278900</v>
      </c>
      <c r="R54" s="80">
        <f t="shared" si="9"/>
        <v>4.995123447780146E-3</v>
      </c>
      <c r="S54" s="81">
        <f t="shared" si="10"/>
        <v>4094754.0191066447</v>
      </c>
      <c r="T54" s="81">
        <f t="shared" si="4"/>
        <v>1921501.5481161692</v>
      </c>
      <c r="U54" s="81">
        <f t="shared" si="5"/>
        <v>4383332.9388799155</v>
      </c>
      <c r="V54" s="81">
        <f t="shared" si="6"/>
        <v>142561870.904558</v>
      </c>
      <c r="W54" s="28"/>
      <c r="X54" s="28"/>
      <c r="Y54" s="28"/>
      <c r="Z54" s="28"/>
      <c r="AA54" s="28"/>
      <c r="AB54" s="28"/>
      <c r="AC54" s="28"/>
      <c r="AD54" s="28"/>
      <c r="AE54" s="28"/>
      <c r="AF54" s="28"/>
      <c r="AG54" s="78" t="s">
        <v>127</v>
      </c>
      <c r="AH54" s="163">
        <f>S53+T53+U53+V53</f>
        <v>20369815.575372353</v>
      </c>
      <c r="AI54" s="169">
        <f t="shared" si="15"/>
        <v>2.793251487907096E-4</v>
      </c>
    </row>
    <row r="55" spans="1:35">
      <c r="A55" s="85"/>
      <c r="B55" s="28"/>
      <c r="C55" s="28"/>
      <c r="D55" s="28"/>
      <c r="E55" s="28"/>
      <c r="F55" s="28"/>
      <c r="G55" s="28"/>
      <c r="H55" s="28"/>
      <c r="I55" s="28"/>
      <c r="J55" s="28"/>
      <c r="K55" s="28"/>
      <c r="L55" s="28"/>
      <c r="M55" s="28"/>
      <c r="N55" s="28"/>
      <c r="O55" s="28"/>
      <c r="P55" s="78" t="s">
        <v>98</v>
      </c>
      <c r="Q55" s="44">
        <v>211281</v>
      </c>
      <c r="R55" s="80">
        <f t="shared" si="9"/>
        <v>3.7840612304425856E-3</v>
      </c>
      <c r="S55" s="81">
        <f t="shared" si="10"/>
        <v>3101985.385123238</v>
      </c>
      <c r="T55" s="81">
        <f t="shared" si="4"/>
        <v>1455635.5990947736</v>
      </c>
      <c r="U55" s="81">
        <f t="shared" si="5"/>
        <v>3320598.6613821713</v>
      </c>
      <c r="V55" s="81">
        <f t="shared" si="6"/>
        <v>107997901.20683371</v>
      </c>
      <c r="W55" s="28"/>
      <c r="X55" s="28"/>
      <c r="Y55" s="28"/>
      <c r="Z55" s="28"/>
      <c r="AA55" s="28"/>
      <c r="AB55" s="28"/>
      <c r="AC55" s="28"/>
      <c r="AD55" s="28"/>
      <c r="AE55" s="28"/>
      <c r="AF55" s="28"/>
      <c r="AG55" s="78" t="s">
        <v>103</v>
      </c>
      <c r="AH55" s="163">
        <f>S54+T54+U54+V54+Z38+AA38+AB38</f>
        <v>307362541.31021202</v>
      </c>
      <c r="AI55" s="169">
        <f t="shared" si="15"/>
        <v>4.2147699995853409E-3</v>
      </c>
    </row>
    <row r="56" spans="1:35">
      <c r="A56" s="85"/>
      <c r="B56" s="28"/>
      <c r="C56" s="28"/>
      <c r="D56" s="28"/>
      <c r="E56" s="28"/>
      <c r="F56" s="28"/>
      <c r="G56" s="28"/>
      <c r="H56" s="28"/>
      <c r="I56" s="28"/>
      <c r="J56" s="28"/>
      <c r="K56" s="28"/>
      <c r="L56" s="28"/>
      <c r="M56" s="28"/>
      <c r="N56" s="28"/>
      <c r="O56" s="28"/>
      <c r="P56" s="78" t="s">
        <v>104</v>
      </c>
      <c r="Q56" s="44">
        <v>438107</v>
      </c>
      <c r="R56" s="80">
        <f t="shared" si="9"/>
        <v>7.8465347735267709E-3</v>
      </c>
      <c r="S56" s="81">
        <f t="shared" si="10"/>
        <v>6432199.3511966821</v>
      </c>
      <c r="T56" s="81">
        <f t="shared" si="4"/>
        <v>3018369.5903210128</v>
      </c>
      <c r="U56" s="81">
        <f t="shared" si="5"/>
        <v>6885510.3759550489</v>
      </c>
      <c r="V56" s="81">
        <f t="shared" si="6"/>
        <v>223941748.21220216</v>
      </c>
      <c r="W56" s="28"/>
      <c r="X56" s="28"/>
      <c r="Y56" s="28"/>
      <c r="Z56" s="28"/>
      <c r="AA56" s="28"/>
      <c r="AB56" s="28"/>
      <c r="AC56" s="28"/>
      <c r="AD56" s="28"/>
      <c r="AE56" s="28"/>
      <c r="AF56" s="28"/>
      <c r="AG56" s="78" t="s">
        <v>98</v>
      </c>
      <c r="AH56" s="163">
        <f>S55+T55+U55+V55+Z39+AA39+AB39+AF40</f>
        <v>143005006.15295592</v>
      </c>
      <c r="AI56" s="169">
        <f t="shared" si="15"/>
        <v>1.9609845986914673E-3</v>
      </c>
    </row>
    <row r="57" spans="1:35">
      <c r="A57" s="85"/>
      <c r="B57" s="26"/>
      <c r="C57" s="28"/>
      <c r="D57" s="28"/>
      <c r="E57" s="28"/>
      <c r="F57" s="28"/>
      <c r="G57" s="28"/>
      <c r="H57" s="28"/>
      <c r="I57" s="28"/>
      <c r="J57" s="28"/>
      <c r="K57" s="28"/>
      <c r="L57" s="28"/>
      <c r="M57" s="28"/>
      <c r="N57" s="28"/>
      <c r="O57" s="28"/>
      <c r="P57" s="78" t="s">
        <v>108</v>
      </c>
      <c r="Q57" s="44">
        <v>1260517</v>
      </c>
      <c r="R57" s="80">
        <f t="shared" si="9"/>
        <v>2.2575969964236237E-2</v>
      </c>
      <c r="S57" s="81">
        <f t="shared" si="10"/>
        <v>18506658.48656239</v>
      </c>
      <c r="T57" s="81">
        <f t="shared" si="4"/>
        <v>8684422.2550259922</v>
      </c>
      <c r="U57" s="81">
        <f t="shared" si="5"/>
        <v>19810920.351803854</v>
      </c>
      <c r="V57" s="81">
        <f t="shared" si="6"/>
        <v>644322917.98852897</v>
      </c>
      <c r="W57" s="28"/>
      <c r="X57" s="28"/>
      <c r="Y57" s="28"/>
      <c r="Z57" s="28"/>
      <c r="AA57" s="28"/>
      <c r="AB57" s="28"/>
      <c r="AC57" s="28"/>
      <c r="AD57" s="28"/>
      <c r="AE57" s="28"/>
      <c r="AF57" s="28"/>
      <c r="AG57" s="78" t="s">
        <v>261</v>
      </c>
      <c r="AH57" s="163">
        <f>S62+T62+U62+V62+Z40+AA40+AB40+AF41</f>
        <v>2496235047.5338545</v>
      </c>
      <c r="AI57" s="169">
        <f t="shared" si="15"/>
        <v>3.4230119732256453E-2</v>
      </c>
    </row>
    <row r="58" spans="1:35">
      <c r="A58" s="30"/>
      <c r="B58" s="28"/>
      <c r="C58" s="6"/>
      <c r="D58" s="6"/>
      <c r="E58" s="6"/>
      <c r="F58" s="28"/>
      <c r="G58" s="28"/>
      <c r="H58" s="28"/>
      <c r="I58" s="28"/>
      <c r="J58" s="28"/>
      <c r="K58" s="28"/>
      <c r="L58" s="28"/>
      <c r="M58" s="28"/>
      <c r="N58" s="28"/>
      <c r="O58" s="28"/>
      <c r="P58" s="78" t="s">
        <v>107</v>
      </c>
      <c r="Q58" s="44">
        <v>23272</v>
      </c>
      <c r="R58" s="80">
        <f t="shared" si="9"/>
        <v>4.1680355997396757E-4</v>
      </c>
      <c r="S58" s="81">
        <f t="shared" si="10"/>
        <v>341674.84952545655</v>
      </c>
      <c r="T58" s="81">
        <f t="shared" si="4"/>
        <v>160334.11268468801</v>
      </c>
      <c r="U58" s="81">
        <f t="shared" si="5"/>
        <v>365754.47885842022</v>
      </c>
      <c r="V58" s="81">
        <f t="shared" si="6"/>
        <v>11895661.024348775</v>
      </c>
      <c r="W58" s="28"/>
      <c r="X58" s="28"/>
      <c r="Y58" s="28"/>
      <c r="Z58" s="28"/>
      <c r="AA58" s="28"/>
      <c r="AB58" s="28"/>
      <c r="AC58" s="28"/>
      <c r="AD58" s="28"/>
      <c r="AE58" s="28"/>
      <c r="AF58" s="28"/>
      <c r="AG58" s="78" t="s">
        <v>104</v>
      </c>
      <c r="AH58" s="163">
        <f>S56+T56+U56+V56</f>
        <v>240277827.52967492</v>
      </c>
      <c r="AI58" s="169">
        <f t="shared" si="15"/>
        <v>3.2948575149094376E-3</v>
      </c>
    </row>
    <row r="59" spans="1:35">
      <c r="A59" s="85"/>
      <c r="B59" s="6"/>
      <c r="C59" s="6"/>
      <c r="D59" s="6"/>
      <c r="E59" s="6"/>
      <c r="F59" s="28"/>
      <c r="G59" s="28"/>
      <c r="H59" s="28"/>
      <c r="I59" s="28"/>
      <c r="J59" s="28"/>
      <c r="K59" s="28"/>
      <c r="L59" s="28"/>
      <c r="M59" s="28"/>
      <c r="N59" s="28"/>
      <c r="O59" s="28"/>
      <c r="P59" s="78" t="s">
        <v>105</v>
      </c>
      <c r="Q59" s="44">
        <v>985000</v>
      </c>
      <c r="R59" s="80">
        <f t="shared" si="9"/>
        <v>1.7641436343002668E-2</v>
      </c>
      <c r="S59" s="81">
        <f t="shared" si="10"/>
        <v>14461572.996844908</v>
      </c>
      <c r="T59" s="81">
        <f t="shared" si="4"/>
        <v>6786228.1279828846</v>
      </c>
      <c r="U59" s="81">
        <f t="shared" si="5"/>
        <v>15480756.345631829</v>
      </c>
      <c r="V59" s="81">
        <f t="shared" si="6"/>
        <v>503490293.44205672</v>
      </c>
      <c r="W59" s="28"/>
      <c r="X59" s="28"/>
      <c r="Y59" s="28"/>
      <c r="Z59" s="28"/>
      <c r="AA59" s="28"/>
      <c r="AB59" s="28"/>
      <c r="AC59" s="28"/>
      <c r="AD59" s="28"/>
      <c r="AE59" s="28"/>
      <c r="AF59" s="28"/>
      <c r="AG59" s="78" t="s">
        <v>108</v>
      </c>
      <c r="AH59" s="163">
        <f>S57+T57+U57+V57+Z41+AA41+AB41+AF42</f>
        <v>1472639067.4983099</v>
      </c>
      <c r="AI59" s="169">
        <f t="shared" si="15"/>
        <v>2.0193856204633702E-2</v>
      </c>
    </row>
    <row r="60" spans="1:35">
      <c r="A60" s="85"/>
      <c r="B60" s="6"/>
      <c r="C60" s="6"/>
      <c r="D60" s="6"/>
      <c r="E60" s="6"/>
      <c r="F60" s="7"/>
      <c r="G60" s="28"/>
      <c r="H60" s="28"/>
      <c r="I60" s="28"/>
      <c r="J60" s="28"/>
      <c r="K60" s="28"/>
      <c r="L60" s="28"/>
      <c r="M60" s="28"/>
      <c r="N60" s="28"/>
      <c r="O60" s="28"/>
      <c r="P60" s="78" t="s">
        <v>106</v>
      </c>
      <c r="Q60" s="44">
        <v>141714</v>
      </c>
      <c r="R60" s="80">
        <f t="shared" si="9"/>
        <v>2.5381101623474923E-3</v>
      </c>
      <c r="S60" s="81">
        <f t="shared" si="10"/>
        <v>2080616.6047460702</v>
      </c>
      <c r="T60" s="81">
        <f t="shared" si="4"/>
        <v>976348.76439488982</v>
      </c>
      <c r="U60" s="81">
        <f t="shared" si="5"/>
        <v>2227248.6342790546</v>
      </c>
      <c r="V60" s="81">
        <f t="shared" si="6"/>
        <v>72438196.390708253</v>
      </c>
      <c r="W60" s="28"/>
      <c r="X60" s="28"/>
      <c r="Y60" s="28"/>
      <c r="Z60" s="28"/>
      <c r="AA60" s="28"/>
      <c r="AB60" s="28"/>
      <c r="AC60" s="28"/>
      <c r="AD60" s="28"/>
      <c r="AE60" s="28"/>
      <c r="AF60" s="28"/>
      <c r="AG60" s="78" t="s">
        <v>107</v>
      </c>
      <c r="AH60" s="163">
        <f>S58+T58+U58+V58+AF43</f>
        <v>12847559.910398899</v>
      </c>
      <c r="AI60" s="169">
        <f t="shared" si="15"/>
        <v>1.7617472138081099E-4</v>
      </c>
    </row>
    <row r="61" spans="1:35">
      <c r="A61" s="85"/>
      <c r="B61" s="6"/>
      <c r="C61" s="8"/>
      <c r="D61" s="6"/>
      <c r="E61" s="6"/>
      <c r="F61" s="7"/>
      <c r="G61" s="28"/>
      <c r="H61" s="28"/>
      <c r="I61" s="28"/>
      <c r="J61" s="28"/>
      <c r="K61" s="28"/>
      <c r="L61" s="28"/>
      <c r="M61" s="28"/>
      <c r="N61" s="28"/>
      <c r="O61" s="28"/>
      <c r="P61" s="78" t="s">
        <v>134</v>
      </c>
      <c r="Q61" s="44">
        <v>238216</v>
      </c>
      <c r="R61" s="80">
        <f t="shared" si="9"/>
        <v>4.2664694415073335E-3</v>
      </c>
      <c r="S61" s="81">
        <f t="shared" si="10"/>
        <v>3497439.668036961</v>
      </c>
      <c r="T61" s="81">
        <f t="shared" si="4"/>
        <v>1641206.2129295135</v>
      </c>
      <c r="U61" s="81">
        <f t="shared" si="5"/>
        <v>3743922.6940416563</v>
      </c>
      <c r="V61" s="81">
        <f t="shared" si="6"/>
        <v>121765932.73359694</v>
      </c>
      <c r="W61" s="28"/>
      <c r="X61" s="28"/>
      <c r="Y61" s="28"/>
      <c r="Z61" s="28"/>
      <c r="AA61" s="28"/>
      <c r="AB61" s="28"/>
      <c r="AC61" s="28"/>
      <c r="AD61" s="28"/>
      <c r="AE61" s="28"/>
      <c r="AF61" s="28"/>
      <c r="AG61" s="78" t="s">
        <v>105</v>
      </c>
      <c r="AH61" s="163">
        <f>S59+T59+U59+V59</f>
        <v>540218850.91251636</v>
      </c>
      <c r="AI61" s="169">
        <f t="shared" si="15"/>
        <v>7.4078584733542176E-3</v>
      </c>
    </row>
    <row r="62" spans="1:35">
      <c r="A62" s="85"/>
      <c r="B62" s="6"/>
      <c r="C62" s="8"/>
      <c r="D62" s="6"/>
      <c r="E62" s="6"/>
      <c r="F62" s="6"/>
      <c r="G62" s="28"/>
      <c r="H62" s="28"/>
      <c r="I62" s="28"/>
      <c r="J62" s="28"/>
      <c r="K62" s="28"/>
      <c r="L62" s="28"/>
      <c r="M62" s="28"/>
      <c r="N62" s="28"/>
      <c r="O62" s="28"/>
      <c r="P62" s="78" t="s">
        <v>128</v>
      </c>
      <c r="Q62" s="44">
        <v>3211706</v>
      </c>
      <c r="R62" s="80">
        <f t="shared" si="9"/>
        <v>5.7521935991309364E-2</v>
      </c>
      <c r="S62" s="81">
        <f t="shared" si="10"/>
        <v>47153625.140512459</v>
      </c>
      <c r="T62" s="81">
        <f t="shared" si="4"/>
        <v>22127278.777676545</v>
      </c>
      <c r="U62" s="81">
        <f t="shared" si="5"/>
        <v>50476789.888125703</v>
      </c>
      <c r="V62" s="81">
        <f t="shared" si="6"/>
        <v>1641688118.1620448</v>
      </c>
      <c r="W62" s="28"/>
      <c r="X62" s="28"/>
      <c r="Y62" s="28"/>
      <c r="Z62" s="28"/>
      <c r="AA62" s="28"/>
      <c r="AB62" s="28"/>
      <c r="AC62" s="28"/>
      <c r="AD62" s="28"/>
      <c r="AE62" s="28"/>
      <c r="AF62" s="28"/>
      <c r="AG62" s="78" t="s">
        <v>106</v>
      </c>
      <c r="AH62" s="163">
        <f>S60+T60+U60+V60</f>
        <v>77722410.394128263</v>
      </c>
      <c r="AI62" s="169">
        <f t="shared" si="15"/>
        <v>1.0657840159318979E-3</v>
      </c>
    </row>
    <row r="63" spans="1:35">
      <c r="A63" s="85"/>
      <c r="B63" s="6"/>
      <c r="C63" s="8"/>
      <c r="D63" s="6"/>
      <c r="E63" s="6"/>
      <c r="F63" s="9"/>
      <c r="G63" s="28"/>
      <c r="H63" s="28"/>
      <c r="I63" s="28"/>
      <c r="J63" s="28"/>
      <c r="K63" s="28"/>
      <c r="L63" s="28"/>
      <c r="M63" s="28"/>
      <c r="N63" s="28"/>
      <c r="O63" s="28"/>
      <c r="P63" s="78" t="s">
        <v>99</v>
      </c>
      <c r="Q63" s="44">
        <v>1800664</v>
      </c>
      <c r="R63" s="80">
        <f t="shared" si="9"/>
        <v>3.2250050082372139E-2</v>
      </c>
      <c r="S63" s="81">
        <f t="shared" si="10"/>
        <v>26436988.709432226</v>
      </c>
      <c r="T63" s="81">
        <f t="shared" si="4"/>
        <v>12405803.74197581</v>
      </c>
      <c r="U63" s="81">
        <f t="shared" si="5"/>
        <v>28300142.786142938</v>
      </c>
      <c r="V63" s="81">
        <f t="shared" si="6"/>
        <v>920423193.65537834</v>
      </c>
      <c r="W63" s="28"/>
      <c r="X63" s="28"/>
      <c r="Y63" s="28"/>
      <c r="Z63" s="28"/>
      <c r="AA63" s="28"/>
      <c r="AB63" s="28"/>
      <c r="AC63" s="28"/>
      <c r="AD63" s="28"/>
      <c r="AE63" s="28"/>
      <c r="AF63" s="28"/>
      <c r="AG63" s="78" t="s">
        <v>134</v>
      </c>
      <c r="AH63" s="163">
        <f>S61+T61+U61+V61+Z42+AA42+AB42+AF44</f>
        <v>339570928.19712305</v>
      </c>
      <c r="AI63" s="169">
        <f t="shared" si="15"/>
        <v>4.6564339128498432E-3</v>
      </c>
    </row>
    <row r="64" spans="1:35">
      <c r="A64" s="85"/>
      <c r="B64" s="6"/>
      <c r="C64" s="8"/>
      <c r="D64" s="6"/>
      <c r="E64" s="6"/>
      <c r="F64" s="9"/>
      <c r="G64" s="28"/>
      <c r="H64" s="28"/>
      <c r="I64" s="28"/>
      <c r="J64" s="28"/>
      <c r="K64" s="28"/>
      <c r="L64" s="28"/>
      <c r="M64" s="28"/>
      <c r="N64" s="28"/>
      <c r="O64" s="28"/>
      <c r="P64" s="78" t="s">
        <v>136</v>
      </c>
      <c r="Q64" s="44">
        <v>249000</v>
      </c>
      <c r="R64" s="80">
        <f t="shared" si="9"/>
        <v>4.4596118268098112E-3</v>
      </c>
      <c r="S64" s="81">
        <f t="shared" si="10"/>
        <v>3655768.1992024183</v>
      </c>
      <c r="T64" s="81">
        <f t="shared" si="4"/>
        <v>1715503.354180445</v>
      </c>
      <c r="U64" s="81">
        <f t="shared" si="5"/>
        <v>3913409.4721444924</v>
      </c>
      <c r="V64" s="81">
        <f t="shared" si="6"/>
        <v>127278256.9208854</v>
      </c>
      <c r="W64" s="28"/>
      <c r="X64" s="28"/>
      <c r="Y64" s="28"/>
      <c r="Z64" s="28"/>
      <c r="AA64" s="28"/>
      <c r="AB64" s="28"/>
      <c r="AC64" s="28"/>
      <c r="AD64" s="28"/>
      <c r="AE64" s="28"/>
      <c r="AF64" s="28"/>
      <c r="AG64" s="78" t="s">
        <v>99</v>
      </c>
      <c r="AH64" s="163">
        <f>S63+T63+U63+V63+AF45</f>
        <v>1298067988.597369</v>
      </c>
      <c r="AI64" s="169">
        <f t="shared" si="15"/>
        <v>1.7800015553100526E-2</v>
      </c>
    </row>
    <row r="65" spans="1:37">
      <c r="A65" s="85"/>
      <c r="B65" s="6"/>
      <c r="C65" s="8"/>
      <c r="D65" s="6"/>
      <c r="E65" s="6"/>
      <c r="F65" s="9"/>
      <c r="G65" s="28"/>
      <c r="H65" s="28"/>
      <c r="I65" s="28"/>
      <c r="J65" s="28"/>
      <c r="K65" s="28"/>
      <c r="L65" s="28"/>
      <c r="M65" s="28"/>
      <c r="N65" s="28"/>
      <c r="O65" s="28"/>
      <c r="P65" s="78" t="s">
        <v>129</v>
      </c>
      <c r="Q65" s="44">
        <v>180967</v>
      </c>
      <c r="R65" s="80">
        <f t="shared" si="9"/>
        <v>3.2411348331818921E-3</v>
      </c>
      <c r="S65" s="81">
        <f t="shared" si="10"/>
        <v>2656921.3000203376</v>
      </c>
      <c r="T65" s="81">
        <f t="shared" si="4"/>
        <v>1246785.1224737854</v>
      </c>
      <c r="U65" s="81">
        <f t="shared" si="5"/>
        <v>2844168.5620304113</v>
      </c>
      <c r="V65" s="81">
        <f t="shared" si="6"/>
        <v>92502667.952617943</v>
      </c>
      <c r="W65" s="28"/>
      <c r="X65" s="28"/>
      <c r="Y65" s="28"/>
      <c r="Z65" s="28"/>
      <c r="AA65" s="28"/>
      <c r="AB65" s="28"/>
      <c r="AC65" s="28"/>
      <c r="AD65" s="28"/>
      <c r="AE65" s="28"/>
      <c r="AF65" s="28"/>
      <c r="AG65" s="78" t="s">
        <v>136</v>
      </c>
      <c r="AH65" s="163">
        <f>S64+T64+U64+V64</f>
        <v>136562937.94641274</v>
      </c>
      <c r="AI65" s="169">
        <f t="shared" si="15"/>
        <v>1.8726464567159389E-3</v>
      </c>
    </row>
    <row r="66" spans="1:37">
      <c r="A66" s="85"/>
      <c r="B66" s="6"/>
      <c r="C66" s="8"/>
      <c r="D66" s="6"/>
      <c r="E66" s="6"/>
      <c r="F66" s="9"/>
      <c r="G66" s="28"/>
      <c r="H66" s="28"/>
      <c r="I66" s="28"/>
      <c r="J66" s="28"/>
      <c r="K66" s="28"/>
      <c r="L66" s="28"/>
      <c r="M66" s="28"/>
      <c r="N66" s="28"/>
      <c r="O66" s="28"/>
      <c r="P66" s="78" t="s">
        <v>130</v>
      </c>
      <c r="Q66" s="44">
        <v>537633</v>
      </c>
      <c r="R66" s="80">
        <f t="shared" si="9"/>
        <v>9.6290541577640134E-3</v>
      </c>
      <c r="S66" s="81">
        <f t="shared" si="10"/>
        <v>7893420.1776778866</v>
      </c>
      <c r="T66" s="81">
        <f t="shared" si="4"/>
        <v>3704061.1036871294</v>
      </c>
      <c r="U66" s="81">
        <f t="shared" si="5"/>
        <v>8449711.1435239352</v>
      </c>
      <c r="V66" s="81">
        <f t="shared" si="6"/>
        <v>274815225.31384093</v>
      </c>
      <c r="W66" s="28"/>
      <c r="X66" s="28"/>
      <c r="Y66" s="28"/>
      <c r="Z66" s="28"/>
      <c r="AA66" s="28"/>
      <c r="AB66" s="28"/>
      <c r="AC66" s="28"/>
      <c r="AD66" s="28"/>
      <c r="AE66" s="28"/>
      <c r="AF66" s="28"/>
      <c r="AG66" s="78" t="s">
        <v>129</v>
      </c>
      <c r="AH66" s="163">
        <f>S65+T65+U65+V65+AF46</f>
        <v>160551628.15070564</v>
      </c>
      <c r="AI66" s="169">
        <f t="shared" si="15"/>
        <v>2.2015961438554537E-3</v>
      </c>
    </row>
    <row r="67" spans="1:37">
      <c r="A67" s="85"/>
      <c r="B67" s="6"/>
      <c r="C67" s="8"/>
      <c r="D67" s="6"/>
      <c r="E67" s="6"/>
      <c r="F67" s="9"/>
      <c r="G67" s="28"/>
      <c r="H67" s="28"/>
      <c r="I67" s="28"/>
      <c r="J67" s="28"/>
      <c r="K67" s="28"/>
      <c r="L67" s="28"/>
      <c r="M67" s="28"/>
      <c r="N67" s="28"/>
      <c r="O67" s="28"/>
      <c r="P67" s="78" t="s">
        <v>114</v>
      </c>
      <c r="Q67" s="44">
        <v>855043</v>
      </c>
      <c r="R67" s="80">
        <f t="shared" si="9"/>
        <v>1.5313895081248762E-2</v>
      </c>
      <c r="S67" s="81">
        <f t="shared" si="10"/>
        <v>12553570.314661179</v>
      </c>
      <c r="T67" s="81">
        <f t="shared" si="4"/>
        <v>5890880.0581064671</v>
      </c>
      <c r="U67" s="81">
        <f t="shared" si="5"/>
        <v>13438286.647754392</v>
      </c>
      <c r="V67" s="81">
        <f t="shared" si="6"/>
        <v>437061777.64017922</v>
      </c>
      <c r="W67" s="28"/>
      <c r="X67" s="28"/>
      <c r="Y67" s="28"/>
      <c r="Z67" s="28"/>
      <c r="AA67" s="28"/>
      <c r="AB67" s="28"/>
      <c r="AC67" s="28"/>
      <c r="AD67" s="28"/>
      <c r="AE67" s="28"/>
      <c r="AF67" s="28"/>
      <c r="AG67" s="78" t="s">
        <v>130</v>
      </c>
      <c r="AH67" s="163">
        <f>S66+T66+U66+V66</f>
        <v>294862417.73872989</v>
      </c>
      <c r="AI67" s="169">
        <f t="shared" si="15"/>
        <v>4.0433595681267495E-3</v>
      </c>
    </row>
    <row r="68" spans="1:37">
      <c r="A68" s="85"/>
      <c r="B68" s="6"/>
      <c r="C68" s="6"/>
      <c r="D68" s="6"/>
      <c r="E68" s="6"/>
      <c r="F68" s="9"/>
      <c r="G68" s="28"/>
      <c r="H68" s="28"/>
      <c r="I68" s="28"/>
      <c r="J68" s="28"/>
      <c r="K68" s="28"/>
      <c r="L68" s="28"/>
      <c r="M68" s="28"/>
      <c r="N68" s="28"/>
      <c r="O68" s="28"/>
      <c r="P68" s="78" t="s">
        <v>112</v>
      </c>
      <c r="Q68" s="44">
        <v>4202</v>
      </c>
      <c r="R68" s="80">
        <f t="shared" si="9"/>
        <v>7.5258188338372801E-5</v>
      </c>
      <c r="S68" s="81">
        <f t="shared" si="10"/>
        <v>61692.923586540412</v>
      </c>
      <c r="T68" s="81">
        <f t="shared" si="4"/>
        <v>28949.980298257949</v>
      </c>
      <c r="U68" s="81">
        <f t="shared" si="5"/>
        <v>66040.749405426337</v>
      </c>
      <c r="V68" s="81">
        <f t="shared" si="6"/>
        <v>2147884.4802472307</v>
      </c>
      <c r="W68" s="28"/>
      <c r="X68" s="28"/>
      <c r="Y68" s="28"/>
      <c r="Z68" s="28"/>
      <c r="AA68" s="28"/>
      <c r="AB68" s="28"/>
      <c r="AC68" s="28"/>
      <c r="AD68" s="28"/>
      <c r="AE68" s="28"/>
      <c r="AF68" s="28"/>
      <c r="AG68" s="78" t="s">
        <v>114</v>
      </c>
      <c r="AH68" s="163">
        <f>S67+T67+U67+V67+Z43+AA43+AB43+AF47</f>
        <v>918757263.06999612</v>
      </c>
      <c r="AI68" s="169">
        <f t="shared" si="15"/>
        <v>1.2598641762856543E-2</v>
      </c>
    </row>
    <row r="69" spans="1:37">
      <c r="A69" s="85"/>
      <c r="B69" s="6"/>
      <c r="C69" s="6"/>
      <c r="D69" s="6"/>
      <c r="E69" s="6"/>
      <c r="F69" s="9"/>
      <c r="G69" s="28"/>
      <c r="H69" s="28"/>
      <c r="I69" s="28"/>
      <c r="J69" s="28"/>
      <c r="K69" s="28"/>
      <c r="L69" s="28"/>
      <c r="M69" s="28"/>
      <c r="N69" s="28"/>
      <c r="O69" s="28"/>
      <c r="P69" s="78" t="s">
        <v>100</v>
      </c>
      <c r="Q69" s="44">
        <v>920928</v>
      </c>
      <c r="R69" s="80">
        <f t="shared" si="9"/>
        <v>1.6493901206587575E-2</v>
      </c>
      <c r="S69" s="81">
        <f t="shared" si="10"/>
        <v>13520880.70745014</v>
      </c>
      <c r="T69" s="81">
        <f t="shared" si="4"/>
        <v>6344799.4897939311</v>
      </c>
      <c r="U69" s="81">
        <f t="shared" si="5"/>
        <v>14473768.507482264</v>
      </c>
      <c r="V69" s="81">
        <f t="shared" si="6"/>
        <v>470739399.95838219</v>
      </c>
      <c r="W69" s="28"/>
      <c r="X69" s="28"/>
      <c r="Y69" s="28"/>
      <c r="Z69" s="28"/>
      <c r="AA69" s="28"/>
      <c r="AB69" s="28"/>
      <c r="AC69" s="28"/>
      <c r="AD69" s="28"/>
      <c r="AE69" s="28"/>
      <c r="AF69" s="28"/>
      <c r="AG69" s="78" t="s">
        <v>112</v>
      </c>
      <c r="AH69" s="163">
        <f>S68+T68+U68+V68+Z44+AA44+AB44</f>
        <v>20182049.705143612</v>
      </c>
      <c r="AI69" s="169">
        <f t="shared" si="15"/>
        <v>2.7675037193790043E-4</v>
      </c>
    </row>
    <row r="70" spans="1:37">
      <c r="A70" s="85"/>
      <c r="B70" s="6"/>
      <c r="C70" s="6"/>
      <c r="D70" s="6"/>
      <c r="E70" s="6"/>
      <c r="F70" s="9"/>
      <c r="G70" s="28"/>
      <c r="H70" s="28"/>
      <c r="I70" s="28"/>
      <c r="J70" s="28"/>
      <c r="K70" s="28"/>
      <c r="L70" s="28"/>
      <c r="M70" s="28"/>
      <c r="N70" s="28"/>
      <c r="O70" s="28"/>
      <c r="P70" s="78" t="s">
        <v>20</v>
      </c>
      <c r="Q70" s="45">
        <v>1926795</v>
      </c>
      <c r="R70" s="80">
        <f t="shared" si="9"/>
        <v>3.4509067348747029E-2</v>
      </c>
      <c r="S70" s="81">
        <f t="shared" si="10"/>
        <v>28288818.824828207</v>
      </c>
      <c r="T70" s="81">
        <f t="shared" si="4"/>
        <v>13274792.3105145</v>
      </c>
      <c r="U70" s="81">
        <f t="shared" si="5"/>
        <v>30282481.140082922</v>
      </c>
      <c r="V70" s="81">
        <f t="shared" si="6"/>
        <v>984896020.25653565</v>
      </c>
      <c r="W70" s="28"/>
      <c r="X70" s="28"/>
      <c r="Y70" s="28"/>
      <c r="Z70" s="28"/>
      <c r="AA70" s="28"/>
      <c r="AB70" s="28"/>
      <c r="AC70" s="28"/>
      <c r="AD70" s="28"/>
      <c r="AE70" s="28"/>
      <c r="AF70" s="28"/>
      <c r="AG70" s="78" t="s">
        <v>100</v>
      </c>
      <c r="AH70" s="163">
        <f>S69+T69+U69+V69+Z45+AA45+AB45+AF48</f>
        <v>646354761.32854986</v>
      </c>
      <c r="AI70" s="169">
        <f t="shared" si="15"/>
        <v>8.8632682613956609E-3</v>
      </c>
    </row>
    <row r="71" spans="1:37">
      <c r="A71" s="85"/>
      <c r="B71" s="6"/>
      <c r="C71" s="6"/>
      <c r="D71" s="6"/>
      <c r="E71" s="6"/>
      <c r="F71" s="9"/>
      <c r="G71" s="28"/>
      <c r="H71" s="28"/>
      <c r="I71" s="28"/>
      <c r="J71" s="28"/>
      <c r="K71" s="28"/>
      <c r="L71" s="28"/>
      <c r="M71" s="28"/>
      <c r="N71" s="28"/>
      <c r="O71" s="28"/>
      <c r="P71" s="79" t="s">
        <v>113</v>
      </c>
      <c r="Q71" s="44">
        <v>280080</v>
      </c>
      <c r="R71" s="80">
        <f t="shared" si="9"/>
        <v>5.0162573512164341E-3</v>
      </c>
      <c r="S71" s="81">
        <f t="shared" si="10"/>
        <v>4112078.5431028651</v>
      </c>
      <c r="T71" s="81">
        <f t="shared" si="4"/>
        <v>1929631.2427263416</v>
      </c>
      <c r="U71" s="81">
        <f t="shared" si="5"/>
        <v>4401878.4134868663</v>
      </c>
      <c r="V71" s="81">
        <f t="shared" si="6"/>
        <v>143165036.94137183</v>
      </c>
      <c r="W71" s="28"/>
      <c r="X71" s="28"/>
      <c r="Y71" s="28"/>
      <c r="Z71" s="28"/>
      <c r="AA71" s="28"/>
      <c r="AB71" s="28"/>
      <c r="AC71" s="28"/>
      <c r="AD71" s="28"/>
      <c r="AE71" s="28"/>
      <c r="AF71" s="28"/>
      <c r="AG71" s="78" t="s">
        <v>20</v>
      </c>
      <c r="AH71" s="163">
        <f>S70+T70+U70+V70+AF49</f>
        <v>3034017618.5880537</v>
      </c>
      <c r="AI71" s="169">
        <f t="shared" si="15"/>
        <v>4.1604570233339036E-2</v>
      </c>
    </row>
    <row r="72" spans="1:37">
      <c r="A72" s="85"/>
      <c r="B72" s="6"/>
      <c r="C72" s="6"/>
      <c r="D72" s="6"/>
      <c r="E72" s="6"/>
      <c r="F72" s="9"/>
      <c r="G72" s="28"/>
      <c r="H72" s="28"/>
      <c r="I72" s="28"/>
      <c r="J72" s="28"/>
      <c r="K72" s="28"/>
      <c r="L72" s="28"/>
      <c r="M72" s="28"/>
      <c r="N72" s="28"/>
      <c r="O72" s="28"/>
      <c r="P72" s="78" t="s">
        <v>256</v>
      </c>
      <c r="Q72" s="44">
        <v>125235</v>
      </c>
      <c r="R72" s="80">
        <f t="shared" si="9"/>
        <v>2.2429698278334407E-3</v>
      </c>
      <c r="S72" s="81">
        <f t="shared" si="10"/>
        <v>1838675.2225988549</v>
      </c>
      <c r="T72" s="81">
        <f t="shared" si="4"/>
        <v>862815.51229232142</v>
      </c>
      <c r="U72" s="81">
        <f t="shared" si="5"/>
        <v>1968256.3664418296</v>
      </c>
      <c r="V72" s="81">
        <f t="shared" si="6"/>
        <v>64014829.339305557</v>
      </c>
      <c r="W72" s="28"/>
      <c r="X72" s="28"/>
      <c r="Y72" s="28"/>
      <c r="Z72" s="28"/>
      <c r="AA72" s="28"/>
      <c r="AB72" s="28"/>
      <c r="AC72" s="28"/>
      <c r="AD72" s="28"/>
      <c r="AE72" s="28"/>
      <c r="AF72" s="28"/>
      <c r="AG72" s="79" t="s">
        <v>113</v>
      </c>
      <c r="AH72" s="163">
        <f>S71+T71+U71+V71</f>
        <v>153608625.14068791</v>
      </c>
      <c r="AI72" s="169">
        <f t="shared" si="15"/>
        <v>2.1063888337228926E-3</v>
      </c>
    </row>
    <row r="73" spans="1:37">
      <c r="A73" s="85"/>
      <c r="B73" s="6"/>
      <c r="C73" s="6"/>
      <c r="D73" s="6"/>
      <c r="E73" s="6"/>
      <c r="F73" s="9"/>
      <c r="G73" s="28"/>
      <c r="H73" s="28"/>
      <c r="I73" s="28"/>
      <c r="J73" s="28"/>
      <c r="K73" s="28"/>
      <c r="L73" s="28"/>
      <c r="M73" s="28"/>
      <c r="N73" s="28"/>
      <c r="O73" s="28"/>
      <c r="P73" s="78" t="s">
        <v>27</v>
      </c>
      <c r="Q73" s="126">
        <f>SUM(Q25:Q72)</f>
        <v>55834455.928000003</v>
      </c>
      <c r="R73" s="126"/>
      <c r="S73" s="126"/>
      <c r="T73" s="126"/>
      <c r="U73" s="126"/>
      <c r="V73" s="126"/>
      <c r="W73" s="28"/>
      <c r="X73" s="28"/>
      <c r="Y73" s="28"/>
      <c r="Z73" s="28"/>
      <c r="AA73" s="28"/>
      <c r="AB73" s="28"/>
      <c r="AC73" s="28"/>
      <c r="AD73" s="28"/>
      <c r="AE73" s="28"/>
      <c r="AF73" s="28"/>
      <c r="AG73" s="78" t="s">
        <v>256</v>
      </c>
      <c r="AH73" s="163">
        <f>S72+T72+U72+V72</f>
        <v>68684576.440638557</v>
      </c>
      <c r="AI73" s="169">
        <f t="shared" si="15"/>
        <v>9.4185091970610689E-4</v>
      </c>
    </row>
    <row r="74" spans="1:37">
      <c r="A74" s="86"/>
      <c r="B74" s="73"/>
      <c r="C74" s="73"/>
      <c r="D74" s="73"/>
      <c r="E74" s="73"/>
      <c r="F74" s="87"/>
      <c r="G74" s="37"/>
      <c r="H74" s="37"/>
      <c r="I74" s="37"/>
      <c r="J74" s="37"/>
      <c r="K74" s="37"/>
      <c r="L74" s="37"/>
      <c r="M74" s="37"/>
      <c r="N74" s="37"/>
      <c r="O74" s="37"/>
      <c r="P74" s="88"/>
      <c r="Q74" s="52"/>
      <c r="R74" s="52"/>
      <c r="S74" s="52"/>
      <c r="T74" s="52"/>
      <c r="U74" s="52"/>
      <c r="V74" s="52"/>
      <c r="W74" s="37"/>
      <c r="X74" s="37"/>
      <c r="Y74" s="37"/>
      <c r="Z74" s="37"/>
      <c r="AA74" s="37"/>
      <c r="AB74" s="37"/>
      <c r="AC74" s="37"/>
      <c r="AD74" s="37"/>
      <c r="AE74" s="37"/>
      <c r="AF74" s="37"/>
      <c r="AG74" s="88" t="s">
        <v>27</v>
      </c>
      <c r="AH74" s="170">
        <f>SUM(AH25:AH73)</f>
        <v>72925104178.982742</v>
      </c>
      <c r="AI74" s="168"/>
    </row>
    <row r="75" spans="1:37">
      <c r="A75" s="6"/>
      <c r="B75" s="6"/>
      <c r="F75" s="9"/>
    </row>
    <row r="76" spans="1:37">
      <c r="A76" s="5" t="s">
        <v>270</v>
      </c>
      <c r="F76" s="7"/>
    </row>
    <row r="77" spans="1:37" ht="48">
      <c r="A77" s="60" t="s">
        <v>0</v>
      </c>
      <c r="B77" s="23" t="s">
        <v>1</v>
      </c>
      <c r="C77" s="23" t="s">
        <v>558</v>
      </c>
      <c r="D77" s="23" t="s">
        <v>3</v>
      </c>
      <c r="E77" s="23"/>
      <c r="F77" s="61" t="s">
        <v>8</v>
      </c>
      <c r="G77" s="61" t="s">
        <v>279</v>
      </c>
      <c r="H77" s="61" t="s">
        <v>280</v>
      </c>
      <c r="I77" s="61" t="s">
        <v>281</v>
      </c>
      <c r="J77" s="61" t="s">
        <v>282</v>
      </c>
      <c r="K77" s="61" t="s">
        <v>283</v>
      </c>
      <c r="L77" s="61" t="s">
        <v>284</v>
      </c>
      <c r="M77" s="61" t="s">
        <v>285</v>
      </c>
      <c r="N77" s="61" t="s">
        <v>286</v>
      </c>
      <c r="O77" s="23"/>
      <c r="P77" s="61" t="s">
        <v>417</v>
      </c>
      <c r="Q77" s="61" t="s">
        <v>418</v>
      </c>
      <c r="R77" s="61" t="s">
        <v>89</v>
      </c>
      <c r="S77" s="61" t="s">
        <v>279</v>
      </c>
      <c r="T77" s="61" t="s">
        <v>280</v>
      </c>
      <c r="U77" s="61" t="s">
        <v>281</v>
      </c>
      <c r="V77" s="61" t="s">
        <v>282</v>
      </c>
      <c r="W77" s="61" t="s">
        <v>419</v>
      </c>
      <c r="X77" s="61" t="s">
        <v>420</v>
      </c>
      <c r="Y77" s="61" t="s">
        <v>89</v>
      </c>
      <c r="Z77" s="61" t="s">
        <v>283</v>
      </c>
      <c r="AA77" s="61" t="s">
        <v>284</v>
      </c>
      <c r="AB77" s="61" t="s">
        <v>285</v>
      </c>
      <c r="AC77" s="61" t="s">
        <v>254</v>
      </c>
      <c r="AD77" s="61" t="s">
        <v>421</v>
      </c>
      <c r="AE77" s="61" t="s">
        <v>89</v>
      </c>
      <c r="AF77" s="61" t="s">
        <v>286</v>
      </c>
      <c r="AG77" s="114" t="s">
        <v>422</v>
      </c>
      <c r="AH77" s="114" t="s">
        <v>423</v>
      </c>
      <c r="AI77" s="115" t="s">
        <v>89</v>
      </c>
      <c r="AJ77" s="165"/>
      <c r="AK77" s="165"/>
    </row>
    <row r="78" spans="1:37">
      <c r="A78" s="67" t="s">
        <v>271</v>
      </c>
      <c r="B78" s="82">
        <f>'[1]Weight%'!$B$39+'[1]Weight%'!$B$74+'[1]Weight%'!$B$75</f>
        <v>0.17217217217217215</v>
      </c>
      <c r="C78" s="28" t="s">
        <v>33</v>
      </c>
      <c r="D78" s="171" t="s">
        <v>208</v>
      </c>
      <c r="E78" s="28"/>
      <c r="F78" s="28">
        <v>2009</v>
      </c>
      <c r="G78" s="26"/>
      <c r="H78" s="26"/>
      <c r="I78" s="26">
        <f>I79/data_1tier!N14</f>
        <v>97035930.480370238</v>
      </c>
      <c r="J78" s="26">
        <f>J79/data_1tier!T14</f>
        <v>18605203271.543533</v>
      </c>
      <c r="K78" s="26"/>
      <c r="L78" s="26"/>
      <c r="M78" s="26">
        <f>M79/data_1tier!AJ19</f>
        <v>848787092.50162148</v>
      </c>
      <c r="N78" s="26">
        <f>N79/data_1tier!AK19</f>
        <v>23951281867.704281</v>
      </c>
      <c r="O78" s="28"/>
      <c r="P78" s="77" t="s">
        <v>131</v>
      </c>
      <c r="Q78" s="44">
        <v>754</v>
      </c>
      <c r="R78" s="35">
        <f>Q78/$Q$126</f>
        <v>1.350420609403453E-5</v>
      </c>
      <c r="S78" s="26">
        <f>R78*$B$86</f>
        <v>8434.3445314932051</v>
      </c>
      <c r="T78" s="26">
        <f>R78*$B$87</f>
        <v>3957.8949062598758</v>
      </c>
      <c r="U78" s="26">
        <f>R78*$B$88</f>
        <v>9028.7572904859735</v>
      </c>
      <c r="V78" s="26">
        <f>R78*$B$89</f>
        <v>293647.90428257058</v>
      </c>
      <c r="W78" s="28" t="s">
        <v>144</v>
      </c>
      <c r="X78" s="26">
        <v>1349</v>
      </c>
      <c r="Y78" s="35">
        <f>X78/$X$99</f>
        <v>6.1523165820666125E-3</v>
      </c>
      <c r="Z78" s="26">
        <f>Y78*$B$90</f>
        <v>2610565.6766022085</v>
      </c>
      <c r="AA78" s="26">
        <f>Y78*$B$91</f>
        <v>746152.04600472096</v>
      </c>
      <c r="AB78" s="26">
        <f>Y78*$B$92</f>
        <v>8132576.8915611282</v>
      </c>
      <c r="AC78" s="28" t="s">
        <v>164</v>
      </c>
      <c r="AD78" s="26">
        <v>4730</v>
      </c>
      <c r="AE78" s="35">
        <f>AD78/$AD$103</f>
        <v>1.0845086762986933E-3</v>
      </c>
      <c r="AF78" s="26">
        <f>AE78*$B$93</f>
        <v>40453167.154045328</v>
      </c>
      <c r="AG78" s="77" t="s">
        <v>131</v>
      </c>
      <c r="AH78" s="163">
        <f>S78+T78+U78+V78</f>
        <v>315068.90101080964</v>
      </c>
      <c r="AI78" s="169">
        <f>AH78/$AH$127</f>
        <v>5.0411380147495631E-6</v>
      </c>
      <c r="AJ78" s="165"/>
      <c r="AK78" s="165"/>
    </row>
    <row r="79" spans="1:37">
      <c r="A79" s="67" t="s">
        <v>272</v>
      </c>
      <c r="B79" s="82">
        <f>'[1]Weight%'!$B$37+'[1]Weight%'!$B$70+'[1]Weight%'!$B$72</f>
        <v>0.18730820022203423</v>
      </c>
      <c r="C79" s="28" t="s">
        <v>33</v>
      </c>
      <c r="D79" s="171"/>
      <c r="E79" s="28"/>
      <c r="F79" s="28">
        <v>2010</v>
      </c>
      <c r="G79" s="26"/>
      <c r="H79" s="26"/>
      <c r="I79" s="26">
        <f>I80/data_1tier!N15</f>
        <v>91666830.296592921</v>
      </c>
      <c r="J79" s="26">
        <f>J80/data_1tier!T15</f>
        <v>22681572065.681667</v>
      </c>
      <c r="K79" s="26"/>
      <c r="L79" s="26">
        <f>L80/data_1tier!AD15</f>
        <v>8872087.6523021404</v>
      </c>
      <c r="M79" s="26">
        <f>M80/data_1tier!AJ20</f>
        <v>1173644054.0028217</v>
      </c>
      <c r="N79" s="26">
        <f>N80/data_1tier!AK20</f>
        <v>33118175097.276264</v>
      </c>
      <c r="O79" s="28"/>
      <c r="P79" s="78" t="s">
        <v>117</v>
      </c>
      <c r="Q79" s="44">
        <v>93001</v>
      </c>
      <c r="R79" s="35">
        <f t="shared" ref="R79:R125" si="17">Q79/$Q$126</f>
        <v>1.6656560622696356E-3</v>
      </c>
      <c r="S79" s="26">
        <f t="shared" ref="S79:S125" si="18">R79*$B$86</f>
        <v>1040321.5859063654</v>
      </c>
      <c r="T79" s="26">
        <f t="shared" ref="T79:T125" si="19">R79*$B$87</f>
        <v>488180.61561946245</v>
      </c>
      <c r="U79" s="26">
        <f t="shared" ref="U79:U125" si="20">R79*$B$88</f>
        <v>1113638.5368335359</v>
      </c>
      <c r="V79" s="26">
        <f t="shared" ref="V79:V125" si="21">R79*$B$89</f>
        <v>36219560.671330698</v>
      </c>
      <c r="W79" s="28" t="s">
        <v>141</v>
      </c>
      <c r="X79" s="26">
        <v>333</v>
      </c>
      <c r="Y79" s="35">
        <f t="shared" ref="Y79:Y98" si="22">X79/$X$99</f>
        <v>1.5186963838607725E-3</v>
      </c>
      <c r="Z79" s="26">
        <f t="shared" ref="Z79:Z98" si="23">Y79*$B$90</f>
        <v>644416.87939846958</v>
      </c>
      <c r="AA79" s="26">
        <f t="shared" ref="AA79:AA98" si="24">Y79*$B$91</f>
        <v>184187.27303155826</v>
      </c>
      <c r="AB79" s="26">
        <f t="shared" ref="AB79:AB98" si="25">Y79*$B$92</f>
        <v>2007522.687094037</v>
      </c>
      <c r="AC79" s="28" t="s">
        <v>144</v>
      </c>
      <c r="AD79" s="26">
        <v>8629</v>
      </c>
      <c r="AE79" s="35">
        <f t="shared" ref="AE79:AE102" si="26">AD79/$AD$103</f>
        <v>1.9784831644358192E-3</v>
      </c>
      <c r="AF79" s="26">
        <f t="shared" ref="AF79:AF102" si="27">AE79*$B$93</f>
        <v>73799234.539589256</v>
      </c>
      <c r="AG79" s="78" t="s">
        <v>117</v>
      </c>
      <c r="AH79" s="163">
        <f>S79+T79+U79+V79</f>
        <v>38861701.40969006</v>
      </c>
      <c r="AI79" s="169">
        <f t="shared" ref="AI79:AI126" si="28">AH79/$AH$127</f>
        <v>6.2179161340812216E-4</v>
      </c>
      <c r="AJ79" s="165"/>
      <c r="AK79" s="165"/>
    </row>
    <row r="80" spans="1:37">
      <c r="A80" s="67" t="s">
        <v>273</v>
      </c>
      <c r="B80" s="82">
        <f>'[1]Weight%'!$B$38+'[1]Weight%'!$B$71+'[1]Weight%'!$B$73</f>
        <v>0.20893391537642897</v>
      </c>
      <c r="C80" s="28" t="s">
        <v>33</v>
      </c>
      <c r="D80" s="171"/>
      <c r="E80" s="28"/>
      <c r="F80" s="28">
        <v>2011</v>
      </c>
      <c r="G80" s="76">
        <f>G81/data_1tier!D13</f>
        <v>12446291.891891893</v>
      </c>
      <c r="H80" s="26"/>
      <c r="I80" s="26">
        <f>I81/data_1tier!N16</f>
        <v>89860638.384946764</v>
      </c>
      <c r="J80" s="26">
        <f>J81/data_1tier!T16</f>
        <v>23327199822.294281</v>
      </c>
      <c r="K80" s="26"/>
      <c r="L80" s="26">
        <f>L81/data_1tier!AD16</f>
        <v>7703602.9220699193</v>
      </c>
      <c r="M80" s="26">
        <f>M81/data_1tier!AJ21</f>
        <v>1212451311.3915706</v>
      </c>
      <c r="N80" s="26">
        <f>N81/data_1tier!AK21</f>
        <v>34213247782.101173</v>
      </c>
      <c r="O80" s="28"/>
      <c r="P80" s="78" t="s">
        <v>92</v>
      </c>
      <c r="Q80" s="44">
        <v>104543.99999999999</v>
      </c>
      <c r="R80" s="35">
        <f t="shared" si="17"/>
        <v>1.8723922041044372E-3</v>
      </c>
      <c r="S80" s="26">
        <f t="shared" si="18"/>
        <v>1169443.1229448614</v>
      </c>
      <c r="T80" s="26">
        <f t="shared" si="19"/>
        <v>548772.10222815967</v>
      </c>
      <c r="U80" s="26">
        <f t="shared" si="20"/>
        <v>1251859.9498362937</v>
      </c>
      <c r="V80" s="26">
        <f t="shared" si="21"/>
        <v>40715021.890340917</v>
      </c>
      <c r="W80" s="28" t="s">
        <v>148</v>
      </c>
      <c r="X80" s="26">
        <v>18405</v>
      </c>
      <c r="Y80" s="35">
        <f t="shared" si="22"/>
        <v>8.3938759594467019E-2</v>
      </c>
      <c r="Z80" s="26">
        <f t="shared" si="23"/>
        <v>35617095.091077574</v>
      </c>
      <c r="AA80" s="26">
        <f t="shared" si="24"/>
        <v>10180080.360798286</v>
      </c>
      <c r="AB80" s="26">
        <f t="shared" si="25"/>
        <v>110956321.48938663</v>
      </c>
      <c r="AC80" s="28" t="s">
        <v>141</v>
      </c>
      <c r="AD80" s="26">
        <v>30070</v>
      </c>
      <c r="AE80" s="35">
        <f t="shared" si="26"/>
        <v>6.8945403586261542E-3</v>
      </c>
      <c r="AF80" s="26">
        <f t="shared" si="27"/>
        <v>257172671.52688015</v>
      </c>
      <c r="AG80" s="78" t="s">
        <v>92</v>
      </c>
      <c r="AH80" s="163">
        <f>S80+T80+U80+V80</f>
        <v>43685097.065350235</v>
      </c>
      <c r="AI80" s="169">
        <f t="shared" si="28"/>
        <v>6.9896648887795524E-4</v>
      </c>
      <c r="AJ80" s="165"/>
      <c r="AK80" s="165"/>
    </row>
    <row r="81" spans="1:37">
      <c r="A81" s="67" t="s">
        <v>274</v>
      </c>
      <c r="B81" s="82">
        <f>'[1]Weight%'!$B$36+'[1]Weight%'!$B$68+'[1]Weight%'!$B$69</f>
        <v>0.2066066066066066</v>
      </c>
      <c r="C81" s="28" t="s">
        <v>33</v>
      </c>
      <c r="D81" s="171"/>
      <c r="E81" s="28"/>
      <c r="F81" s="28">
        <v>2012</v>
      </c>
      <c r="G81" s="26">
        <f>G82/data_1tier!D14</f>
        <v>18334580.180180181</v>
      </c>
      <c r="H81" s="26">
        <f>H82/data_1tier!I14</f>
        <v>18199164.426693205</v>
      </c>
      <c r="I81" s="26">
        <f>I82/data_1tier!N17</f>
        <v>145198708.06441543</v>
      </c>
      <c r="J81" s="26">
        <f>J82/data_1tier!T17</f>
        <v>24567122644.180164</v>
      </c>
      <c r="K81" s="26"/>
      <c r="L81" s="26">
        <f>L82/data_1tier!AD17</f>
        <v>14315687.173982792</v>
      </c>
      <c r="M81" s="26">
        <f>M82/data_1tier!AJ22</f>
        <v>1283528763.4349952</v>
      </c>
      <c r="N81" s="26">
        <f>N82/data_1tier!AK22</f>
        <v>36218928715.953316</v>
      </c>
      <c r="O81" s="28"/>
      <c r="P81" s="78" t="s">
        <v>109</v>
      </c>
      <c r="Q81" s="44">
        <v>1949</v>
      </c>
      <c r="R81" s="35">
        <f t="shared" si="17"/>
        <v>3.4906760845190047E-5</v>
      </c>
      <c r="S81" s="26">
        <f t="shared" si="18"/>
        <v>21801.773861910155</v>
      </c>
      <c r="T81" s="26">
        <f t="shared" si="19"/>
        <v>10230.685904907821</v>
      </c>
      <c r="U81" s="26">
        <f t="shared" si="20"/>
        <v>23338.259892781381</v>
      </c>
      <c r="V81" s="26">
        <f t="shared" si="21"/>
        <v>759044.78175958886</v>
      </c>
      <c r="W81" s="28" t="s">
        <v>88</v>
      </c>
      <c r="X81" s="26">
        <v>3108</v>
      </c>
      <c r="Y81" s="35">
        <f t="shared" si="22"/>
        <v>1.4174499582700542E-2</v>
      </c>
      <c r="Z81" s="26">
        <f t="shared" si="23"/>
        <v>6014557.5410523824</v>
      </c>
      <c r="AA81" s="26">
        <f t="shared" si="24"/>
        <v>1719081.2149612103</v>
      </c>
      <c r="AB81" s="26">
        <f t="shared" si="25"/>
        <v>18736878.412877675</v>
      </c>
      <c r="AC81" s="28" t="s">
        <v>148</v>
      </c>
      <c r="AD81" s="26">
        <v>90936</v>
      </c>
      <c r="AE81" s="35">
        <f t="shared" si="26"/>
        <v>2.0850080547124311E-2</v>
      </c>
      <c r="AF81" s="26">
        <f t="shared" si="27"/>
        <v>777727105.35312188</v>
      </c>
      <c r="AG81" s="78" t="s">
        <v>259</v>
      </c>
      <c r="AH81" s="163">
        <f>AF78</f>
        <v>40453167.154045328</v>
      </c>
      <c r="AI81" s="169">
        <f t="shared" si="28"/>
        <v>6.4725524513217412E-4</v>
      </c>
      <c r="AJ81" s="165"/>
      <c r="AK81" s="165"/>
    </row>
    <row r="82" spans="1:37">
      <c r="A82" s="67" t="s">
        <v>275</v>
      </c>
      <c r="B82" s="82">
        <f>'[1]Weight%'!$B$43+'[1]Weight%'!$B$78+'[1]Weight%'!$B$78</f>
        <v>0.15111196227751708</v>
      </c>
      <c r="C82" s="28" t="s">
        <v>33</v>
      </c>
      <c r="D82" s="171"/>
      <c r="E82" s="28"/>
      <c r="F82" s="28">
        <v>2013</v>
      </c>
      <c r="G82" s="26">
        <f>G83/data_1tier!D15</f>
        <v>35132936.936936937</v>
      </c>
      <c r="H82" s="26">
        <f>H83/data_1tier!I15</f>
        <v>27466574.78743875</v>
      </c>
      <c r="I82" s="26">
        <f>I83/data_1tier!N18</f>
        <v>165654174.11542934</v>
      </c>
      <c r="J82" s="26">
        <f>J83/data_1tier!T18</f>
        <v>25604774247.039024</v>
      </c>
      <c r="K82" s="26"/>
      <c r="L82" s="26">
        <f>L83/data_1tier!AD18</f>
        <v>20403002.834474009</v>
      </c>
      <c r="M82" s="26">
        <f>M83/data_1tier!AJ23</f>
        <v>1325723105.6191142</v>
      </c>
      <c r="N82" s="26">
        <f>N83/data_1tier!AK23</f>
        <v>37409578988.326851</v>
      </c>
      <c r="O82" s="28"/>
      <c r="P82" s="78" t="s">
        <v>110</v>
      </c>
      <c r="Q82" s="44">
        <v>21295</v>
      </c>
      <c r="R82" s="35">
        <f t="shared" si="17"/>
        <v>3.8139531667435718E-4</v>
      </c>
      <c r="S82" s="26">
        <f t="shared" si="18"/>
        <v>238208.70928136315</v>
      </c>
      <c r="T82" s="26">
        <f t="shared" si="19"/>
        <v>111781.66051565525</v>
      </c>
      <c r="U82" s="26">
        <f t="shared" si="20"/>
        <v>254996.53382082071</v>
      </c>
      <c r="V82" s="26">
        <f t="shared" si="21"/>
        <v>8293411.3019858627</v>
      </c>
      <c r="W82" s="28" t="s">
        <v>17</v>
      </c>
      <c r="X82" s="26">
        <v>103355</v>
      </c>
      <c r="Y82" s="35">
        <f t="shared" si="22"/>
        <v>0.47136596022201244</v>
      </c>
      <c r="Z82" s="26">
        <f t="shared" si="23"/>
        <v>200011130.841528</v>
      </c>
      <c r="AA82" s="26">
        <f t="shared" si="24"/>
        <v>57167194.006536648</v>
      </c>
      <c r="AB82" s="26">
        <f t="shared" si="25"/>
        <v>623085607.58139396</v>
      </c>
      <c r="AC82" s="28" t="s">
        <v>88</v>
      </c>
      <c r="AD82" s="26">
        <v>14719</v>
      </c>
      <c r="AE82" s="35">
        <f t="shared" si="26"/>
        <v>3.3748167455476675E-3</v>
      </c>
      <c r="AF82" s="26">
        <f t="shared" si="27"/>
        <v>125883756.30875121</v>
      </c>
      <c r="AG82" s="78" t="s">
        <v>109</v>
      </c>
      <c r="AH82" s="163">
        <f>S81+T81+U81+V81</f>
        <v>814415.50141918822</v>
      </c>
      <c r="AI82" s="169">
        <f t="shared" si="28"/>
        <v>1.3030740040778378E-5</v>
      </c>
      <c r="AJ82" s="165"/>
      <c r="AK82" s="165"/>
    </row>
    <row r="83" spans="1:37">
      <c r="A83" s="67" t="s">
        <v>276</v>
      </c>
      <c r="B83" s="82">
        <f>'[1]Weight%'!$B$42+'[1]Weight%'!$B$79+'[1]Weight%'!$B$79</f>
        <v>0.1665932036259227</v>
      </c>
      <c r="C83" s="28" t="s">
        <v>33</v>
      </c>
      <c r="D83" s="171"/>
      <c r="E83" s="28"/>
      <c r="F83" s="28">
        <v>2014</v>
      </c>
      <c r="G83" s="26">
        <f>G84/data_1tier!D16</f>
        <v>60022421.621621624</v>
      </c>
      <c r="H83" s="26">
        <f>H84/data_1tier!I16</f>
        <v>40268266.116533816</v>
      </c>
      <c r="I83" s="26">
        <f>I84/data_1tier!N19</f>
        <v>148367483.39858052</v>
      </c>
      <c r="J83" s="26">
        <f>J84/data_1tier!T19</f>
        <v>26397947612.85284</v>
      </c>
      <c r="K83" s="26"/>
      <c r="L83" s="26">
        <f>L84/data_1tier!AD19</f>
        <v>40341877.003646195</v>
      </c>
      <c r="M83" s="26">
        <f>M84/data_1tier!AJ24</f>
        <v>1334449887.7912576</v>
      </c>
      <c r="N83" s="26">
        <f>N84/data_1tier!AK24</f>
        <v>37655833463.035019</v>
      </c>
      <c r="O83" s="28"/>
      <c r="P83" s="78" t="s">
        <v>93</v>
      </c>
      <c r="Q83" s="44">
        <v>237057</v>
      </c>
      <c r="R83" s="35">
        <f t="shared" si="17"/>
        <v>4.2457116499118614E-3</v>
      </c>
      <c r="S83" s="26">
        <f t="shared" si="18"/>
        <v>2651751.2090214654</v>
      </c>
      <c r="T83" s="26">
        <f t="shared" si="19"/>
        <v>1244359.009009612</v>
      </c>
      <c r="U83" s="26">
        <f t="shared" si="20"/>
        <v>2838634.1074412912</v>
      </c>
      <c r="V83" s="26">
        <f t="shared" si="21"/>
        <v>92322667.434367821</v>
      </c>
      <c r="W83" s="28" t="s">
        <v>22</v>
      </c>
      <c r="X83" s="26">
        <v>5070</v>
      </c>
      <c r="Y83" s="35">
        <f t="shared" si="22"/>
        <v>2.3122494493015365E-2</v>
      </c>
      <c r="Z83" s="26">
        <f t="shared" si="23"/>
        <v>9811392.1277785003</v>
      </c>
      <c r="AA83" s="26">
        <f t="shared" si="24"/>
        <v>2804292.7155255266</v>
      </c>
      <c r="AB83" s="26">
        <f t="shared" si="25"/>
        <v>30564985.055756059</v>
      </c>
      <c r="AC83" s="28" t="s">
        <v>17</v>
      </c>
      <c r="AD83" s="26">
        <v>2976459</v>
      </c>
      <c r="AE83" s="35">
        <f t="shared" si="26"/>
        <v>0.68245150320239589</v>
      </c>
      <c r="AF83" s="26">
        <f t="shared" si="27"/>
        <v>25456066269.37899</v>
      </c>
      <c r="AG83" s="78" t="s">
        <v>110</v>
      </c>
      <c r="AH83" s="163">
        <f>S82+T82+U82+V82+Z78+AA78+AB78+AF79</f>
        <v>94186927.359361023</v>
      </c>
      <c r="AI83" s="169">
        <f t="shared" si="28"/>
        <v>1.5070014796142652E-3</v>
      </c>
      <c r="AJ83" s="165"/>
      <c r="AK83" s="165"/>
    </row>
    <row r="84" spans="1:37">
      <c r="A84" s="67" t="s">
        <v>277</v>
      </c>
      <c r="B84" s="82">
        <f>'[1]Weight%'!$B$40+'[1]Weight%'!$B$77+'[1]Weight%'!$B$77</f>
        <v>0.17134888749898089</v>
      </c>
      <c r="C84" s="28" t="s">
        <v>33</v>
      </c>
      <c r="D84" s="171"/>
      <c r="E84" s="28"/>
      <c r="F84" s="28">
        <v>2015</v>
      </c>
      <c r="G84" s="26">
        <f>G85/data_1tier!D17</f>
        <v>101877614.41441442</v>
      </c>
      <c r="H84" s="26">
        <f>H85/data_1tier!I17</f>
        <v>66908886.664273478</v>
      </c>
      <c r="I84" s="26">
        <f>I85/data_1tier!N20</f>
        <v>154098289.97665751</v>
      </c>
      <c r="J84" s="26">
        <f>J85/data_1tier!T20</f>
        <v>26692951204.228218</v>
      </c>
      <c r="K84" s="26">
        <f>K85/data_1tier!Y15</f>
        <v>136000766.04976538</v>
      </c>
      <c r="L84" s="26">
        <f>L85/data_1tier!AD20</f>
        <v>53761959.114936031</v>
      </c>
      <c r="M84" s="26">
        <f>M85/data_1tier!AJ25</f>
        <v>1349413890.8127122</v>
      </c>
      <c r="N84" s="26">
        <f>N85/data_1tier!AK25</f>
        <v>38078091361.867699</v>
      </c>
      <c r="O84" s="28"/>
      <c r="P84" s="78" t="s">
        <v>118</v>
      </c>
      <c r="Q84" s="44">
        <v>1608870</v>
      </c>
      <c r="R84" s="35">
        <f t="shared" si="17"/>
        <v>2.8815002730118479E-2</v>
      </c>
      <c r="S84" s="26">
        <f t="shared" si="18"/>
        <v>17997034.332073573</v>
      </c>
      <c r="T84" s="26">
        <f t="shared" si="19"/>
        <v>8445276.3631755002</v>
      </c>
      <c r="U84" s="26">
        <f t="shared" si="20"/>
        <v>19265380.294355661</v>
      </c>
      <c r="V84" s="26">
        <f t="shared" si="21"/>
        <v>626579978.46564889</v>
      </c>
      <c r="W84" s="28" t="s">
        <v>47</v>
      </c>
      <c r="X84" s="26">
        <v>35540</v>
      </c>
      <c r="Y84" s="35">
        <f t="shared" si="22"/>
        <v>0.16208549394117674</v>
      </c>
      <c r="Z84" s="26">
        <f t="shared" si="23"/>
        <v>68776504.185650483</v>
      </c>
      <c r="AA84" s="26">
        <f t="shared" si="24"/>
        <v>19657704.75538012</v>
      </c>
      <c r="AB84" s="26">
        <f t="shared" si="25"/>
        <v>214256325.22318941</v>
      </c>
      <c r="AC84" s="28" t="s">
        <v>22</v>
      </c>
      <c r="AD84" s="26">
        <v>1180</v>
      </c>
      <c r="AE84" s="35">
        <f t="shared" si="26"/>
        <v>2.7055396152906094E-4</v>
      </c>
      <c r="AF84" s="26">
        <f t="shared" si="27"/>
        <v>10091910.621939428</v>
      </c>
      <c r="AG84" s="78" t="s">
        <v>93</v>
      </c>
      <c r="AH84" s="163">
        <f>S83+T83+U83+V83+Z79+AA79+AB79+AF80</f>
        <v>359066210.12624443</v>
      </c>
      <c r="AI84" s="169">
        <f t="shared" si="28"/>
        <v>5.7450999317046622E-3</v>
      </c>
      <c r="AJ84" s="165"/>
      <c r="AK84" s="165"/>
    </row>
    <row r="85" spans="1:37">
      <c r="A85" s="67" t="s">
        <v>278</v>
      </c>
      <c r="B85" s="82">
        <f>'[1]Weight%'!$B$41+'[1]Weight%'!$B$76+'[1]Weight%'!$B$76</f>
        <v>0.21999999999999997</v>
      </c>
      <c r="C85" s="28" t="s">
        <v>33</v>
      </c>
      <c r="D85" s="171"/>
      <c r="E85" s="28"/>
      <c r="F85" s="28">
        <v>2016</v>
      </c>
      <c r="G85" s="26">
        <f>G86/data_1tier!D18</f>
        <v>144315747.74774775</v>
      </c>
      <c r="H85" s="26">
        <f>H86/data_1tier!I18</f>
        <v>86313117.127915159</v>
      </c>
      <c r="I85" s="26">
        <f>I86/data_1tier!N21</f>
        <v>242585257.37459227</v>
      </c>
      <c r="J85" s="26">
        <f>J86/data_1tier!T21</f>
        <v>28081710673.513504</v>
      </c>
      <c r="K85" s="26">
        <f>K86/data_1tier!Y16</f>
        <v>204001149.07464808</v>
      </c>
      <c r="L85" s="26">
        <f>L86/data_1tier!AD21</f>
        <v>79298364.925939217</v>
      </c>
      <c r="M85" s="26">
        <f>M86/data_1tier!AJ26</f>
        <v>1387641425.57724</v>
      </c>
      <c r="N85" s="26">
        <f>N86/data_1tier!AK26</f>
        <v>39156805291.828789</v>
      </c>
      <c r="O85" s="28"/>
      <c r="P85" s="78" t="s">
        <v>115</v>
      </c>
      <c r="Q85" s="45">
        <v>327681</v>
      </c>
      <c r="R85" s="35">
        <f t="shared" si="17"/>
        <v>5.8687954338187383E-3</v>
      </c>
      <c r="S85" s="26">
        <f t="shared" si="18"/>
        <v>3665483.3560002982</v>
      </c>
      <c r="T85" s="26">
        <f t="shared" si="19"/>
        <v>1720062.2821991278</v>
      </c>
      <c r="U85" s="26">
        <f t="shared" si="20"/>
        <v>3923809.3072993825</v>
      </c>
      <c r="V85" s="26">
        <f t="shared" si="21"/>
        <v>127616497.2456459</v>
      </c>
      <c r="W85" s="28" t="s">
        <v>149</v>
      </c>
      <c r="X85" s="26">
        <v>1900</v>
      </c>
      <c r="Y85" s="35">
        <f t="shared" si="22"/>
        <v>8.6652346226290325E-3</v>
      </c>
      <c r="Z85" s="26">
        <f t="shared" si="23"/>
        <v>3676853.0656369138</v>
      </c>
      <c r="AA85" s="26">
        <f t="shared" si="24"/>
        <v>1050918.3746545366</v>
      </c>
      <c r="AB85" s="26">
        <f t="shared" si="25"/>
        <v>11454333.650086097</v>
      </c>
      <c r="AC85" s="28" t="s">
        <v>47</v>
      </c>
      <c r="AD85" s="26">
        <v>123621</v>
      </c>
      <c r="AE85" s="35">
        <f t="shared" si="26"/>
        <v>2.8344195998461053E-2</v>
      </c>
      <c r="AF85" s="26">
        <f t="shared" si="27"/>
        <v>1057264477.1142153</v>
      </c>
      <c r="AG85" s="78" t="s">
        <v>118</v>
      </c>
      <c r="AH85" s="163">
        <f>S84+T84+U84+V84+Z80+AA80+AB80+AF81</f>
        <v>1606768271.7496381</v>
      </c>
      <c r="AI85" s="169">
        <f t="shared" si="28"/>
        <v>2.5708473891343082E-2</v>
      </c>
      <c r="AJ85" s="165"/>
      <c r="AK85" s="165"/>
    </row>
    <row r="86" spans="1:37" ht="32">
      <c r="A86" s="67" t="s">
        <v>279</v>
      </c>
      <c r="B86" s="65">
        <f>data_1tier!B7*B78</f>
        <v>624571668.46846843</v>
      </c>
      <c r="C86" s="28" t="s">
        <v>7</v>
      </c>
      <c r="D86" s="28"/>
      <c r="E86" s="28"/>
      <c r="F86" s="28">
        <v>2017</v>
      </c>
      <c r="G86" s="26">
        <f>G87/data_1tier!D19</f>
        <v>235368209.009009</v>
      </c>
      <c r="H86" s="26">
        <f>H87/data_1tier!I19</f>
        <v>125013089.14562993</v>
      </c>
      <c r="I86" s="26">
        <f>I87/data_1tier!N22</f>
        <v>356600328.34065062</v>
      </c>
      <c r="J86" s="26">
        <f>J87/data_1tier!T22</f>
        <v>28607899676.660652</v>
      </c>
      <c r="K86" s="26">
        <f>K87/data_1tier!Y17</f>
        <v>272001532.09953076</v>
      </c>
      <c r="L86" s="26">
        <f>L87/data_1tier!AD22</f>
        <v>88627584.328990892</v>
      </c>
      <c r="M86" s="26">
        <f>M87/data_1tier!AJ27</f>
        <v>1446788847.3408945</v>
      </c>
      <c r="N86" s="26">
        <f>N87/data_1tier!AK27</f>
        <v>40825841712.062248</v>
      </c>
      <c r="O86" s="28"/>
      <c r="P86" s="78" t="s">
        <v>120</v>
      </c>
      <c r="Q86" s="44">
        <v>19994081</v>
      </c>
      <c r="R86" s="35">
        <f t="shared" si="17"/>
        <v>0.35809574334856764</v>
      </c>
      <c r="S86" s="26">
        <f t="shared" si="18"/>
        <v>223656455.89467135</v>
      </c>
      <c r="T86" s="26">
        <f t="shared" si="19"/>
        <v>104952879.76823258</v>
      </c>
      <c r="U86" s="26">
        <f t="shared" si="20"/>
        <v>239418706.35983697</v>
      </c>
      <c r="V86" s="26">
        <f t="shared" si="21"/>
        <v>7786763904.1193142</v>
      </c>
      <c r="W86" s="28" t="s">
        <v>150</v>
      </c>
      <c r="X86" s="26">
        <v>708</v>
      </c>
      <c r="Y86" s="35">
        <f t="shared" si="22"/>
        <v>3.2289400593796605E-3</v>
      </c>
      <c r="Z86" s="26">
        <f t="shared" si="23"/>
        <v>1370111.5634057552</v>
      </c>
      <c r="AA86" s="26">
        <f t="shared" si="24"/>
        <v>391605.37329232204</v>
      </c>
      <c r="AB86" s="26">
        <f t="shared" si="25"/>
        <v>4268246.4338215562</v>
      </c>
      <c r="AC86" s="28" t="s">
        <v>149</v>
      </c>
      <c r="AD86" s="26">
        <v>53219</v>
      </c>
      <c r="AE86" s="35">
        <f t="shared" si="26"/>
        <v>1.2202212947978894E-2</v>
      </c>
      <c r="AF86" s="26">
        <f t="shared" si="27"/>
        <v>455153721.51609701</v>
      </c>
      <c r="AG86" s="78" t="s">
        <v>115</v>
      </c>
      <c r="AH86" s="163">
        <f>S85+T85+U85+V85+Z81+AA81+AB81+AF82</f>
        <v>289280125.66878718</v>
      </c>
      <c r="AI86" s="169">
        <f t="shared" si="28"/>
        <v>4.6285146954901189E-3</v>
      </c>
      <c r="AJ86" s="165"/>
      <c r="AK86" s="165"/>
    </row>
    <row r="87" spans="1:37" ht="32">
      <c r="A87" s="67" t="s">
        <v>280</v>
      </c>
      <c r="B87" s="65">
        <f>data_1tier!G7*B79</f>
        <v>293086085.82390285</v>
      </c>
      <c r="C87" s="28" t="s">
        <v>7</v>
      </c>
      <c r="D87" s="28"/>
      <c r="E87" s="28"/>
      <c r="F87" s="28">
        <v>2018</v>
      </c>
      <c r="G87" s="26">
        <f>G88/data_1tier!D20</f>
        <v>425167264.86486483</v>
      </c>
      <c r="H87" s="26">
        <f>H88/data_1tier!I20</f>
        <v>192638542.06067282</v>
      </c>
      <c r="I87" s="26">
        <f>I88/data_1tier!N23</f>
        <v>435052400.57559377</v>
      </c>
      <c r="J87" s="26">
        <f>J88/data_1tier!T23</f>
        <v>27455840669.501495</v>
      </c>
      <c r="K87" s="26">
        <f>K88/data_1tier!Y18</f>
        <v>408002298.14929616</v>
      </c>
      <c r="L87" s="26">
        <f>L88/data_1tier!AD23</f>
        <v>102621413.4335684</v>
      </c>
      <c r="M87" s="26">
        <f>M88/data_1tier!AJ28</f>
        <v>1525111103.0301175</v>
      </c>
      <c r="N87" s="26">
        <f>N88/data_1tier!AK28</f>
        <v>43035958287.937737</v>
      </c>
      <c r="O87" s="28"/>
      <c r="P87" s="78" t="s">
        <v>119</v>
      </c>
      <c r="Q87" s="44">
        <v>43351</v>
      </c>
      <c r="R87" s="35">
        <f t="shared" si="17"/>
        <v>7.7642021005635393E-4</v>
      </c>
      <c r="S87" s="26">
        <f t="shared" si="18"/>
        <v>484930.06602753571</v>
      </c>
      <c r="T87" s="26">
        <f t="shared" si="19"/>
        <v>227557.96031998922</v>
      </c>
      <c r="U87" s="26">
        <f t="shared" si="20"/>
        <v>519105.64628628304</v>
      </c>
      <c r="V87" s="26">
        <f t="shared" si="21"/>
        <v>16883196.682431985</v>
      </c>
      <c r="W87" s="28" t="s">
        <v>142</v>
      </c>
      <c r="X87" s="26">
        <v>335</v>
      </c>
      <c r="Y87" s="35">
        <f t="shared" si="22"/>
        <v>1.5278176834635398E-3</v>
      </c>
      <c r="Z87" s="26">
        <f t="shared" si="23"/>
        <v>648287.25104650843</v>
      </c>
      <c r="AA87" s="26">
        <f t="shared" si="24"/>
        <v>185293.50289961565</v>
      </c>
      <c r="AB87" s="26">
        <f t="shared" si="25"/>
        <v>2019579.8804099169</v>
      </c>
      <c r="AC87" s="28" t="s">
        <v>150</v>
      </c>
      <c r="AD87" s="26">
        <v>10301</v>
      </c>
      <c r="AE87" s="35">
        <f t="shared" si="26"/>
        <v>2.361844370941404E-3</v>
      </c>
      <c r="AF87" s="26">
        <f t="shared" si="27"/>
        <v>88098958.742879704</v>
      </c>
      <c r="AG87" s="78" t="s">
        <v>120</v>
      </c>
      <c r="AH87" s="163">
        <f>S86+T86+U86+V86+Z82+AA82+AB82+AF83</f>
        <v>34691122147.9505</v>
      </c>
      <c r="AI87" s="169">
        <f t="shared" si="28"/>
        <v>0.55506187400055007</v>
      </c>
      <c r="AJ87" s="165"/>
      <c r="AK87" s="165"/>
    </row>
    <row r="88" spans="1:37" ht="32">
      <c r="A88" s="67" t="s">
        <v>281</v>
      </c>
      <c r="B88" s="65">
        <f>data_1tier!L7*B80</f>
        <v>668588529.20457268</v>
      </c>
      <c r="C88" s="28" t="s">
        <v>7</v>
      </c>
      <c r="D88" s="28"/>
      <c r="E88" s="28"/>
      <c r="F88" s="28">
        <v>2019</v>
      </c>
      <c r="G88" s="76">
        <f>G89/data_1tier!D21</f>
        <v>478828475.67567563</v>
      </c>
      <c r="H88" s="76">
        <f>H89/data_1tier!I21</f>
        <v>173309534.57024032</v>
      </c>
      <c r="I88" s="76">
        <f>I89/data_1tier!N24</f>
        <v>491609212.65042102</v>
      </c>
      <c r="J88" s="76">
        <f>J89/data_1tier!T24</f>
        <v>26151486278.822819</v>
      </c>
      <c r="K88" s="76">
        <f>K89/data_1tier!Y19</f>
        <v>272001532.09953076</v>
      </c>
      <c r="L88" s="76">
        <f>L89/data_1tier!AD24</f>
        <v>111950632.83662006</v>
      </c>
      <c r="M88" s="76">
        <f>M89/data_1tier!AJ29</f>
        <v>1494820702.0908744</v>
      </c>
      <c r="N88" s="76">
        <f>N89/data_1tier!AK29</f>
        <v>42181216342.412445</v>
      </c>
      <c r="O88" s="28"/>
      <c r="P88" s="78" t="s">
        <v>101</v>
      </c>
      <c r="Q88" s="44">
        <v>1152901</v>
      </c>
      <c r="R88" s="35">
        <f t="shared" si="17"/>
        <v>2.0648557970846821E-2</v>
      </c>
      <c r="S88" s="26">
        <f t="shared" si="18"/>
        <v>12896504.303319693</v>
      </c>
      <c r="T88" s="26">
        <f t="shared" si="19"/>
        <v>6051805.0335834445</v>
      </c>
      <c r="U88" s="26">
        <f t="shared" si="20"/>
        <v>13805389.003923832</v>
      </c>
      <c r="V88" s="26">
        <f t="shared" si="21"/>
        <v>449001276.51893884</v>
      </c>
      <c r="W88" s="28" t="s">
        <v>18</v>
      </c>
      <c r="X88" s="26">
        <v>4658</v>
      </c>
      <c r="Y88" s="35">
        <f t="shared" si="22"/>
        <v>2.124350677484528E-2</v>
      </c>
      <c r="Z88" s="26">
        <f t="shared" si="23"/>
        <v>9014095.5682824962</v>
      </c>
      <c r="AA88" s="26">
        <f t="shared" si="24"/>
        <v>2576409.3627057006</v>
      </c>
      <c r="AB88" s="26">
        <f t="shared" si="25"/>
        <v>28081203.232684758</v>
      </c>
      <c r="AC88" s="28" t="s">
        <v>142</v>
      </c>
      <c r="AD88" s="26">
        <v>47937</v>
      </c>
      <c r="AE88" s="35">
        <f t="shared" si="26"/>
        <v>1.0991140045608978E-2</v>
      </c>
      <c r="AF88" s="26">
        <f t="shared" si="27"/>
        <v>409979592.7829749</v>
      </c>
      <c r="AG88" s="78" t="s">
        <v>119</v>
      </c>
      <c r="AH88" s="163">
        <f>S87+T87+U87+V87</f>
        <v>18114790.355065793</v>
      </c>
      <c r="AI88" s="169">
        <f t="shared" si="28"/>
        <v>2.8983869241035583E-4</v>
      </c>
      <c r="AJ88" s="165"/>
      <c r="AK88" s="165"/>
    </row>
    <row r="89" spans="1:37" ht="32">
      <c r="A89" s="67" t="s">
        <v>282</v>
      </c>
      <c r="B89" s="65">
        <f>data_1tier!R7*B81</f>
        <v>21744921710.894894</v>
      </c>
      <c r="C89" s="28" t="s">
        <v>7</v>
      </c>
      <c r="D89" s="28"/>
      <c r="E89" s="28"/>
      <c r="F89" s="28">
        <v>2020</v>
      </c>
      <c r="G89" s="26">
        <f>B86</f>
        <v>624571668.46846843</v>
      </c>
      <c r="H89" s="26">
        <f>B87</f>
        <v>293086085.82390285</v>
      </c>
      <c r="I89" s="26">
        <f>B88</f>
        <v>668588529.20457268</v>
      </c>
      <c r="J89" s="26">
        <f>B89</f>
        <v>21744921710.894894</v>
      </c>
      <c r="K89" s="26">
        <f>B90</f>
        <v>424322390.07526797</v>
      </c>
      <c r="L89" s="26">
        <f>B91</f>
        <v>121279852.23967172</v>
      </c>
      <c r="M89" s="26">
        <f>B92</f>
        <v>1321872303.3965411</v>
      </c>
      <c r="N89" s="26">
        <f>B93</f>
        <v>37300916108.949409</v>
      </c>
      <c r="O89" s="28"/>
      <c r="P89" s="77" t="s">
        <v>258</v>
      </c>
      <c r="Q89" s="44">
        <v>23754</v>
      </c>
      <c r="R89" s="35">
        <f t="shared" si="17"/>
        <v>4.2543622222506128E-4</v>
      </c>
      <c r="S89" s="26">
        <f t="shared" si="18"/>
        <v>265715.41114202864</v>
      </c>
      <c r="T89" s="26">
        <f t="shared" si="19"/>
        <v>124689.43713965132</v>
      </c>
      <c r="U89" s="26">
        <f t="shared" si="20"/>
        <v>284441.77808780345</v>
      </c>
      <c r="V89" s="26">
        <f t="shared" si="21"/>
        <v>9251077.3452628404</v>
      </c>
      <c r="W89" s="28" t="s">
        <v>145</v>
      </c>
      <c r="X89" s="26">
        <v>1801</v>
      </c>
      <c r="Y89" s="35">
        <f t="shared" si="22"/>
        <v>8.2137302922920454E-3</v>
      </c>
      <c r="Z89" s="26">
        <f t="shared" si="23"/>
        <v>3485269.6690589902</v>
      </c>
      <c r="AA89" s="26">
        <f t="shared" si="24"/>
        <v>996159.99618569494</v>
      </c>
      <c r="AB89" s="26">
        <f t="shared" si="25"/>
        <v>10857502.580950031</v>
      </c>
      <c r="AC89" s="28" t="s">
        <v>18</v>
      </c>
      <c r="AD89" s="26">
        <v>405451</v>
      </c>
      <c r="AE89" s="35">
        <f t="shared" si="26"/>
        <v>9.296302903044007E-2</v>
      </c>
      <c r="AF89" s="26">
        <f t="shared" si="27"/>
        <v>3467606147.0982738</v>
      </c>
      <c r="AG89" s="78" t="s">
        <v>101</v>
      </c>
      <c r="AH89" s="163">
        <f>S88+T88+U88+V88+Z83+AA83+AB83+AF84</f>
        <v>535027555.38076526</v>
      </c>
      <c r="AI89" s="169">
        <f t="shared" si="28"/>
        <v>8.5605013370582302E-3</v>
      </c>
      <c r="AJ89" s="165"/>
      <c r="AK89" s="165"/>
    </row>
    <row r="90" spans="1:37" ht="32">
      <c r="A90" s="67" t="s">
        <v>283</v>
      </c>
      <c r="B90" s="65">
        <f>data_1tier!W7*B82</f>
        <v>424322390.07526797</v>
      </c>
      <c r="C90" s="28" t="s">
        <v>7</v>
      </c>
      <c r="D90" s="28"/>
      <c r="E90" s="28"/>
      <c r="F90" s="28"/>
      <c r="G90" s="28"/>
      <c r="H90" s="28"/>
      <c r="I90" s="28"/>
      <c r="J90" s="28"/>
      <c r="K90" s="28"/>
      <c r="L90" s="28"/>
      <c r="M90" s="28"/>
      <c r="N90" s="28"/>
      <c r="O90" s="28"/>
      <c r="P90" s="78" t="s">
        <v>94</v>
      </c>
      <c r="Q90" s="44">
        <v>86270</v>
      </c>
      <c r="R90" s="35">
        <f t="shared" si="17"/>
        <v>1.5451032622445077E-3</v>
      </c>
      <c r="S90" s="26">
        <f t="shared" si="18"/>
        <v>965027.72245612566</v>
      </c>
      <c r="T90" s="26">
        <f t="shared" si="19"/>
        <v>452848.26732498605</v>
      </c>
      <c r="U90" s="26">
        <f t="shared" si="20"/>
        <v>1033038.3175732426</v>
      </c>
      <c r="V90" s="26">
        <f t="shared" si="21"/>
        <v>33598149.472755119</v>
      </c>
      <c r="W90" s="28" t="s">
        <v>151</v>
      </c>
      <c r="X90" s="26">
        <v>487</v>
      </c>
      <c r="Y90" s="35">
        <f t="shared" si="22"/>
        <v>2.2210364532738625E-3</v>
      </c>
      <c r="Z90" s="26">
        <f t="shared" si="23"/>
        <v>942435.49629746156</v>
      </c>
      <c r="AA90" s="26">
        <f t="shared" si="24"/>
        <v>269366.97287197859</v>
      </c>
      <c r="AB90" s="26">
        <f t="shared" si="25"/>
        <v>2935926.5724168047</v>
      </c>
      <c r="AC90" s="28" t="s">
        <v>145</v>
      </c>
      <c r="AD90" s="26">
        <v>8240</v>
      </c>
      <c r="AE90" s="35">
        <f t="shared" si="26"/>
        <v>1.8892920703385272E-3</v>
      </c>
      <c r="AF90" s="26">
        <f t="shared" si="27"/>
        <v>70472325.021000743</v>
      </c>
      <c r="AG90" s="77" t="s">
        <v>258</v>
      </c>
      <c r="AH90" s="163">
        <f>S89+T89+U89+V89</f>
        <v>9925923.9716323242</v>
      </c>
      <c r="AI90" s="169">
        <f t="shared" si="28"/>
        <v>1.5881590504291927E-4</v>
      </c>
      <c r="AJ90" s="165"/>
      <c r="AK90" s="165"/>
    </row>
    <row r="91" spans="1:37" ht="32">
      <c r="A91" s="67" t="s">
        <v>284</v>
      </c>
      <c r="B91" s="65">
        <f>data_1tier!AB7*B83</f>
        <v>121279852.23967172</v>
      </c>
      <c r="C91" s="28" t="s">
        <v>7</v>
      </c>
      <c r="D91" s="28"/>
      <c r="E91" s="28"/>
      <c r="F91" s="28"/>
      <c r="G91" s="28"/>
      <c r="H91" s="28"/>
      <c r="I91" s="28"/>
      <c r="J91" s="28"/>
      <c r="K91" s="28"/>
      <c r="L91" s="28"/>
      <c r="M91" s="28"/>
      <c r="N91" s="28"/>
      <c r="O91" s="28"/>
      <c r="P91" s="78" t="s">
        <v>95</v>
      </c>
      <c r="Q91" s="44">
        <v>927718</v>
      </c>
      <c r="R91" s="35">
        <f t="shared" si="17"/>
        <v>1.6615510701784516E-2</v>
      </c>
      <c r="S91" s="26">
        <f t="shared" si="18"/>
        <v>10377577.241469247</v>
      </c>
      <c r="T91" s="26">
        <f t="shared" si="19"/>
        <v>4869774.9955511931</v>
      </c>
      <c r="U91" s="26">
        <f t="shared" si="20"/>
        <v>11108939.862088947</v>
      </c>
      <c r="V91" s="26">
        <f t="shared" si="21"/>
        <v>361302979.39684057</v>
      </c>
      <c r="W91" s="28" t="s">
        <v>23</v>
      </c>
      <c r="X91" s="26">
        <v>6037</v>
      </c>
      <c r="Y91" s="35">
        <f t="shared" si="22"/>
        <v>2.7532642850953404E-2</v>
      </c>
      <c r="Z91" s="26">
        <f t="shared" si="23"/>
        <v>11682716.819605289</v>
      </c>
      <c r="AA91" s="26">
        <f t="shared" si="24"/>
        <v>3339154.856731283</v>
      </c>
      <c r="AB91" s="26">
        <f t="shared" si="25"/>
        <v>36394638.023984089</v>
      </c>
      <c r="AC91" s="28" t="s">
        <v>163</v>
      </c>
      <c r="AD91" s="26">
        <v>133314</v>
      </c>
      <c r="AE91" s="35">
        <f t="shared" si="26"/>
        <v>3.0566636294309515E-2</v>
      </c>
      <c r="AF91" s="26">
        <f t="shared" si="27"/>
        <v>1140163536.1468074</v>
      </c>
      <c r="AG91" s="78" t="s">
        <v>94</v>
      </c>
      <c r="AH91" s="163">
        <f>S90+T90+U90+V90</f>
        <v>36049063.780109473</v>
      </c>
      <c r="AI91" s="169">
        <f t="shared" si="28"/>
        <v>5.7678909354435647E-4</v>
      </c>
      <c r="AJ91" s="165"/>
      <c r="AK91" s="165"/>
    </row>
    <row r="92" spans="1:37" ht="32">
      <c r="A92" s="67" t="s">
        <v>285</v>
      </c>
      <c r="B92" s="65">
        <f>data_1tier!AG9*B84</f>
        <v>1321872303.3965411</v>
      </c>
      <c r="C92" s="28" t="s">
        <v>7</v>
      </c>
      <c r="D92" s="28"/>
      <c r="E92" s="28"/>
      <c r="F92" s="28"/>
      <c r="G92" s="28"/>
      <c r="H92" s="28"/>
      <c r="I92" s="28"/>
      <c r="J92" s="28"/>
      <c r="K92" s="28"/>
      <c r="L92" s="28"/>
      <c r="M92" s="28"/>
      <c r="N92" s="28"/>
      <c r="O92" s="28"/>
      <c r="P92" s="78" t="s">
        <v>96</v>
      </c>
      <c r="Q92" s="44">
        <v>3515372</v>
      </c>
      <c r="R92" s="35">
        <f t="shared" si="17"/>
        <v>6.2960620670024336E-2</v>
      </c>
      <c r="S92" s="26">
        <f t="shared" si="18"/>
        <v>39323419.899687439</v>
      </c>
      <c r="T92" s="26">
        <f t="shared" si="19"/>
        <v>18452881.873220943</v>
      </c>
      <c r="U92" s="26">
        <f t="shared" si="20"/>
        <v>42094748.771578588</v>
      </c>
      <c r="V92" s="26">
        <f t="shared" si="21"/>
        <v>1369073767.33903</v>
      </c>
      <c r="W92" s="28" t="s">
        <v>143</v>
      </c>
      <c r="X92" s="26">
        <v>61</v>
      </c>
      <c r="Y92" s="35">
        <f t="shared" si="22"/>
        <v>2.7819963788440575E-4</v>
      </c>
      <c r="Z92" s="26">
        <f t="shared" si="23"/>
        <v>118046.33526518512</v>
      </c>
      <c r="AA92" s="26">
        <f t="shared" si="24"/>
        <v>33740.010975750905</v>
      </c>
      <c r="AB92" s="26">
        <f t="shared" si="25"/>
        <v>367744.39613434306</v>
      </c>
      <c r="AC92" s="28" t="s">
        <v>151</v>
      </c>
      <c r="AD92" s="26">
        <v>2755</v>
      </c>
      <c r="AE92" s="35">
        <f t="shared" si="26"/>
        <v>6.3167471526488382E-4</v>
      </c>
      <c r="AF92" s="26">
        <f t="shared" si="27"/>
        <v>23562045.562239937</v>
      </c>
      <c r="AG92" s="78" t="s">
        <v>95</v>
      </c>
      <c r="AH92" s="163">
        <f>S91+T91+U91+V91</f>
        <v>387659271.49594998</v>
      </c>
      <c r="AI92" s="169">
        <f t="shared" si="28"/>
        <v>6.2025921442538925E-3</v>
      </c>
      <c r="AJ92" s="165"/>
      <c r="AK92" s="165"/>
    </row>
    <row r="93" spans="1:37" ht="32">
      <c r="A93" s="67" t="s">
        <v>286</v>
      </c>
      <c r="B93" s="65">
        <f>data_1tier!AG11*B85</f>
        <v>37300916108.949409</v>
      </c>
      <c r="C93" s="28" t="s">
        <v>7</v>
      </c>
      <c r="D93" s="28"/>
      <c r="E93" s="28"/>
      <c r="F93" s="28"/>
      <c r="G93" s="28"/>
      <c r="H93" s="28"/>
      <c r="I93" s="28"/>
      <c r="J93" s="28"/>
      <c r="K93" s="28"/>
      <c r="L93" s="28"/>
      <c r="M93" s="28"/>
      <c r="N93" s="28"/>
      <c r="O93" s="28"/>
      <c r="P93" s="78" t="s">
        <v>102</v>
      </c>
      <c r="Q93" s="44">
        <v>406496.92800000001</v>
      </c>
      <c r="R93" s="35">
        <f t="shared" si="17"/>
        <v>7.2803956131351662E-3</v>
      </c>
      <c r="S93" s="26">
        <f t="shared" si="18"/>
        <v>4547128.8352063494</v>
      </c>
      <c r="T93" s="26">
        <f t="shared" si="19"/>
        <v>2133782.6535032992</v>
      </c>
      <c r="U93" s="26">
        <f t="shared" si="20"/>
        <v>4867588.9950134642</v>
      </c>
      <c r="V93" s="26">
        <f t="shared" si="21"/>
        <v>158311632.63196683</v>
      </c>
      <c r="W93" s="28" t="s">
        <v>19</v>
      </c>
      <c r="X93" s="26">
        <v>10445</v>
      </c>
      <c r="Y93" s="35">
        <f t="shared" si="22"/>
        <v>4.7635987175452761E-2</v>
      </c>
      <c r="Z93" s="26">
        <f t="shared" si="23"/>
        <v>20213015.931882929</v>
      </c>
      <c r="AA93" s="26">
        <f t="shared" si="24"/>
        <v>5777285.4859298076</v>
      </c>
      <c r="AB93" s="26">
        <f t="shared" si="25"/>
        <v>62968692.092183836</v>
      </c>
      <c r="AC93" s="28" t="s">
        <v>143</v>
      </c>
      <c r="AD93" s="26">
        <v>3039</v>
      </c>
      <c r="AE93" s="35">
        <f t="shared" si="26"/>
        <v>6.9679109244645434E-4</v>
      </c>
      <c r="AF93" s="26">
        <f t="shared" si="27"/>
        <v>25990946.084808405</v>
      </c>
      <c r="AG93" s="78" t="s">
        <v>96</v>
      </c>
      <c r="AH93" s="163">
        <f>S92+T92+U92+V92</f>
        <v>1468944817.883517</v>
      </c>
      <c r="AI93" s="169">
        <f t="shared" si="28"/>
        <v>2.3503283057276128E-2</v>
      </c>
      <c r="AJ93" s="165"/>
      <c r="AK93" s="165"/>
    </row>
    <row r="94" spans="1:37" ht="32">
      <c r="A94" s="67" t="s">
        <v>479</v>
      </c>
      <c r="B94" s="128">
        <f>SUM(B86:B93)</f>
        <v>62499558649.052734</v>
      </c>
      <c r="C94" s="28" t="s">
        <v>7</v>
      </c>
      <c r="D94" s="28"/>
      <c r="E94" s="28"/>
      <c r="F94" s="28"/>
      <c r="G94" s="28"/>
      <c r="H94" s="28"/>
      <c r="I94" s="28"/>
      <c r="J94" s="28"/>
      <c r="K94" s="28"/>
      <c r="L94" s="28"/>
      <c r="M94" s="28"/>
      <c r="N94" s="28"/>
      <c r="O94" s="28"/>
      <c r="P94" s="78" t="s">
        <v>121</v>
      </c>
      <c r="Q94" s="44">
        <v>2851268</v>
      </c>
      <c r="R94" s="35">
        <f t="shared" si="17"/>
        <v>5.1066459816081759E-2</v>
      </c>
      <c r="S94" s="26">
        <f t="shared" si="18"/>
        <v>31894664.01010818</v>
      </c>
      <c r="T94" s="26">
        <f t="shared" si="19"/>
        <v>14966868.824379025</v>
      </c>
      <c r="U94" s="26">
        <f t="shared" si="20"/>
        <v>34142449.260118514</v>
      </c>
      <c r="V94" s="26">
        <f t="shared" si="21"/>
        <v>1110436170.753258</v>
      </c>
      <c r="W94" s="28" t="s">
        <v>29</v>
      </c>
      <c r="X94" s="26">
        <v>13351</v>
      </c>
      <c r="Y94" s="35">
        <f t="shared" si="22"/>
        <v>6.0889235498273797E-2</v>
      </c>
      <c r="Z94" s="26">
        <f t="shared" si="23"/>
        <v>25836665.936483387</v>
      </c>
      <c r="AA94" s="26">
        <f t="shared" si="24"/>
        <v>7384637.48421722</v>
      </c>
      <c r="AB94" s="26">
        <f t="shared" si="25"/>
        <v>80487793.980157629</v>
      </c>
      <c r="AC94" s="28" t="s">
        <v>19</v>
      </c>
      <c r="AD94" s="26">
        <v>55583</v>
      </c>
      <c r="AE94" s="35">
        <f t="shared" si="26"/>
        <v>1.2744238003109995E-2</v>
      </c>
      <c r="AF94" s="26">
        <f t="shared" si="27"/>
        <v>475371752.62649083</v>
      </c>
      <c r="AG94" s="78" t="s">
        <v>102</v>
      </c>
      <c r="AH94" s="163">
        <f>S93+T93+U93+V93</f>
        <v>169860133.11568993</v>
      </c>
      <c r="AI94" s="169">
        <f t="shared" si="28"/>
        <v>2.7177813217768116E-3</v>
      </c>
      <c r="AJ94" s="165"/>
      <c r="AK94" s="165"/>
    </row>
    <row r="95" spans="1:37" ht="32">
      <c r="A95" s="67" t="s">
        <v>287</v>
      </c>
      <c r="B95" s="41">
        <f>SUM(G78:G89)</f>
        <v>2136065210.8108108</v>
      </c>
      <c r="C95" s="28" t="s">
        <v>7</v>
      </c>
      <c r="D95" s="28"/>
      <c r="E95" s="28"/>
      <c r="F95" s="28"/>
      <c r="G95" s="28"/>
      <c r="H95" s="28"/>
      <c r="I95" s="28"/>
      <c r="J95" s="28"/>
      <c r="K95" s="28"/>
      <c r="L95" s="28"/>
      <c r="M95" s="28"/>
      <c r="N95" s="28"/>
      <c r="O95" s="28"/>
      <c r="P95" s="78" t="s">
        <v>122</v>
      </c>
      <c r="Q95" s="44">
        <v>551400</v>
      </c>
      <c r="R95" s="35">
        <f t="shared" si="17"/>
        <v>9.8756223345499196E-3</v>
      </c>
      <c r="S95" s="26">
        <f t="shared" si="18"/>
        <v>6168033.9186543142</v>
      </c>
      <c r="T95" s="26">
        <f t="shared" si="19"/>
        <v>2894407.4951083497</v>
      </c>
      <c r="U95" s="26">
        <f t="shared" si="20"/>
        <v>6602727.8116365587</v>
      </c>
      <c r="V95" s="26">
        <f t="shared" si="21"/>
        <v>214744634.51115307</v>
      </c>
      <c r="W95" s="28" t="s">
        <v>48</v>
      </c>
      <c r="X95" s="26">
        <v>745</v>
      </c>
      <c r="Y95" s="35">
        <f t="shared" si="22"/>
        <v>3.3976841020308575E-3</v>
      </c>
      <c r="Z95" s="26">
        <f t="shared" si="23"/>
        <v>1441713.4388944742</v>
      </c>
      <c r="AA95" s="26">
        <f t="shared" si="24"/>
        <v>412070.62585138407</v>
      </c>
      <c r="AB95" s="26">
        <f t="shared" si="25"/>
        <v>4491304.5101653384</v>
      </c>
      <c r="AC95" s="28" t="s">
        <v>29</v>
      </c>
      <c r="AD95" s="26">
        <v>52279</v>
      </c>
      <c r="AE95" s="35">
        <f t="shared" si="26"/>
        <v>1.1986686910828624E-2</v>
      </c>
      <c r="AF95" s="26">
        <f t="shared" si="27"/>
        <v>447114402.88506049</v>
      </c>
      <c r="AG95" s="78" t="s">
        <v>121</v>
      </c>
      <c r="AH95" s="163">
        <f t="shared" ref="AH95:AH100" si="29">S94+T94+U94+V94+Z84+AA84+AB84+AF85</f>
        <v>2551395164.1262989</v>
      </c>
      <c r="AI95" s="169">
        <f t="shared" si="28"/>
        <v>4.0822610899588621E-2</v>
      </c>
      <c r="AJ95" s="165"/>
      <c r="AK95" s="165"/>
    </row>
    <row r="96" spans="1:37" ht="32">
      <c r="A96" s="67" t="s">
        <v>288</v>
      </c>
      <c r="B96" s="41">
        <f>SUM(H78:H89)</f>
        <v>1023203260.7233002</v>
      </c>
      <c r="C96" s="28" t="s">
        <v>7</v>
      </c>
      <c r="D96" s="28"/>
      <c r="E96" s="28"/>
      <c r="F96" s="28"/>
      <c r="G96" s="28"/>
      <c r="H96" s="28"/>
      <c r="I96" s="28"/>
      <c r="J96" s="28"/>
      <c r="K96" s="28"/>
      <c r="L96" s="28"/>
      <c r="M96" s="28"/>
      <c r="N96" s="28"/>
      <c r="O96" s="28"/>
      <c r="P96" s="78" t="s">
        <v>123</v>
      </c>
      <c r="Q96" s="44">
        <v>826210</v>
      </c>
      <c r="R96" s="35">
        <f t="shared" si="17"/>
        <v>1.4797493523809374E-2</v>
      </c>
      <c r="S96" s="26">
        <f t="shared" si="18"/>
        <v>9242095.219316978</v>
      </c>
      <c r="T96" s="26">
        <f t="shared" si="19"/>
        <v>4336939.4568978408</v>
      </c>
      <c r="U96" s="26">
        <f t="shared" si="20"/>
        <v>9893434.4309978988</v>
      </c>
      <c r="V96" s="26">
        <f t="shared" si="21"/>
        <v>321770338.19270903</v>
      </c>
      <c r="W96" s="28" t="s">
        <v>147</v>
      </c>
      <c r="X96" s="26">
        <v>9939</v>
      </c>
      <c r="Y96" s="35">
        <f t="shared" si="22"/>
        <v>4.5328298375952605E-2</v>
      </c>
      <c r="Z96" s="26">
        <f t="shared" si="23"/>
        <v>19233811.904929098</v>
      </c>
      <c r="AA96" s="26">
        <f t="shared" si="24"/>
        <v>5497409.3293112833</v>
      </c>
      <c r="AB96" s="26">
        <f t="shared" si="25"/>
        <v>59918222.183266163</v>
      </c>
      <c r="AC96" s="28" t="s">
        <v>162</v>
      </c>
      <c r="AD96" s="26">
        <v>10</v>
      </c>
      <c r="AE96" s="35">
        <f t="shared" si="26"/>
        <v>2.2928301824496689E-6</v>
      </c>
      <c r="AF96" s="26">
        <f t="shared" si="27"/>
        <v>85524.666287622269</v>
      </c>
      <c r="AG96" s="78" t="s">
        <v>122</v>
      </c>
      <c r="AH96" s="163">
        <f t="shared" si="29"/>
        <v>701745630.34302688</v>
      </c>
      <c r="AI96" s="169">
        <f t="shared" si="28"/>
        <v>1.1228009373369595E-2</v>
      </c>
      <c r="AJ96" s="165"/>
      <c r="AK96" s="165"/>
    </row>
    <row r="97" spans="1:37" ht="32">
      <c r="A97" s="67" t="s">
        <v>289</v>
      </c>
      <c r="B97" s="41">
        <f>SUM(I78:I89)</f>
        <v>3086317782.862823</v>
      </c>
      <c r="C97" s="28" t="s">
        <v>7</v>
      </c>
      <c r="D97" s="28"/>
      <c r="E97" s="28"/>
      <c r="F97" s="28"/>
      <c r="G97" s="28"/>
      <c r="H97" s="28"/>
      <c r="I97" s="28"/>
      <c r="J97" s="28"/>
      <c r="K97" s="28"/>
      <c r="L97" s="28"/>
      <c r="M97" s="28"/>
      <c r="N97" s="28"/>
      <c r="O97" s="28"/>
      <c r="P97" s="78" t="s">
        <v>97</v>
      </c>
      <c r="Q97" s="44">
        <v>451826</v>
      </c>
      <c r="R97" s="35">
        <f t="shared" si="17"/>
        <v>8.0922432661051005E-3</v>
      </c>
      <c r="S97" s="26">
        <f t="shared" si="18"/>
        <v>5054185.8783639912</v>
      </c>
      <c r="T97" s="26">
        <f t="shared" si="19"/>
        <v>2371723.9043975794</v>
      </c>
      <c r="U97" s="26">
        <f t="shared" si="20"/>
        <v>5410381.0232508164</v>
      </c>
      <c r="V97" s="26">
        <f t="shared" si="21"/>
        <v>175965196.28697181</v>
      </c>
      <c r="W97" s="28" t="s">
        <v>146</v>
      </c>
      <c r="X97" s="26">
        <v>699</v>
      </c>
      <c r="Y97" s="35">
        <f t="shared" si="22"/>
        <v>3.1878942111672071E-3</v>
      </c>
      <c r="Z97" s="26">
        <f t="shared" si="23"/>
        <v>1352694.8909895804</v>
      </c>
      <c r="AA97" s="26">
        <f t="shared" si="24"/>
        <v>386627.33888606372</v>
      </c>
      <c r="AB97" s="26">
        <f t="shared" si="25"/>
        <v>4213989.0639000954</v>
      </c>
      <c r="AC97" s="28" t="s">
        <v>48</v>
      </c>
      <c r="AD97" s="26">
        <v>22567</v>
      </c>
      <c r="AE97" s="35">
        <f t="shared" si="26"/>
        <v>5.1742298727341677E-3</v>
      </c>
      <c r="AF97" s="26">
        <f t="shared" si="27"/>
        <v>193003514.41127717</v>
      </c>
      <c r="AG97" s="78" t="s">
        <v>123</v>
      </c>
      <c r="AH97" s="163">
        <f t="shared" si="29"/>
        <v>439371729.41332108</v>
      </c>
      <c r="AI97" s="169">
        <f t="shared" si="28"/>
        <v>7.0299973137487159E-3</v>
      </c>
      <c r="AJ97" s="165"/>
      <c r="AK97" s="165"/>
    </row>
    <row r="98" spans="1:37" ht="32">
      <c r="A98" s="67" t="s">
        <v>290</v>
      </c>
      <c r="B98" s="41">
        <f>SUM(J78:J89)</f>
        <v>299918629877.21313</v>
      </c>
      <c r="C98" s="28" t="s">
        <v>7</v>
      </c>
      <c r="D98" s="28"/>
      <c r="E98" s="28"/>
      <c r="F98" s="27"/>
      <c r="G98" s="28"/>
      <c r="H98" s="28"/>
      <c r="I98" s="28"/>
      <c r="J98" s="28"/>
      <c r="K98" s="28"/>
      <c r="L98" s="28"/>
      <c r="M98" s="28"/>
      <c r="N98" s="28"/>
      <c r="O98" s="28"/>
      <c r="P98" s="78" t="s">
        <v>124</v>
      </c>
      <c r="Q98" s="44">
        <v>6960025</v>
      </c>
      <c r="R98" s="35">
        <f t="shared" si="17"/>
        <v>0.12465465785097171</v>
      </c>
      <c r="S98" s="26">
        <f t="shared" si="18"/>
        <v>77855767.636347473</v>
      </c>
      <c r="T98" s="26">
        <f t="shared" si="19"/>
        <v>36534545.749259137</v>
      </c>
      <c r="U98" s="26">
        <f t="shared" si="20"/>
        <v>83342674.351080418</v>
      </c>
      <c r="V98" s="26">
        <f t="shared" si="21"/>
        <v>2710605775.8677692</v>
      </c>
      <c r="W98" s="28" t="s">
        <v>25</v>
      </c>
      <c r="X98" s="26">
        <v>941</v>
      </c>
      <c r="Y98" s="35">
        <f t="shared" si="22"/>
        <v>4.2915714631020629E-3</v>
      </c>
      <c r="Z98" s="26">
        <f t="shared" si="23"/>
        <v>1821009.8604022821</v>
      </c>
      <c r="AA98" s="26">
        <f t="shared" si="24"/>
        <v>520481.15292100998</v>
      </c>
      <c r="AB98" s="26">
        <f t="shared" si="25"/>
        <v>5672909.455121588</v>
      </c>
      <c r="AC98" s="28" t="s">
        <v>161</v>
      </c>
      <c r="AD98" s="26">
        <v>36905</v>
      </c>
      <c r="AE98" s="35">
        <f t="shared" si="26"/>
        <v>8.461689788330503E-3</v>
      </c>
      <c r="AF98" s="26">
        <f t="shared" si="27"/>
        <v>315628780.93447</v>
      </c>
      <c r="AG98" s="78" t="s">
        <v>97</v>
      </c>
      <c r="AH98" s="163">
        <f t="shared" si="29"/>
        <v>601634240.51031518</v>
      </c>
      <c r="AI98" s="169">
        <f t="shared" si="28"/>
        <v>9.6262158247966082E-3</v>
      </c>
      <c r="AJ98" s="165"/>
      <c r="AK98" s="165"/>
    </row>
    <row r="99" spans="1:37" ht="32">
      <c r="A99" s="67" t="s">
        <v>291</v>
      </c>
      <c r="B99" s="41">
        <f>SUM(K78:K89)</f>
        <v>1716329667.5480392</v>
      </c>
      <c r="C99" s="28" t="s">
        <v>7</v>
      </c>
      <c r="D99" s="28"/>
      <c r="E99" s="28"/>
      <c r="F99" s="28"/>
      <c r="G99" s="28"/>
      <c r="H99" s="28"/>
      <c r="I99" s="28"/>
      <c r="J99" s="28"/>
      <c r="K99" s="28"/>
      <c r="L99" s="28"/>
      <c r="M99" s="28"/>
      <c r="N99" s="28"/>
      <c r="O99" s="28"/>
      <c r="P99" s="78" t="s">
        <v>111</v>
      </c>
      <c r="Q99" s="44">
        <v>64790</v>
      </c>
      <c r="R99" s="35">
        <f t="shared" si="17"/>
        <v>1.1603945793534445E-3</v>
      </c>
      <c r="S99" s="26">
        <f t="shared" si="18"/>
        <v>724749.57850854739</v>
      </c>
      <c r="T99" s="26">
        <f t="shared" si="19"/>
        <v>340095.50527397526</v>
      </c>
      <c r="U99" s="26">
        <f t="shared" si="20"/>
        <v>775826.50510687823</v>
      </c>
      <c r="V99" s="26">
        <f t="shared" si="21"/>
        <v>25232689.281787463</v>
      </c>
      <c r="W99" s="28" t="s">
        <v>27</v>
      </c>
      <c r="X99" s="41">
        <f>SUM(X78:X98)</f>
        <v>219267</v>
      </c>
      <c r="Y99" s="28"/>
      <c r="Z99" s="28"/>
      <c r="AA99" s="28"/>
      <c r="AB99" s="28"/>
      <c r="AC99" s="28" t="s">
        <v>165</v>
      </c>
      <c r="AD99" s="26">
        <v>7286</v>
      </c>
      <c r="AE99" s="35">
        <f t="shared" si="26"/>
        <v>1.6705560709328287E-3</v>
      </c>
      <c r="AF99" s="26">
        <f t="shared" si="27"/>
        <v>62313271.857161582</v>
      </c>
      <c r="AG99" s="78" t="s">
        <v>124</v>
      </c>
      <c r="AH99" s="163">
        <f t="shared" si="29"/>
        <v>6415616618.8664036</v>
      </c>
      <c r="AI99" s="169">
        <f t="shared" si="28"/>
        <v>0.10265059078083009</v>
      </c>
      <c r="AJ99" s="165"/>
      <c r="AK99" s="165"/>
    </row>
    <row r="100" spans="1:37" ht="32">
      <c r="A100" s="67" t="s">
        <v>292</v>
      </c>
      <c r="B100" s="41">
        <f>SUM(L78:L89)</f>
        <v>649176064.46620142</v>
      </c>
      <c r="C100" s="28" t="s">
        <v>7</v>
      </c>
      <c r="D100" s="28"/>
      <c r="E100" s="28"/>
      <c r="F100" s="28"/>
      <c r="G100" s="28"/>
      <c r="H100" s="28"/>
      <c r="I100" s="28"/>
      <c r="J100" s="28"/>
      <c r="K100" s="28"/>
      <c r="L100" s="28"/>
      <c r="M100" s="28"/>
      <c r="N100" s="28"/>
      <c r="O100" s="28"/>
      <c r="P100" s="78" t="s">
        <v>125</v>
      </c>
      <c r="Q100" s="44">
        <v>457755</v>
      </c>
      <c r="R100" s="35">
        <f t="shared" si="17"/>
        <v>8.1984321758286158E-3</v>
      </c>
      <c r="S100" s="26">
        <f t="shared" si="18"/>
        <v>5120508.462882855</v>
      </c>
      <c r="T100" s="26">
        <f t="shared" si="19"/>
        <v>2402846.3963063522</v>
      </c>
      <c r="U100" s="26">
        <f t="shared" si="20"/>
        <v>5481377.7102206992</v>
      </c>
      <c r="V100" s="26">
        <f t="shared" si="21"/>
        <v>178274265.81547493</v>
      </c>
      <c r="W100" s="28"/>
      <c r="X100" s="28"/>
      <c r="Y100" s="28"/>
      <c r="Z100" s="28"/>
      <c r="AA100" s="28"/>
      <c r="AB100" s="28"/>
      <c r="AC100" s="28" t="s">
        <v>147</v>
      </c>
      <c r="AD100" s="26">
        <v>23250</v>
      </c>
      <c r="AE100" s="35">
        <f t="shared" si="26"/>
        <v>5.33083017419548E-3</v>
      </c>
      <c r="AF100" s="26">
        <f t="shared" si="27"/>
        <v>198844849.11872175</v>
      </c>
      <c r="AG100" s="78" t="s">
        <v>111</v>
      </c>
      <c r="AH100" s="163">
        <f t="shared" si="29"/>
        <v>112884618.13787232</v>
      </c>
      <c r="AI100" s="169">
        <f t="shared" si="28"/>
        <v>1.8061666446597096E-3</v>
      </c>
      <c r="AJ100" s="165"/>
      <c r="AK100" s="165"/>
    </row>
    <row r="101" spans="1:37" ht="32">
      <c r="A101" s="67" t="s">
        <v>293</v>
      </c>
      <c r="B101" s="41">
        <f>SUM(M78:M89)</f>
        <v>15704232486.989759</v>
      </c>
      <c r="C101" s="28" t="s">
        <v>7</v>
      </c>
      <c r="D101" s="28"/>
      <c r="E101" s="28"/>
      <c r="F101" s="28"/>
      <c r="G101" s="28"/>
      <c r="H101" s="28"/>
      <c r="I101" s="28"/>
      <c r="J101" s="28"/>
      <c r="K101" s="28"/>
      <c r="L101" s="28"/>
      <c r="M101" s="28"/>
      <c r="N101" s="28"/>
      <c r="O101" s="28"/>
      <c r="P101" s="78" t="s">
        <v>116</v>
      </c>
      <c r="Q101" s="45">
        <v>967479</v>
      </c>
      <c r="R101" s="35">
        <f t="shared" si="17"/>
        <v>1.7327633697149115E-2</v>
      </c>
      <c r="S101" s="26">
        <f t="shared" si="18"/>
        <v>10822349.088838879</v>
      </c>
      <c r="T101" s="26">
        <f t="shared" si="19"/>
        <v>5078488.3368877964</v>
      </c>
      <c r="U101" s="26">
        <f t="shared" si="20"/>
        <v>11585057.128172519</v>
      </c>
      <c r="V101" s="26">
        <f t="shared" si="21"/>
        <v>376788038.17957175</v>
      </c>
      <c r="W101" s="28"/>
      <c r="X101" s="28"/>
      <c r="Y101" s="28"/>
      <c r="Z101" s="28"/>
      <c r="AA101" s="28"/>
      <c r="AB101" s="28"/>
      <c r="AC101" s="28" t="s">
        <v>25</v>
      </c>
      <c r="AD101" s="26">
        <v>13931</v>
      </c>
      <c r="AE101" s="35">
        <f t="shared" si="26"/>
        <v>3.1941417271706338E-3</v>
      </c>
      <c r="AF101" s="26">
        <f t="shared" si="27"/>
        <v>119144412.60528658</v>
      </c>
      <c r="AG101" s="78" t="s">
        <v>125</v>
      </c>
      <c r="AH101" s="163">
        <f>S100+T100+U100+V100</f>
        <v>191278998.38488483</v>
      </c>
      <c r="AI101" s="169">
        <f t="shared" si="28"/>
        <v>3.0604855861295576E-3</v>
      </c>
      <c r="AJ101" s="165"/>
      <c r="AK101" s="165"/>
    </row>
    <row r="102" spans="1:37" ht="32">
      <c r="A102" s="67" t="s">
        <v>294</v>
      </c>
      <c r="B102" s="41">
        <f>SUM(N78:N89)</f>
        <v>443145875019.45526</v>
      </c>
      <c r="C102" s="28" t="s">
        <v>7</v>
      </c>
      <c r="D102" s="28"/>
      <c r="E102" s="28"/>
      <c r="F102" s="28"/>
      <c r="G102" s="28"/>
      <c r="H102" s="28"/>
      <c r="I102" s="28"/>
      <c r="J102" s="28"/>
      <c r="K102" s="28"/>
      <c r="L102" s="28"/>
      <c r="M102" s="28"/>
      <c r="N102" s="28"/>
      <c r="O102" s="28"/>
      <c r="P102" s="78" t="s">
        <v>133</v>
      </c>
      <c r="Q102" s="44">
        <v>221299</v>
      </c>
      <c r="R102" s="35">
        <f t="shared" si="17"/>
        <v>3.963484488599134E-3</v>
      </c>
      <c r="S102" s="26">
        <f t="shared" si="18"/>
        <v>2475480.1199932555</v>
      </c>
      <c r="T102" s="26">
        <f t="shared" si="19"/>
        <v>1161642.1549872735</v>
      </c>
      <c r="U102" s="26">
        <f t="shared" si="20"/>
        <v>2649940.2647576327</v>
      </c>
      <c r="V102" s="26">
        <f t="shared" si="21"/>
        <v>86185659.906934455</v>
      </c>
      <c r="W102" s="28"/>
      <c r="X102" s="28"/>
      <c r="Y102" s="28"/>
      <c r="Z102" s="28"/>
      <c r="AA102" s="28"/>
      <c r="AB102" s="28"/>
      <c r="AC102" s="28" t="s">
        <v>20</v>
      </c>
      <c r="AD102" s="26">
        <v>235011</v>
      </c>
      <c r="AE102" s="35">
        <f t="shared" si="26"/>
        <v>5.3884031400767918E-2</v>
      </c>
      <c r="AF102" s="26">
        <f t="shared" si="27"/>
        <v>2009923734.8920398</v>
      </c>
      <c r="AG102" s="78" t="s">
        <v>116</v>
      </c>
      <c r="AH102" s="163">
        <f>S101+T101+U101+V101+AF91</f>
        <v>1544437468.8802783</v>
      </c>
      <c r="AI102" s="169">
        <f t="shared" si="28"/>
        <v>2.4711174002885319E-2</v>
      </c>
      <c r="AJ102" s="165"/>
      <c r="AK102" s="165"/>
    </row>
    <row r="103" spans="1:37" ht="32">
      <c r="A103" s="67" t="s">
        <v>494</v>
      </c>
      <c r="B103" s="65">
        <f>SUM(B95:B102)</f>
        <v>767379829370.06934</v>
      </c>
      <c r="C103" s="28" t="s">
        <v>7</v>
      </c>
      <c r="D103" s="28"/>
      <c r="E103" s="28"/>
      <c r="F103" s="28"/>
      <c r="G103" s="28"/>
      <c r="H103" s="28"/>
      <c r="I103" s="28"/>
      <c r="J103" s="28"/>
      <c r="K103" s="28"/>
      <c r="L103" s="28"/>
      <c r="M103" s="28"/>
      <c r="N103" s="28"/>
      <c r="O103" s="28"/>
      <c r="P103" s="78" t="s">
        <v>137</v>
      </c>
      <c r="Q103" s="44">
        <v>8346</v>
      </c>
      <c r="R103" s="35">
        <f t="shared" si="17"/>
        <v>1.4947759159258909E-4</v>
      </c>
      <c r="S103" s="26">
        <f t="shared" si="18"/>
        <v>93359.468779631672</v>
      </c>
      <c r="T103" s="26">
        <f t="shared" si="19"/>
        <v>43809.802238255863</v>
      </c>
      <c r="U103" s="26">
        <f t="shared" si="20"/>
        <v>99939.003111930942</v>
      </c>
      <c r="V103" s="26">
        <f t="shared" si="21"/>
        <v>3250378.5267139706</v>
      </c>
      <c r="W103" s="28"/>
      <c r="X103" s="28"/>
      <c r="Y103" s="28"/>
      <c r="Z103" s="28"/>
      <c r="AA103" s="28"/>
      <c r="AB103" s="28"/>
      <c r="AC103" s="28" t="s">
        <v>27</v>
      </c>
      <c r="AD103" s="26">
        <f>SUM(AD78:AD102)</f>
        <v>4361422</v>
      </c>
      <c r="AE103" s="28"/>
      <c r="AF103" s="28"/>
      <c r="AG103" s="78" t="s">
        <v>133</v>
      </c>
      <c r="AH103" s="163">
        <f>S102+T102+U102+V102</f>
        <v>92472722.446672618</v>
      </c>
      <c r="AI103" s="169">
        <f t="shared" si="28"/>
        <v>1.4795740073289966E-3</v>
      </c>
      <c r="AJ103" s="165"/>
      <c r="AK103" s="165"/>
    </row>
    <row r="104" spans="1:37">
      <c r="B104" s="28"/>
      <c r="C104" s="28"/>
      <c r="D104" s="28"/>
      <c r="E104" s="28"/>
      <c r="F104" s="28"/>
      <c r="G104" s="28"/>
      <c r="H104" s="28"/>
      <c r="I104" s="28"/>
      <c r="J104" s="28"/>
      <c r="K104" s="28"/>
      <c r="L104" s="28"/>
      <c r="M104" s="28"/>
      <c r="N104" s="28"/>
      <c r="O104" s="28"/>
      <c r="P104" s="78" t="s">
        <v>135</v>
      </c>
      <c r="Q104" s="44">
        <v>127058</v>
      </c>
      <c r="R104" s="35">
        <f t="shared" si="17"/>
        <v>2.275619917633739E-3</v>
      </c>
      <c r="S104" s="26">
        <f t="shared" si="18"/>
        <v>1421287.7287565831</v>
      </c>
      <c r="T104" s="26">
        <f t="shared" si="19"/>
        <v>666952.53448218468</v>
      </c>
      <c r="U104" s="26">
        <f t="shared" si="20"/>
        <v>1521453.3737593724</v>
      </c>
      <c r="V104" s="26">
        <f t="shared" si="21"/>
        <v>49483176.952698737</v>
      </c>
      <c r="W104" s="28"/>
      <c r="X104" s="28"/>
      <c r="Y104" s="28"/>
      <c r="Z104" s="28"/>
      <c r="AA104" s="28"/>
      <c r="AB104" s="28"/>
      <c r="AC104" s="28"/>
      <c r="AD104" s="28"/>
      <c r="AE104" s="28"/>
      <c r="AF104" s="28"/>
      <c r="AG104" s="78" t="s">
        <v>137</v>
      </c>
      <c r="AH104" s="163">
        <f>S103+T103+U103+V103</f>
        <v>3487486.8008437892</v>
      </c>
      <c r="AI104" s="169">
        <f t="shared" si="28"/>
        <v>5.5800182852917575E-5</v>
      </c>
      <c r="AJ104" s="165"/>
      <c r="AK104" s="165"/>
    </row>
    <row r="105" spans="1:37">
      <c r="B105" s="28"/>
      <c r="C105" s="28"/>
      <c r="D105" s="28"/>
      <c r="E105" s="28"/>
      <c r="F105" s="28"/>
      <c r="G105" s="28"/>
      <c r="H105" s="28"/>
      <c r="I105" s="28"/>
      <c r="J105" s="28"/>
      <c r="K105" s="28"/>
      <c r="L105" s="28"/>
      <c r="M105" s="28"/>
      <c r="N105" s="28"/>
      <c r="O105" s="28"/>
      <c r="P105" s="78" t="s">
        <v>126</v>
      </c>
      <c r="Q105" s="44">
        <v>95504</v>
      </c>
      <c r="R105" s="35">
        <f t="shared" si="17"/>
        <v>1.7104850116772862E-3</v>
      </c>
      <c r="S105" s="26">
        <f t="shared" si="18"/>
        <v>1068320.4776335903</v>
      </c>
      <c r="T105" s="26">
        <f t="shared" si="19"/>
        <v>501319.35693294858</v>
      </c>
      <c r="U105" s="26">
        <f t="shared" si="20"/>
        <v>1143610.6581837831</v>
      </c>
      <c r="V105" s="26">
        <f t="shared" si="21"/>
        <v>37194362.666581728</v>
      </c>
      <c r="W105" s="28"/>
      <c r="X105" s="28"/>
      <c r="Y105" s="28"/>
      <c r="Z105" s="28"/>
      <c r="AA105" s="28"/>
      <c r="AB105" s="28"/>
      <c r="AC105" s="28"/>
      <c r="AD105" s="28"/>
      <c r="AE105" s="28"/>
      <c r="AF105" s="28"/>
      <c r="AG105" s="78" t="s">
        <v>135</v>
      </c>
      <c r="AH105" s="163">
        <f>S104+T104+U104+V104</f>
        <v>53092870.589696877</v>
      </c>
      <c r="AI105" s="169">
        <f t="shared" si="28"/>
        <v>8.4949192822022536E-4</v>
      </c>
      <c r="AJ105" s="165"/>
      <c r="AK105" s="165"/>
    </row>
    <row r="106" spans="1:37">
      <c r="B106" s="28"/>
      <c r="C106" s="28"/>
      <c r="D106" s="28"/>
      <c r="E106" s="28"/>
      <c r="F106" s="28"/>
      <c r="G106" s="28"/>
      <c r="H106" s="28"/>
      <c r="I106" s="28"/>
      <c r="J106" s="28"/>
      <c r="K106" s="28"/>
      <c r="L106" s="28"/>
      <c r="M106" s="28"/>
      <c r="N106" s="28"/>
      <c r="O106" s="28"/>
      <c r="P106" s="78" t="s">
        <v>127</v>
      </c>
      <c r="Q106" s="44">
        <v>37141</v>
      </c>
      <c r="R106" s="35">
        <f t="shared" si="17"/>
        <v>6.6519856570097671E-4</v>
      </c>
      <c r="S106" s="26">
        <f t="shared" si="18"/>
        <v>415464.17804269114</v>
      </c>
      <c r="T106" s="26">
        <f t="shared" si="19"/>
        <v>194960.44391697354</v>
      </c>
      <c r="U106" s="26">
        <f t="shared" si="20"/>
        <v>444744.13067100733</v>
      </c>
      <c r="V106" s="26">
        <f t="shared" si="21"/>
        <v>14464690.733367313</v>
      </c>
      <c r="W106" s="28"/>
      <c r="X106" s="28"/>
      <c r="Y106" s="28"/>
      <c r="Z106" s="28"/>
      <c r="AA106" s="28"/>
      <c r="AB106" s="28"/>
      <c r="AC106" s="28"/>
      <c r="AD106" s="28"/>
      <c r="AE106" s="28"/>
      <c r="AF106" s="28"/>
      <c r="AG106" s="78" t="s">
        <v>126</v>
      </c>
      <c r="AH106" s="163">
        <f>S105+T105+U105+V105+Z90+AA90+AB90+AF92</f>
        <v>67617387.763158232</v>
      </c>
      <c r="AI106" s="169">
        <f t="shared" si="28"/>
        <v>1.0818858440720053E-3</v>
      </c>
      <c r="AJ106" s="165"/>
      <c r="AK106" s="165"/>
    </row>
    <row r="107" spans="1:37">
      <c r="B107" s="28"/>
      <c r="C107" s="28"/>
      <c r="D107" s="28"/>
      <c r="E107" s="28"/>
      <c r="F107" s="28"/>
      <c r="G107" s="28"/>
      <c r="H107" s="28"/>
      <c r="I107" s="28"/>
      <c r="J107" s="28"/>
      <c r="K107" s="28"/>
      <c r="L107" s="28"/>
      <c r="M107" s="28"/>
      <c r="N107" s="28"/>
      <c r="O107" s="28"/>
      <c r="P107" s="78" t="s">
        <v>103</v>
      </c>
      <c r="Q107" s="44">
        <v>278900</v>
      </c>
      <c r="R107" s="35">
        <f t="shared" si="17"/>
        <v>4.995123447780146E-3</v>
      </c>
      <c r="S107" s="26">
        <f t="shared" si="18"/>
        <v>3119812.5859860145</v>
      </c>
      <c r="T107" s="26">
        <f t="shared" si="19"/>
        <v>1464001.1795170815</v>
      </c>
      <c r="U107" s="26">
        <f t="shared" si="20"/>
        <v>3339682.2391466019</v>
      </c>
      <c r="V107" s="26">
        <f t="shared" si="21"/>
        <v>108618568.30823465</v>
      </c>
      <c r="W107" s="28"/>
      <c r="X107" s="28"/>
      <c r="Y107" s="28"/>
      <c r="Z107" s="28"/>
      <c r="AA107" s="28"/>
      <c r="AB107" s="28"/>
      <c r="AC107" s="28"/>
      <c r="AD107" s="28"/>
      <c r="AE107" s="28"/>
      <c r="AF107" s="28"/>
      <c r="AG107" s="78" t="s">
        <v>127</v>
      </c>
      <c r="AH107" s="163">
        <f>S106+T106+U106+V106</f>
        <v>15519859.485997984</v>
      </c>
      <c r="AI107" s="169">
        <f t="shared" si="28"/>
        <v>2.4831950531275002E-4</v>
      </c>
      <c r="AJ107" s="165"/>
      <c r="AK107" s="165"/>
    </row>
    <row r="108" spans="1:37">
      <c r="B108" s="28"/>
      <c r="C108" s="28"/>
      <c r="D108" s="28"/>
      <c r="E108" s="28"/>
      <c r="F108" s="28"/>
      <c r="G108" s="28"/>
      <c r="H108" s="28"/>
      <c r="I108" s="28"/>
      <c r="J108" s="28"/>
      <c r="K108" s="28"/>
      <c r="L108" s="28"/>
      <c r="M108" s="28"/>
      <c r="N108" s="28"/>
      <c r="O108" s="28"/>
      <c r="P108" s="78" t="s">
        <v>98</v>
      </c>
      <c r="Q108" s="44">
        <v>211281</v>
      </c>
      <c r="R108" s="35">
        <f t="shared" si="17"/>
        <v>3.7840612304425856E-3</v>
      </c>
      <c r="S108" s="26">
        <f t="shared" si="18"/>
        <v>2363417.4362843712</v>
      </c>
      <c r="T108" s="26">
        <f t="shared" si="19"/>
        <v>1109055.694548399</v>
      </c>
      <c r="U108" s="26">
        <f t="shared" si="20"/>
        <v>2529979.932481654</v>
      </c>
      <c r="V108" s="26">
        <f t="shared" si="21"/>
        <v>82284115.205206618</v>
      </c>
      <c r="W108" s="28"/>
      <c r="X108" s="28"/>
      <c r="Y108" s="28"/>
      <c r="Z108" s="28"/>
      <c r="AA108" s="28"/>
      <c r="AB108" s="28"/>
      <c r="AC108" s="28"/>
      <c r="AD108" s="28"/>
      <c r="AE108" s="28"/>
      <c r="AF108" s="28"/>
      <c r="AG108" s="78" t="s">
        <v>103</v>
      </c>
      <c r="AH108" s="163">
        <f>S107+T107+U107+V107+Z91+AA91+AB91</f>
        <v>167958574.01320499</v>
      </c>
      <c r="AI108" s="169">
        <f t="shared" si="28"/>
        <v>2.6873561612862783E-3</v>
      </c>
      <c r="AJ108" s="165"/>
      <c r="AK108" s="165"/>
    </row>
    <row r="109" spans="1:37">
      <c r="B109" s="28"/>
      <c r="C109" s="28"/>
      <c r="D109" s="28"/>
      <c r="E109" s="28"/>
      <c r="F109" s="28"/>
      <c r="G109" s="28"/>
      <c r="H109" s="28"/>
      <c r="I109" s="28"/>
      <c r="J109" s="28"/>
      <c r="K109" s="28"/>
      <c r="L109" s="28"/>
      <c r="M109" s="28"/>
      <c r="N109" s="28"/>
      <c r="O109" s="28"/>
      <c r="P109" s="78" t="s">
        <v>104</v>
      </c>
      <c r="Q109" s="44">
        <v>438107</v>
      </c>
      <c r="R109" s="35">
        <f t="shared" si="17"/>
        <v>7.8465347735267709E-3</v>
      </c>
      <c r="S109" s="26">
        <f t="shared" si="18"/>
        <v>4900723.3151974715</v>
      </c>
      <c r="T109" s="26">
        <f t="shared" si="19"/>
        <v>2299710.1640541051</v>
      </c>
      <c r="U109" s="26">
        <f t="shared" si="20"/>
        <v>5246103.1435847981</v>
      </c>
      <c r="V109" s="26">
        <f t="shared" si="21"/>
        <v>170622284.35215402</v>
      </c>
      <c r="W109" s="28"/>
      <c r="X109" s="28"/>
      <c r="Y109" s="28"/>
      <c r="Z109" s="28"/>
      <c r="AA109" s="28"/>
      <c r="AB109" s="28"/>
      <c r="AC109" s="28"/>
      <c r="AD109" s="28"/>
      <c r="AE109" s="28"/>
      <c r="AF109" s="28"/>
      <c r="AG109" s="78" t="s">
        <v>98</v>
      </c>
      <c r="AH109" s="163">
        <f>S108+T108+U108+V108+Z92+AA92+AB92+AF93</f>
        <v>114797045.09570473</v>
      </c>
      <c r="AI109" s="169">
        <f t="shared" si="28"/>
        <v>1.8367656920637251E-3</v>
      </c>
      <c r="AJ109" s="165"/>
      <c r="AK109" s="165"/>
    </row>
    <row r="110" spans="1:37">
      <c r="B110" s="28"/>
      <c r="C110" s="28"/>
      <c r="D110" s="28"/>
      <c r="E110" s="28"/>
      <c r="F110" s="28"/>
      <c r="G110" s="28"/>
      <c r="H110" s="28"/>
      <c r="I110" s="28"/>
      <c r="J110" s="28"/>
      <c r="K110" s="28"/>
      <c r="L110" s="28"/>
      <c r="M110" s="28"/>
      <c r="N110" s="28"/>
      <c r="O110" s="28"/>
      <c r="P110" s="78" t="s">
        <v>108</v>
      </c>
      <c r="Q110" s="44">
        <v>1260517</v>
      </c>
      <c r="R110" s="35">
        <f t="shared" si="17"/>
        <v>2.2575969964236237E-2</v>
      </c>
      <c r="S110" s="26">
        <f t="shared" si="18"/>
        <v>14100311.227857057</v>
      </c>
      <c r="T110" s="26">
        <f t="shared" si="19"/>
        <v>6616702.6704959944</v>
      </c>
      <c r="U110" s="26">
        <f t="shared" si="20"/>
        <v>15094034.553755315</v>
      </c>
      <c r="V110" s="26">
        <f t="shared" si="21"/>
        <v>490912699.41983157</v>
      </c>
      <c r="W110" s="28"/>
      <c r="X110" s="28"/>
      <c r="Y110" s="28"/>
      <c r="Z110" s="28"/>
      <c r="AA110" s="28"/>
      <c r="AB110" s="28"/>
      <c r="AC110" s="28"/>
      <c r="AD110" s="28"/>
      <c r="AE110" s="28"/>
      <c r="AF110" s="28"/>
      <c r="AG110" s="78" t="s">
        <v>261</v>
      </c>
      <c r="AH110" s="163">
        <f>S115+T115+U115+V115+Z93+AA93+AB93+AF94</f>
        <v>1906384698.1123803</v>
      </c>
      <c r="AI110" s="169">
        <f t="shared" si="28"/>
        <v>3.0502370565800369E-2</v>
      </c>
      <c r="AJ110" s="165"/>
      <c r="AK110" s="165"/>
    </row>
    <row r="111" spans="1:37">
      <c r="B111" s="28"/>
      <c r="C111" s="28"/>
      <c r="D111" s="28"/>
      <c r="E111" s="28"/>
      <c r="F111" s="28"/>
      <c r="G111" s="28"/>
      <c r="H111" s="28"/>
      <c r="I111" s="28"/>
      <c r="J111" s="28"/>
      <c r="K111" s="28"/>
      <c r="L111" s="28"/>
      <c r="M111" s="28"/>
      <c r="N111" s="28"/>
      <c r="O111" s="28"/>
      <c r="P111" s="78" t="s">
        <v>107</v>
      </c>
      <c r="Q111" s="44">
        <v>23272</v>
      </c>
      <c r="R111" s="35">
        <f t="shared" si="17"/>
        <v>4.1680355997396757E-4</v>
      </c>
      <c r="S111" s="26">
        <f t="shared" si="18"/>
        <v>260323.69487653827</v>
      </c>
      <c r="T111" s="26">
        <f t="shared" si="19"/>
        <v>122159.3239502385</v>
      </c>
      <c r="U111" s="26">
        <f t="shared" si="20"/>
        <v>278670.07913022488</v>
      </c>
      <c r="V111" s="26">
        <f t="shared" si="21"/>
        <v>9063360.7804562096</v>
      </c>
      <c r="W111" s="28"/>
      <c r="X111" s="28"/>
      <c r="Y111" s="28"/>
      <c r="Z111" s="28"/>
      <c r="AA111" s="28"/>
      <c r="AB111" s="28"/>
      <c r="AC111" s="28"/>
      <c r="AD111" s="28"/>
      <c r="AE111" s="28"/>
      <c r="AF111" s="28"/>
      <c r="AG111" s="78" t="s">
        <v>104</v>
      </c>
      <c r="AH111" s="163">
        <f>S109+T109+U109+V109</f>
        <v>183068820.9749904</v>
      </c>
      <c r="AI111" s="169">
        <f t="shared" si="28"/>
        <v>2.9291218199308843E-3</v>
      </c>
      <c r="AJ111" s="165"/>
      <c r="AK111" s="165"/>
    </row>
    <row r="112" spans="1:37">
      <c r="B112" s="28"/>
      <c r="C112" s="28"/>
      <c r="D112" s="28"/>
      <c r="E112" s="28"/>
      <c r="F112" s="28"/>
      <c r="G112" s="28"/>
      <c r="H112" s="28"/>
      <c r="I112" s="28"/>
      <c r="J112" s="28"/>
      <c r="K112" s="28"/>
      <c r="L112" s="28"/>
      <c r="M112" s="28"/>
      <c r="N112" s="28"/>
      <c r="O112" s="28"/>
      <c r="P112" s="78" t="s">
        <v>105</v>
      </c>
      <c r="Q112" s="44">
        <v>985000</v>
      </c>
      <c r="R112" s="35">
        <f t="shared" si="17"/>
        <v>1.7641436343002668E-2</v>
      </c>
      <c r="S112" s="26">
        <f t="shared" si="18"/>
        <v>11018341.330929453</v>
      </c>
      <c r="T112" s="26">
        <f t="shared" si="19"/>
        <v>5170459.5260821991</v>
      </c>
      <c r="U112" s="26">
        <f t="shared" si="20"/>
        <v>11794861.977624249</v>
      </c>
      <c r="V112" s="26">
        <f t="shared" si="21"/>
        <v>383611652.14632893</v>
      </c>
      <c r="W112" s="28"/>
      <c r="X112" s="28"/>
      <c r="Y112" s="28"/>
      <c r="Z112" s="28"/>
      <c r="AA112" s="28"/>
      <c r="AB112" s="28"/>
      <c r="AC112" s="28"/>
      <c r="AD112" s="28"/>
      <c r="AE112" s="28"/>
      <c r="AF112" s="28"/>
      <c r="AG112" s="78" t="s">
        <v>108</v>
      </c>
      <c r="AH112" s="163">
        <f>S110+T110+U110+V110+Z94+AA94+AB94+AF95</f>
        <v>1087547248.1578586</v>
      </c>
      <c r="AI112" s="169">
        <f t="shared" si="28"/>
        <v>1.7400878848835545E-2</v>
      </c>
      <c r="AJ112" s="165"/>
      <c r="AK112" s="165"/>
    </row>
    <row r="113" spans="1:37">
      <c r="B113" s="28"/>
      <c r="C113" s="28"/>
      <c r="D113" s="28"/>
      <c r="E113" s="28"/>
      <c r="F113" s="28"/>
      <c r="G113" s="28"/>
      <c r="H113" s="28"/>
      <c r="I113" s="28"/>
      <c r="J113" s="28"/>
      <c r="K113" s="28"/>
      <c r="L113" s="28"/>
      <c r="M113" s="28"/>
      <c r="N113" s="28"/>
      <c r="O113" s="28"/>
      <c r="P113" s="78" t="s">
        <v>106</v>
      </c>
      <c r="Q113" s="44">
        <v>141714</v>
      </c>
      <c r="R113" s="35">
        <f t="shared" si="17"/>
        <v>2.5381101623474923E-3</v>
      </c>
      <c r="S113" s="26">
        <f t="shared" si="18"/>
        <v>1585231.6988541486</v>
      </c>
      <c r="T113" s="26">
        <f t="shared" si="19"/>
        <v>743884.77287229709</v>
      </c>
      <c r="U113" s="26">
        <f t="shared" si="20"/>
        <v>1696951.3404030891</v>
      </c>
      <c r="V113" s="26">
        <f t="shared" si="21"/>
        <v>55191006.773872949</v>
      </c>
      <c r="W113" s="28"/>
      <c r="X113" s="28"/>
      <c r="Y113" s="28"/>
      <c r="Z113" s="28"/>
      <c r="AA113" s="28"/>
      <c r="AB113" s="28"/>
      <c r="AC113" s="28"/>
      <c r="AD113" s="28"/>
      <c r="AE113" s="28"/>
      <c r="AF113" s="28"/>
      <c r="AG113" s="78" t="s">
        <v>107</v>
      </c>
      <c r="AH113" s="163">
        <f>S111+T111+U111+V111+AF96</f>
        <v>9810038.544700833</v>
      </c>
      <c r="AI113" s="169">
        <f t="shared" si="28"/>
        <v>1.5696172511851035E-4</v>
      </c>
      <c r="AJ113" s="165"/>
      <c r="AK113" s="165"/>
    </row>
    <row r="114" spans="1:37">
      <c r="B114" s="28"/>
      <c r="C114" s="28"/>
      <c r="D114" s="28"/>
      <c r="E114" s="28"/>
      <c r="F114" s="28"/>
      <c r="G114" s="28"/>
      <c r="H114" s="28"/>
      <c r="I114" s="28"/>
      <c r="J114" s="28"/>
      <c r="K114" s="28"/>
      <c r="L114" s="28"/>
      <c r="M114" s="28"/>
      <c r="N114" s="28"/>
      <c r="O114" s="28"/>
      <c r="P114" s="78" t="s">
        <v>134</v>
      </c>
      <c r="Q114" s="44">
        <v>238216</v>
      </c>
      <c r="R114" s="35">
        <f t="shared" si="17"/>
        <v>4.2664694415073335E-3</v>
      </c>
      <c r="S114" s="26">
        <f t="shared" si="18"/>
        <v>2664715.9375519701</v>
      </c>
      <c r="T114" s="26">
        <f t="shared" si="19"/>
        <v>1250442.8288986771</v>
      </c>
      <c r="U114" s="26">
        <f t="shared" si="20"/>
        <v>2852512.5287936428</v>
      </c>
      <c r="V114" s="26">
        <f t="shared" si="21"/>
        <v>92774043.987502426</v>
      </c>
      <c r="W114" s="28"/>
      <c r="X114" s="28"/>
      <c r="Y114" s="28"/>
      <c r="Z114" s="28"/>
      <c r="AA114" s="28"/>
      <c r="AB114" s="28"/>
      <c r="AC114" s="28"/>
      <c r="AD114" s="28"/>
      <c r="AE114" s="28"/>
      <c r="AF114" s="28"/>
      <c r="AG114" s="78" t="s">
        <v>105</v>
      </c>
      <c r="AH114" s="163">
        <f>S112+T112+U112+V112</f>
        <v>411595314.98096484</v>
      </c>
      <c r="AI114" s="169">
        <f t="shared" si="28"/>
        <v>6.5855715444672674E-3</v>
      </c>
      <c r="AJ114" s="165"/>
      <c r="AK114" s="165"/>
    </row>
    <row r="115" spans="1:37">
      <c r="B115" s="28"/>
      <c r="C115" s="28"/>
      <c r="D115" s="28"/>
      <c r="E115" s="28"/>
      <c r="F115" s="28"/>
      <c r="G115" s="28"/>
      <c r="H115" s="28"/>
      <c r="I115" s="28"/>
      <c r="J115" s="28"/>
      <c r="K115" s="28"/>
      <c r="L115" s="28"/>
      <c r="M115" s="28"/>
      <c r="N115" s="28"/>
      <c r="O115" s="28"/>
      <c r="P115" s="78" t="s">
        <v>128</v>
      </c>
      <c r="Q115" s="44">
        <v>3211706</v>
      </c>
      <c r="R115" s="35">
        <f t="shared" si="17"/>
        <v>5.7521935991309364E-2</v>
      </c>
      <c r="S115" s="26">
        <f t="shared" si="18"/>
        <v>35926571.535628535</v>
      </c>
      <c r="T115" s="26">
        <f t="shared" si="19"/>
        <v>16858879.068705942</v>
      </c>
      <c r="U115" s="26">
        <f t="shared" si="20"/>
        <v>38458506.581429102</v>
      </c>
      <c r="V115" s="26">
        <f t="shared" si="21"/>
        <v>1250809994.7901294</v>
      </c>
      <c r="W115" s="28"/>
      <c r="X115" s="28"/>
      <c r="Y115" s="28"/>
      <c r="Z115" s="28"/>
      <c r="AA115" s="28"/>
      <c r="AB115" s="28"/>
      <c r="AC115" s="28"/>
      <c r="AD115" s="28"/>
      <c r="AE115" s="28"/>
      <c r="AF115" s="28"/>
      <c r="AG115" s="78" t="s">
        <v>106</v>
      </c>
      <c r="AH115" s="163">
        <f>S113+T113+U113+V113</f>
        <v>59217074.586002484</v>
      </c>
      <c r="AI115" s="169">
        <f t="shared" si="28"/>
        <v>9.4747988411434953E-4</v>
      </c>
      <c r="AJ115" s="165"/>
      <c r="AK115" s="165"/>
    </row>
    <row r="116" spans="1:37">
      <c r="B116" s="28"/>
      <c r="C116" s="28"/>
      <c r="D116" s="28"/>
      <c r="E116" s="28"/>
      <c r="F116" s="28"/>
      <c r="G116" s="28"/>
      <c r="H116" s="28"/>
      <c r="I116" s="28"/>
      <c r="J116" s="28"/>
      <c r="K116" s="28"/>
      <c r="L116" s="28"/>
      <c r="M116" s="28"/>
      <c r="N116" s="28"/>
      <c r="O116" s="28"/>
      <c r="P116" s="78" t="s">
        <v>99</v>
      </c>
      <c r="Q116" s="44">
        <v>1800664</v>
      </c>
      <c r="R116" s="35">
        <f t="shared" si="17"/>
        <v>3.2250050082372139E-2</v>
      </c>
      <c r="S116" s="26">
        <f t="shared" si="18"/>
        <v>20142467.588138834</v>
      </c>
      <c r="T116" s="26">
        <f t="shared" si="19"/>
        <v>9452040.9462672863</v>
      </c>
      <c r="U116" s="26">
        <f t="shared" si="20"/>
        <v>21562013.551346995</v>
      </c>
      <c r="V116" s="26">
        <f t="shared" si="21"/>
        <v>701274814.21362162</v>
      </c>
      <c r="W116" s="28"/>
      <c r="X116" s="28"/>
      <c r="Y116" s="28"/>
      <c r="Z116" s="28"/>
      <c r="AA116" s="28"/>
      <c r="AB116" s="28"/>
      <c r="AC116" s="28"/>
      <c r="AD116" s="28"/>
      <c r="AE116" s="28"/>
      <c r="AF116" s="28"/>
      <c r="AG116" s="78" t="s">
        <v>134</v>
      </c>
      <c r="AH116" s="163">
        <f>S114+T114+U114+V114+Z95+AA95+AB95+AF97</f>
        <v>298890318.26893508</v>
      </c>
      <c r="AI116" s="169">
        <f t="shared" si="28"/>
        <v>4.7822788629158603E-3</v>
      </c>
      <c r="AJ116" s="165"/>
      <c r="AK116" s="165"/>
    </row>
    <row r="117" spans="1:37">
      <c r="B117" s="28"/>
      <c r="C117" s="28"/>
      <c r="D117" s="28"/>
      <c r="E117" s="28"/>
      <c r="F117" s="28"/>
      <c r="G117" s="28"/>
      <c r="H117" s="28"/>
      <c r="I117" s="28"/>
      <c r="J117" s="28"/>
      <c r="K117" s="28"/>
      <c r="L117" s="28"/>
      <c r="M117" s="28"/>
      <c r="N117" s="28"/>
      <c r="O117" s="28"/>
      <c r="P117" s="78" t="s">
        <v>136</v>
      </c>
      <c r="Q117" s="44">
        <v>249000</v>
      </c>
      <c r="R117" s="35">
        <f t="shared" si="17"/>
        <v>4.4596118268098112E-3</v>
      </c>
      <c r="S117" s="26">
        <f t="shared" si="18"/>
        <v>2785347.1993923183</v>
      </c>
      <c r="T117" s="26">
        <f t="shared" si="19"/>
        <v>1307050.1746136725</v>
      </c>
      <c r="U117" s="26">
        <f t="shared" si="20"/>
        <v>2981645.3121100892</v>
      </c>
      <c r="V117" s="26">
        <f t="shared" si="21"/>
        <v>96973910.0349603</v>
      </c>
      <c r="W117" s="28"/>
      <c r="X117" s="28"/>
      <c r="Y117" s="28"/>
      <c r="Z117" s="28"/>
      <c r="AA117" s="28"/>
      <c r="AB117" s="28"/>
      <c r="AC117" s="28"/>
      <c r="AD117" s="28"/>
      <c r="AE117" s="28"/>
      <c r="AF117" s="28"/>
      <c r="AG117" s="78" t="s">
        <v>99</v>
      </c>
      <c r="AH117" s="163">
        <f>S116+T116+U116+V116+AF98</f>
        <v>1068060117.2338448</v>
      </c>
      <c r="AI117" s="169">
        <f t="shared" si="28"/>
        <v>1.708908255226587E-2</v>
      </c>
      <c r="AJ117" s="165"/>
      <c r="AK117" s="165"/>
    </row>
    <row r="118" spans="1:37">
      <c r="B118" s="28"/>
      <c r="C118" s="28"/>
      <c r="D118" s="28"/>
      <c r="E118" s="28"/>
      <c r="F118" s="28"/>
      <c r="G118" s="28"/>
      <c r="H118" s="28"/>
      <c r="I118" s="28"/>
      <c r="J118" s="28"/>
      <c r="K118" s="28"/>
      <c r="L118" s="28"/>
      <c r="M118" s="28"/>
      <c r="N118" s="28"/>
      <c r="O118" s="28"/>
      <c r="P118" s="78" t="s">
        <v>129</v>
      </c>
      <c r="Q118" s="44">
        <v>180967</v>
      </c>
      <c r="R118" s="35">
        <f t="shared" si="17"/>
        <v>3.2411348331818921E-3</v>
      </c>
      <c r="S118" s="26">
        <f t="shared" si="18"/>
        <v>2024320.9904916855</v>
      </c>
      <c r="T118" s="26">
        <f t="shared" si="19"/>
        <v>949931.52188478911</v>
      </c>
      <c r="U118" s="26">
        <f t="shared" si="20"/>
        <v>2166985.5710707894</v>
      </c>
      <c r="V118" s="26">
        <f t="shared" si="21"/>
        <v>70478223.201994628</v>
      </c>
      <c r="W118" s="28"/>
      <c r="X118" s="28"/>
      <c r="Y118" s="28"/>
      <c r="Z118" s="28"/>
      <c r="AA118" s="28"/>
      <c r="AB118" s="28"/>
      <c r="AC118" s="28"/>
      <c r="AD118" s="28"/>
      <c r="AE118" s="28"/>
      <c r="AF118" s="28"/>
      <c r="AG118" s="78" t="s">
        <v>136</v>
      </c>
      <c r="AH118" s="163">
        <f>S117+T117+U117+V117</f>
        <v>104047952.72107638</v>
      </c>
      <c r="AI118" s="169">
        <f t="shared" si="28"/>
        <v>1.664778999565837E-3</v>
      </c>
      <c r="AJ118" s="165"/>
      <c r="AK118" s="165"/>
    </row>
    <row r="119" spans="1:37">
      <c r="B119" s="28"/>
      <c r="C119" s="28"/>
      <c r="D119" s="28"/>
      <c r="E119" s="28"/>
      <c r="F119" s="28"/>
      <c r="G119" s="28"/>
      <c r="H119" s="28"/>
      <c r="I119" s="28"/>
      <c r="J119" s="28"/>
      <c r="K119" s="28"/>
      <c r="L119" s="28"/>
      <c r="M119" s="28"/>
      <c r="N119" s="28"/>
      <c r="O119" s="28"/>
      <c r="P119" s="78" t="s">
        <v>130</v>
      </c>
      <c r="Q119" s="44">
        <v>537633</v>
      </c>
      <c r="R119" s="35">
        <f t="shared" si="17"/>
        <v>9.6290541577640134E-3</v>
      </c>
      <c r="S119" s="26">
        <f t="shared" si="18"/>
        <v>6014034.4210879132</v>
      </c>
      <c r="T119" s="26">
        <f t="shared" si="19"/>
        <v>2822141.7932854323</v>
      </c>
      <c r="U119" s="26">
        <f t="shared" si="20"/>
        <v>6437875.1569706174</v>
      </c>
      <c r="V119" s="26">
        <f t="shared" si="21"/>
        <v>209383028.81054544</v>
      </c>
      <c r="W119" s="28"/>
      <c r="X119" s="28"/>
      <c r="Y119" s="28"/>
      <c r="Z119" s="28"/>
      <c r="AA119" s="28"/>
      <c r="AB119" s="28"/>
      <c r="AC119" s="28"/>
      <c r="AD119" s="28"/>
      <c r="AE119" s="28"/>
      <c r="AF119" s="28"/>
      <c r="AG119" s="78" t="s">
        <v>129</v>
      </c>
      <c r="AH119" s="163">
        <f>S118+T118+U118+V118+AF99</f>
        <v>137932733.14260346</v>
      </c>
      <c r="AI119" s="169">
        <f t="shared" si="28"/>
        <v>2.2069393148377698E-3</v>
      </c>
      <c r="AJ119" s="165"/>
      <c r="AK119" s="165"/>
    </row>
    <row r="120" spans="1:37">
      <c r="B120" s="28"/>
      <c r="C120" s="28"/>
      <c r="D120" s="28"/>
      <c r="E120" s="28"/>
      <c r="F120" s="28"/>
      <c r="G120" s="28"/>
      <c r="H120" s="28"/>
      <c r="I120" s="28"/>
      <c r="J120" s="28"/>
      <c r="K120" s="28"/>
      <c r="L120" s="28"/>
      <c r="M120" s="28"/>
      <c r="N120" s="28"/>
      <c r="O120" s="28"/>
      <c r="P120" s="78" t="s">
        <v>114</v>
      </c>
      <c r="Q120" s="44">
        <v>855043</v>
      </c>
      <c r="R120" s="35">
        <f t="shared" si="17"/>
        <v>1.5313895081248762E-2</v>
      </c>
      <c r="S120" s="26">
        <f t="shared" si="18"/>
        <v>9564625.0016466118</v>
      </c>
      <c r="T120" s="26">
        <f t="shared" si="19"/>
        <v>4488289.5680811182</v>
      </c>
      <c r="U120" s="26">
        <f t="shared" si="20"/>
        <v>10238694.588765251</v>
      </c>
      <c r="V120" s="26">
        <f t="shared" si="21"/>
        <v>332999449.63061273</v>
      </c>
      <c r="W120" s="28"/>
      <c r="X120" s="28"/>
      <c r="Y120" s="28"/>
      <c r="Z120" s="28"/>
      <c r="AA120" s="28"/>
      <c r="AB120" s="28"/>
      <c r="AC120" s="28"/>
      <c r="AD120" s="28"/>
      <c r="AE120" s="28"/>
      <c r="AF120" s="28"/>
      <c r="AG120" s="78" t="s">
        <v>130</v>
      </c>
      <c r="AH120" s="163">
        <f>S119+T119+U119+V119</f>
        <v>224657080.18188941</v>
      </c>
      <c r="AI120" s="169">
        <f t="shared" si="28"/>
        <v>3.5945386661589548E-3</v>
      </c>
      <c r="AJ120" s="165"/>
      <c r="AK120" s="165"/>
    </row>
    <row r="121" spans="1:37">
      <c r="B121" s="28"/>
      <c r="C121" s="28"/>
      <c r="D121" s="28"/>
      <c r="E121" s="28"/>
      <c r="F121" s="28"/>
      <c r="G121" s="28"/>
      <c r="H121" s="28"/>
      <c r="I121" s="28"/>
      <c r="J121" s="28"/>
      <c r="K121" s="28"/>
      <c r="L121" s="28"/>
      <c r="M121" s="28"/>
      <c r="N121" s="28"/>
      <c r="O121" s="28"/>
      <c r="P121" s="78" t="s">
        <v>112</v>
      </c>
      <c r="Q121" s="44">
        <v>4202</v>
      </c>
      <c r="R121" s="35">
        <f t="shared" si="17"/>
        <v>7.5258188338372801E-5</v>
      </c>
      <c r="S121" s="26">
        <f t="shared" si="18"/>
        <v>47004.132256411736</v>
      </c>
      <c r="T121" s="26">
        <f t="shared" si="19"/>
        <v>22057.127846291776</v>
      </c>
      <c r="U121" s="26">
        <f t="shared" si="20"/>
        <v>50316.761451753395</v>
      </c>
      <c r="V121" s="26">
        <f t="shared" si="21"/>
        <v>1636483.4135216996</v>
      </c>
      <c r="W121" s="28"/>
      <c r="X121" s="28"/>
      <c r="Y121" s="28"/>
      <c r="Z121" s="28"/>
      <c r="AA121" s="28"/>
      <c r="AB121" s="28"/>
      <c r="AC121" s="28"/>
      <c r="AD121" s="28"/>
      <c r="AE121" s="28"/>
      <c r="AF121" s="28"/>
      <c r="AG121" s="78" t="s">
        <v>114</v>
      </c>
      <c r="AH121" s="163">
        <f>S120+T120+U120+V120+Z96+AA96+AB96+AF100</f>
        <v>640785351.32533407</v>
      </c>
      <c r="AI121" s="169">
        <f t="shared" si="28"/>
        <v>1.0252638021389386E-2</v>
      </c>
      <c r="AJ121" s="165"/>
      <c r="AK121" s="165"/>
    </row>
    <row r="122" spans="1:37">
      <c r="B122" s="28"/>
      <c r="C122" s="28"/>
      <c r="D122" s="28"/>
      <c r="E122" s="28"/>
      <c r="F122" s="28"/>
      <c r="G122" s="28"/>
      <c r="H122" s="28"/>
      <c r="I122" s="28"/>
      <c r="J122" s="28"/>
      <c r="K122" s="28"/>
      <c r="L122" s="28"/>
      <c r="M122" s="28"/>
      <c r="N122" s="28"/>
      <c r="O122" s="28"/>
      <c r="P122" s="78" t="s">
        <v>100</v>
      </c>
      <c r="Q122" s="44">
        <v>920928</v>
      </c>
      <c r="R122" s="35">
        <f t="shared" si="17"/>
        <v>1.6493901206587575E-2</v>
      </c>
      <c r="S122" s="26">
        <f t="shared" si="18"/>
        <v>10301623.396152487</v>
      </c>
      <c r="T122" s="26">
        <f t="shared" si="19"/>
        <v>4834132.9446049007</v>
      </c>
      <c r="U122" s="26">
        <f t="shared" si="20"/>
        <v>11027633.148557914</v>
      </c>
      <c r="V122" s="26">
        <f t="shared" si="21"/>
        <v>358658590.44448167</v>
      </c>
      <c r="W122" s="28"/>
      <c r="X122" s="28"/>
      <c r="Y122" s="28"/>
      <c r="Z122" s="28"/>
      <c r="AA122" s="28"/>
      <c r="AB122" s="28"/>
      <c r="AC122" s="28"/>
      <c r="AD122" s="28"/>
      <c r="AE122" s="28"/>
      <c r="AF122" s="28"/>
      <c r="AG122" s="78" t="s">
        <v>112</v>
      </c>
      <c r="AH122" s="163">
        <f>S121+T121+U121+V121+Z97+AA97+AB97</f>
        <v>7709172.7288518958</v>
      </c>
      <c r="AI122" s="169">
        <f t="shared" si="28"/>
        <v>1.2334763469515697E-4</v>
      </c>
      <c r="AJ122" s="165"/>
      <c r="AK122" s="165"/>
    </row>
    <row r="123" spans="1:37">
      <c r="A123" s="30"/>
      <c r="B123" s="28"/>
      <c r="C123" s="28"/>
      <c r="D123" s="28"/>
      <c r="E123" s="28"/>
      <c r="F123" s="28"/>
      <c r="G123" s="28"/>
      <c r="H123" s="28"/>
      <c r="I123" s="28"/>
      <c r="J123" s="28"/>
      <c r="K123" s="28"/>
      <c r="L123" s="28"/>
      <c r="M123" s="28"/>
      <c r="N123" s="28"/>
      <c r="O123" s="28"/>
      <c r="P123" s="78" t="s">
        <v>20</v>
      </c>
      <c r="Q123" s="45">
        <v>1926795</v>
      </c>
      <c r="R123" s="35">
        <f t="shared" si="17"/>
        <v>3.4509067348747029E-2</v>
      </c>
      <c r="S123" s="26">
        <f t="shared" si="18"/>
        <v>21553385.771297678</v>
      </c>
      <c r="T123" s="26">
        <f t="shared" si="19"/>
        <v>10114127.474677715</v>
      </c>
      <c r="U123" s="26">
        <f t="shared" si="20"/>
        <v>23072366.582920317</v>
      </c>
      <c r="V123" s="26">
        <f t="shared" si="21"/>
        <v>750396967.81450331</v>
      </c>
      <c r="W123" s="28"/>
      <c r="X123" s="28"/>
      <c r="Y123" s="28"/>
      <c r="Z123" s="28"/>
      <c r="AA123" s="28"/>
      <c r="AB123" s="28"/>
      <c r="AC123" s="28"/>
      <c r="AD123" s="28"/>
      <c r="AE123" s="28"/>
      <c r="AF123" s="28"/>
      <c r="AG123" s="78" t="s">
        <v>100</v>
      </c>
      <c r="AH123" s="163">
        <f>S122+T122+U122+V122+Z98+AA98+AB98+AF101</f>
        <v>511980793.00752848</v>
      </c>
      <c r="AI123" s="169">
        <f t="shared" si="28"/>
        <v>8.1917505351101899E-3</v>
      </c>
      <c r="AJ123" s="165"/>
      <c r="AK123" s="165"/>
    </row>
    <row r="124" spans="1:37">
      <c r="A124" s="30"/>
      <c r="B124" s="28"/>
      <c r="C124" s="28"/>
      <c r="D124" s="28"/>
      <c r="E124" s="28"/>
      <c r="F124" s="28"/>
      <c r="G124" s="28"/>
      <c r="H124" s="28"/>
      <c r="I124" s="28"/>
      <c r="J124" s="28"/>
      <c r="K124" s="28"/>
      <c r="L124" s="28"/>
      <c r="M124" s="28"/>
      <c r="N124" s="28"/>
      <c r="O124" s="28"/>
      <c r="P124" s="79" t="s">
        <v>113</v>
      </c>
      <c r="Q124" s="44">
        <v>280080</v>
      </c>
      <c r="R124" s="35">
        <f t="shared" si="17"/>
        <v>5.0162573512164341E-3</v>
      </c>
      <c r="S124" s="26">
        <f t="shared" si="18"/>
        <v>3133012.2233164683</v>
      </c>
      <c r="T124" s="26">
        <f t="shared" si="19"/>
        <v>1470195.2325534034</v>
      </c>
      <c r="U124" s="26">
        <f t="shared" si="20"/>
        <v>3353812.1245614211</v>
      </c>
      <c r="V124" s="26">
        <f t="shared" si="21"/>
        <v>109078123.38390236</v>
      </c>
      <c r="W124" s="28"/>
      <c r="X124" s="28"/>
      <c r="Y124" s="28"/>
      <c r="Z124" s="28"/>
      <c r="AA124" s="28"/>
      <c r="AB124" s="28"/>
      <c r="AC124" s="28"/>
      <c r="AD124" s="28"/>
      <c r="AE124" s="28"/>
      <c r="AF124" s="28"/>
      <c r="AG124" s="78" t="s">
        <v>20</v>
      </c>
      <c r="AH124" s="163">
        <f>S123+T123+U123+V123+AF102</f>
        <v>2815060582.5354385</v>
      </c>
      <c r="AI124" s="169">
        <f t="shared" si="28"/>
        <v>4.5041287384804667E-2</v>
      </c>
      <c r="AJ124" s="165"/>
      <c r="AK124" s="165"/>
    </row>
    <row r="125" spans="1:37">
      <c r="A125" s="30"/>
      <c r="B125" s="28"/>
      <c r="C125" s="28"/>
      <c r="D125" s="28"/>
      <c r="E125" s="28"/>
      <c r="F125" s="28"/>
      <c r="G125" s="28"/>
      <c r="H125" s="28"/>
      <c r="I125" s="28"/>
      <c r="J125" s="28"/>
      <c r="K125" s="28"/>
      <c r="L125" s="28"/>
      <c r="M125" s="28"/>
      <c r="N125" s="28"/>
      <c r="O125" s="28"/>
      <c r="P125" s="78" t="s">
        <v>256</v>
      </c>
      <c r="Q125" s="44">
        <v>125235</v>
      </c>
      <c r="R125" s="35">
        <f t="shared" si="17"/>
        <v>2.2429698278334407E-3</v>
      </c>
      <c r="S125" s="26">
        <f t="shared" si="18"/>
        <v>1400895.4076943654</v>
      </c>
      <c r="T125" s="26">
        <f t="shared" si="19"/>
        <v>657383.2474608164</v>
      </c>
      <c r="U125" s="26">
        <f t="shared" si="20"/>
        <v>1499623.8982413937</v>
      </c>
      <c r="V125" s="26">
        <f t="shared" si="21"/>
        <v>48773203.306137569</v>
      </c>
      <c r="W125" s="28"/>
      <c r="X125" s="28"/>
      <c r="Y125" s="28"/>
      <c r="Z125" s="28"/>
      <c r="AA125" s="28"/>
      <c r="AB125" s="28"/>
      <c r="AC125" s="28"/>
      <c r="AD125" s="28"/>
      <c r="AE125" s="28"/>
      <c r="AF125" s="28"/>
      <c r="AG125" s="79" t="s">
        <v>113</v>
      </c>
      <c r="AH125" s="163">
        <f>S124+T124+U124+V124</f>
        <v>117035142.96433365</v>
      </c>
      <c r="AI125" s="169">
        <f t="shared" si="28"/>
        <v>1.8725755108369468E-3</v>
      </c>
      <c r="AJ125" s="165"/>
      <c r="AK125" s="165"/>
    </row>
    <row r="126" spans="1:37">
      <c r="A126" s="30"/>
      <c r="B126" s="28"/>
      <c r="C126" s="28"/>
      <c r="D126" s="28"/>
      <c r="E126" s="28"/>
      <c r="F126" s="28"/>
      <c r="G126" s="28"/>
      <c r="H126" s="28"/>
      <c r="I126" s="28"/>
      <c r="J126" s="28"/>
      <c r="K126" s="28"/>
      <c r="L126" s="28"/>
      <c r="M126" s="28"/>
      <c r="N126" s="28"/>
      <c r="O126" s="28"/>
      <c r="P126" s="78" t="s">
        <v>27</v>
      </c>
      <c r="Q126" s="126">
        <f>SUM(Q78:Q125)</f>
        <v>55834455.928000003</v>
      </c>
      <c r="R126" s="28"/>
      <c r="S126" s="28"/>
      <c r="T126" s="28"/>
      <c r="U126" s="28"/>
      <c r="V126" s="28"/>
      <c r="W126" s="28"/>
      <c r="X126" s="28"/>
      <c r="Y126" s="28"/>
      <c r="Z126" s="28"/>
      <c r="AA126" s="28"/>
      <c r="AB126" s="28"/>
      <c r="AC126" s="28"/>
      <c r="AD126" s="28"/>
      <c r="AE126" s="28"/>
      <c r="AF126" s="28"/>
      <c r="AG126" s="78" t="s">
        <v>256</v>
      </c>
      <c r="AH126" s="163">
        <f>S125+T125+U125+V125</f>
        <v>52331105.859534144</v>
      </c>
      <c r="AI126" s="169">
        <f t="shared" si="28"/>
        <v>8.3730360646838405E-4</v>
      </c>
      <c r="AJ126" s="165"/>
      <c r="AK126" s="165"/>
    </row>
    <row r="127" spans="1:37">
      <c r="A127" s="39"/>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88" t="s">
        <v>27</v>
      </c>
      <c r="AH127" s="170">
        <f>SUM(AH78:AH126)</f>
        <v>62499558649.052742</v>
      </c>
      <c r="AI127" s="168"/>
      <c r="AJ127" s="165"/>
      <c r="AK127" s="165"/>
    </row>
    <row r="128" spans="1:37">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78"/>
      <c r="AH128" s="163"/>
      <c r="AI128" s="43"/>
      <c r="AJ128" s="165"/>
      <c r="AK128" s="165"/>
    </row>
    <row r="129" spans="1:37">
      <c r="A129" s="129" t="s">
        <v>1007</v>
      </c>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78"/>
      <c r="AH129" s="163"/>
      <c r="AI129" s="43"/>
      <c r="AJ129" s="165"/>
      <c r="AK129" s="165"/>
    </row>
    <row r="130" spans="1:37" ht="48">
      <c r="A130" t="s">
        <v>0</v>
      </c>
      <c r="B130" s="23" t="s">
        <v>1</v>
      </c>
      <c r="C130" s="23" t="s">
        <v>558</v>
      </c>
      <c r="D130" s="23" t="s">
        <v>3</v>
      </c>
      <c r="E130" s="23"/>
      <c r="F130" s="61" t="s">
        <v>8</v>
      </c>
      <c r="G130" s="61" t="s">
        <v>279</v>
      </c>
      <c r="H130" s="61" t="s">
        <v>280</v>
      </c>
      <c r="I130" s="61" t="s">
        <v>281</v>
      </c>
      <c r="J130" s="61" t="s">
        <v>282</v>
      </c>
      <c r="K130" s="61" t="s">
        <v>283</v>
      </c>
      <c r="L130" s="61" t="s">
        <v>284</v>
      </c>
      <c r="M130" s="61" t="s">
        <v>285</v>
      </c>
      <c r="N130" s="61" t="s">
        <v>286</v>
      </c>
      <c r="O130" s="23"/>
      <c r="P130" s="114" t="s">
        <v>1038</v>
      </c>
      <c r="Q130" s="114" t="s">
        <v>424</v>
      </c>
      <c r="R130" s="114" t="s">
        <v>429</v>
      </c>
      <c r="S130" s="115" t="s">
        <v>430</v>
      </c>
      <c r="T130" s="28"/>
      <c r="U130" s="28"/>
      <c r="V130" s="28"/>
      <c r="W130" s="28"/>
      <c r="X130" s="28"/>
      <c r="Y130" s="28"/>
      <c r="Z130" s="28"/>
      <c r="AA130" s="28"/>
      <c r="AB130" s="28"/>
      <c r="AC130" s="28"/>
      <c r="AD130" s="28"/>
      <c r="AE130" s="28"/>
      <c r="AF130" s="28"/>
      <c r="AG130" s="78"/>
      <c r="AH130" s="163"/>
      <c r="AI130" s="43"/>
      <c r="AJ130" s="165"/>
      <c r="AK130" s="165"/>
    </row>
    <row r="131" spans="1:37" ht="32" customHeight="1">
      <c r="A131" s="67" t="s">
        <v>1026</v>
      </c>
      <c r="B131" s="82">
        <f>'[1]Weight%'!B44</f>
        <v>3.1428571428571431E-2</v>
      </c>
      <c r="C131" s="28" t="s">
        <v>33</v>
      </c>
      <c r="D131" s="171" t="s">
        <v>208</v>
      </c>
      <c r="E131" s="28"/>
      <c r="F131" s="28">
        <v>2009</v>
      </c>
      <c r="G131" s="41"/>
      <c r="H131" s="41"/>
      <c r="I131" s="41">
        <f>I132/data_1tier!N14</f>
        <v>12455899.547957826</v>
      </c>
      <c r="J131" s="41">
        <f>J132/data_1tier!T14</f>
        <v>2830185198.6571422</v>
      </c>
      <c r="K131" s="41"/>
      <c r="L131" s="41"/>
      <c r="M131" s="41">
        <f>M132/data_1tier!AJ19</f>
        <v>123801875.70922978</v>
      </c>
      <c r="N131" s="41">
        <f>N132/data_1tier!AK19</f>
        <v>3421611695.3863239</v>
      </c>
      <c r="O131" s="28"/>
      <c r="P131" s="130">
        <v>100</v>
      </c>
      <c r="Q131" s="34">
        <f>[2]Production!$AG$3</f>
        <v>1.297676483901355E-2</v>
      </c>
      <c r="R131" s="35">
        <f>Q131/$Q$154</f>
        <v>1.4473144797606023E-2</v>
      </c>
      <c r="S131" s="66">
        <f>R131*$B$145</f>
        <v>132581101.72519161</v>
      </c>
      <c r="T131" s="28"/>
      <c r="U131" s="28"/>
      <c r="V131" s="28"/>
      <c r="W131" s="28"/>
      <c r="X131" s="28"/>
      <c r="Y131" s="28"/>
      <c r="Z131" s="28"/>
      <c r="AA131" s="28"/>
      <c r="AB131" s="28"/>
      <c r="AC131" s="28"/>
      <c r="AD131" s="28"/>
      <c r="AE131" s="28"/>
      <c r="AF131" s="28"/>
      <c r="AG131" s="78"/>
      <c r="AH131" s="163"/>
      <c r="AI131" s="43"/>
      <c r="AJ131" s="165"/>
      <c r="AK131" s="165"/>
    </row>
    <row r="132" spans="1:37">
      <c r="A132" s="67" t="s">
        <v>1027</v>
      </c>
      <c r="B132" s="82">
        <f>'[1]Weight%'!B45</f>
        <v>2.4043589986972917E-2</v>
      </c>
      <c r="C132" s="28" t="s">
        <v>33</v>
      </c>
      <c r="D132" s="171"/>
      <c r="E132" s="28"/>
      <c r="F132" s="28">
        <v>2010</v>
      </c>
      <c r="G132" s="41"/>
      <c r="H132" s="41"/>
      <c r="I132" s="41">
        <f>I133/data_1tier!N15</f>
        <v>11766701.513570132</v>
      </c>
      <c r="J132" s="41">
        <f>J133/data_1tier!T15</f>
        <v>3450274023.1142845</v>
      </c>
      <c r="K132" s="41"/>
      <c r="L132" s="41">
        <f>L133/data_1tier!AD15</f>
        <v>1659729.1485280842</v>
      </c>
      <c r="M132" s="41">
        <f>M133/data_1tier!AJ20</f>
        <v>171184666.43065301</v>
      </c>
      <c r="N132" s="41">
        <f>N133/data_1tier!AK20</f>
        <v>4731167871.039464</v>
      </c>
      <c r="O132" s="28"/>
      <c r="P132" s="130">
        <v>156</v>
      </c>
      <c r="Q132" s="34">
        <f>[2]Production!$AT$3</f>
        <v>6.904290438851847E-2</v>
      </c>
      <c r="R132" s="35">
        <f t="shared" ref="R132:R153" si="30">Q132/$Q$154</f>
        <v>7.7004397078852913E-2</v>
      </c>
      <c r="S132" s="66">
        <f t="shared" ref="S132:S153" si="31">R132*$B$145</f>
        <v>705398028.22170019</v>
      </c>
      <c r="T132" s="28"/>
      <c r="U132" s="28"/>
      <c r="V132" s="28"/>
      <c r="W132" s="28"/>
      <c r="X132" s="28"/>
      <c r="Y132" s="28"/>
      <c r="Z132" s="28"/>
      <c r="AA132" s="28"/>
      <c r="AB132" s="28"/>
      <c r="AC132" s="28"/>
      <c r="AD132" s="28"/>
      <c r="AE132" s="28"/>
      <c r="AF132" s="28"/>
      <c r="AG132" s="78"/>
      <c r="AH132" s="163"/>
      <c r="AI132" s="43"/>
      <c r="AJ132" s="165"/>
      <c r="AK132" s="165"/>
    </row>
    <row r="133" spans="1:37">
      <c r="A133" s="67" t="s">
        <v>1028</v>
      </c>
      <c r="B133" s="82">
        <f>'[1]Weight%'!B46</f>
        <v>2.6819548688892941E-2</v>
      </c>
      <c r="C133" s="28" t="s">
        <v>33</v>
      </c>
      <c r="D133" s="171"/>
      <c r="E133" s="28"/>
      <c r="F133" s="28">
        <v>2011</v>
      </c>
      <c r="G133" s="41">
        <f>G134/data_1tier!D13</f>
        <v>2271965.1428571437</v>
      </c>
      <c r="H133" s="41"/>
      <c r="I133" s="41">
        <f>I134/data_1tier!N16</f>
        <v>11534851.87906439</v>
      </c>
      <c r="J133" s="41">
        <f>J134/data_1tier!T16</f>
        <v>3548485587.5857134</v>
      </c>
      <c r="K133" s="41"/>
      <c r="L133" s="41">
        <f>L134/data_1tier!AD16</f>
        <v>1441137.0603544328</v>
      </c>
      <c r="M133" s="41">
        <f>M134/data_1tier!AJ21</f>
        <v>176844991.96847188</v>
      </c>
      <c r="N133" s="41">
        <f>N134/data_1tier!AK21</f>
        <v>4887606826.014451</v>
      </c>
      <c r="O133" s="28"/>
      <c r="P133" s="130">
        <v>203</v>
      </c>
      <c r="Q133" s="34">
        <f>[2]Production!$BG$3</f>
        <v>2.737604474480259E-2</v>
      </c>
      <c r="R133" s="35">
        <f t="shared" si="30"/>
        <v>3.0532838075794894E-2</v>
      </c>
      <c r="S133" s="66">
        <f t="shared" si="31"/>
        <v>279695765.32913232</v>
      </c>
      <c r="T133" s="28"/>
      <c r="U133" s="28"/>
      <c r="V133" s="28"/>
      <c r="W133" s="28"/>
      <c r="X133" s="28"/>
      <c r="Y133" s="28"/>
      <c r="Z133" s="28"/>
      <c r="AA133" s="28"/>
      <c r="AB133" s="28"/>
      <c r="AC133" s="28"/>
      <c r="AD133" s="28"/>
      <c r="AE133" s="28"/>
      <c r="AF133" s="28"/>
      <c r="AG133" s="78"/>
      <c r="AH133" s="163"/>
      <c r="AI133" s="43"/>
      <c r="AJ133" s="165"/>
      <c r="AK133" s="165"/>
    </row>
    <row r="134" spans="1:37">
      <c r="A134" s="67" t="s">
        <v>1029</v>
      </c>
      <c r="B134" s="82">
        <f>'[1]Weight%'!B47</f>
        <v>2.5301896824412792E-2</v>
      </c>
      <c r="C134" s="28" t="s">
        <v>33</v>
      </c>
      <c r="D134" s="171"/>
      <c r="E134" s="28"/>
      <c r="F134" s="28">
        <v>2012</v>
      </c>
      <c r="G134" s="41">
        <f>G135/data_1tier!D14</f>
        <v>3346822.2857142868</v>
      </c>
      <c r="H134" s="41">
        <f>H135/data_1tier!I14</f>
        <v>2336113.6728782682</v>
      </c>
      <c r="I134" s="41">
        <f>I135/data_1tier!N17</f>
        <v>18638256.089165624</v>
      </c>
      <c r="J134" s="41">
        <f>J135/data_1tier!T17</f>
        <v>3737100093.2571421</v>
      </c>
      <c r="K134" s="41"/>
      <c r="L134" s="41">
        <f>L135/data_1tier!AD17</f>
        <v>2678080.3137921612</v>
      </c>
      <c r="M134" s="41">
        <f>M135/data_1tier!AJ22</f>
        <v>187212164.09131137</v>
      </c>
      <c r="N134" s="41">
        <f>N135/data_1tier!AK22</f>
        <v>5174132673.7076139</v>
      </c>
      <c r="O134" s="28"/>
      <c r="P134" s="121">
        <v>276</v>
      </c>
      <c r="Q134" s="34">
        <f>[2]Production!$CE$3</f>
        <v>3.7766186146627211E-2</v>
      </c>
      <c r="R134" s="35">
        <f t="shared" si="30"/>
        <v>4.2121090066314912E-2</v>
      </c>
      <c r="S134" s="66">
        <f t="shared" si="31"/>
        <v>385849834.6386869</v>
      </c>
      <c r="T134" s="28"/>
      <c r="U134" s="28"/>
      <c r="V134" s="28"/>
      <c r="W134" s="28"/>
      <c r="X134" s="28"/>
      <c r="Y134" s="28"/>
      <c r="Z134" s="28"/>
      <c r="AA134" s="28"/>
      <c r="AB134" s="28"/>
      <c r="AC134" s="28"/>
      <c r="AD134" s="28"/>
      <c r="AE134" s="28"/>
      <c r="AF134" s="28"/>
      <c r="AG134" s="78"/>
      <c r="AH134" s="163"/>
      <c r="AI134" s="43"/>
      <c r="AJ134" s="165"/>
      <c r="AK134" s="165"/>
    </row>
    <row r="135" spans="1:37">
      <c r="A135" s="67" t="s">
        <v>1030</v>
      </c>
      <c r="B135" s="82">
        <f>'[1]Weight%'!B48</f>
        <v>3.1165110945772945E-2</v>
      </c>
      <c r="C135" s="28" t="s">
        <v>33</v>
      </c>
      <c r="D135" s="171"/>
      <c r="E135" s="28"/>
      <c r="F135" s="28">
        <v>2013</v>
      </c>
      <c r="G135" s="41">
        <f>G136/data_1tier!D15</f>
        <v>6413220.0000000019</v>
      </c>
      <c r="H135" s="41">
        <f>H136/data_1tier!I15</f>
        <v>3525713.5659457301</v>
      </c>
      <c r="I135" s="41">
        <f>I136/data_1tier!N18</f>
        <v>21263997.184002999</v>
      </c>
      <c r="J135" s="41">
        <f>J136/data_1tier!T18</f>
        <v>3894945517.7285709</v>
      </c>
      <c r="K135" s="41"/>
      <c r="L135" s="41">
        <f>L136/data_1tier!AD18</f>
        <v>3816853.4677507048</v>
      </c>
      <c r="M135" s="41">
        <f>M136/data_1tier!AJ23</f>
        <v>193366520.99996221</v>
      </c>
      <c r="N135" s="41">
        <f>N136/data_1tier!AK23</f>
        <v>5344225569.7609768</v>
      </c>
      <c r="O135" s="28"/>
      <c r="P135" s="121">
        <v>340</v>
      </c>
      <c r="Q135" s="34">
        <f>[2]Production!$CS$3</f>
        <v>1.1175623192785478E-2</v>
      </c>
      <c r="R135" s="35">
        <f t="shared" si="30"/>
        <v>1.2464309454571559E-2</v>
      </c>
      <c r="S135" s="66">
        <f t="shared" si="31"/>
        <v>114179185.16258898</v>
      </c>
      <c r="T135" s="28"/>
      <c r="U135" s="28"/>
      <c r="V135" s="28"/>
      <c r="W135" s="28"/>
      <c r="X135" s="28"/>
      <c r="Y135" s="28"/>
      <c r="Z135" s="28"/>
      <c r="AA135" s="28"/>
      <c r="AB135" s="28"/>
      <c r="AC135" s="28"/>
      <c r="AD135" s="28"/>
      <c r="AE135" s="28"/>
      <c r="AF135" s="28"/>
      <c r="AG135" s="78"/>
      <c r="AH135" s="163"/>
      <c r="AI135" s="43"/>
      <c r="AJ135" s="165"/>
      <c r="AK135" s="165"/>
    </row>
    <row r="136" spans="1:37">
      <c r="A136" s="67" t="s">
        <v>1031</v>
      </c>
      <c r="B136" s="82">
        <f>'[1]Weight%'!B49</f>
        <v>2.4992502667001974E-2</v>
      </c>
      <c r="C136" s="28" t="s">
        <v>33</v>
      </c>
      <c r="D136" s="171"/>
      <c r="E136" s="28"/>
      <c r="F136" s="28">
        <v>2014</v>
      </c>
      <c r="G136" s="41">
        <f>G137/data_1tier!D16</f>
        <v>10956584.571428575</v>
      </c>
      <c r="H136" s="41">
        <f>H137/data_1tier!I16</f>
        <v>5168987.1497593867</v>
      </c>
      <c r="I136" s="41">
        <f>I137/data_1tier!N19</f>
        <v>19045012.092400853</v>
      </c>
      <c r="J136" s="41">
        <f>J137/data_1tier!T19</f>
        <v>4015601416.3571424</v>
      </c>
      <c r="K136" s="41"/>
      <c r="L136" s="41">
        <f>L137/data_1tier!AD19</f>
        <v>7546880.9364064867</v>
      </c>
      <c r="M136" s="41">
        <f>M137/data_1tier!AJ24</f>
        <v>194639386.7296153</v>
      </c>
      <c r="N136" s="41">
        <f>N137/data_1tier!AK24</f>
        <v>5379404780.4335728</v>
      </c>
      <c r="O136" s="28"/>
      <c r="P136" s="121">
        <v>348</v>
      </c>
      <c r="Q136" s="34">
        <f>[2]Production!$CU$3</f>
        <v>1.5347537482006726E-2</v>
      </c>
      <c r="R136" s="35">
        <f t="shared" si="30"/>
        <v>1.7117296569632099E-2</v>
      </c>
      <c r="S136" s="66">
        <f t="shared" si="31"/>
        <v>156802828.23771992</v>
      </c>
      <c r="T136" s="28"/>
      <c r="U136" s="28"/>
      <c r="V136" s="28"/>
      <c r="W136" s="28"/>
      <c r="X136" s="28"/>
      <c r="Y136" s="28"/>
      <c r="Z136" s="28"/>
      <c r="AA136" s="28"/>
      <c r="AB136" s="28"/>
      <c r="AC136" s="28"/>
      <c r="AD136" s="28"/>
      <c r="AE136" s="28"/>
      <c r="AF136" s="28"/>
      <c r="AG136" s="78"/>
      <c r="AH136" s="163"/>
      <c r="AI136" s="43"/>
      <c r="AJ136" s="165"/>
      <c r="AK136" s="165"/>
    </row>
    <row r="137" spans="1:37" ht="32">
      <c r="A137" s="67" t="s">
        <v>1008</v>
      </c>
      <c r="B137" s="65">
        <f>B131*data_1tier!B7</f>
        <v>114010266.85714287</v>
      </c>
      <c r="C137" s="28" t="s">
        <v>7</v>
      </c>
      <c r="D137" s="172"/>
      <c r="E137" s="28"/>
      <c r="F137" s="28">
        <v>2015</v>
      </c>
      <c r="G137" s="41">
        <f>G138/data_1tier!D17</f>
        <v>18596895.428571433</v>
      </c>
      <c r="H137" s="41">
        <f>H138/data_1tier!I17</f>
        <v>8588678.1012985613</v>
      </c>
      <c r="I137" s="41">
        <f>I138/data_1tier!N20</f>
        <v>19780640.12947876</v>
      </c>
      <c r="J137" s="41">
        <f>J138/data_1tier!T20</f>
        <v>4060476755.0285711</v>
      </c>
      <c r="K137" s="41">
        <f>K138/data_1tier!Y15</f>
        <v>22771707.141971514</v>
      </c>
      <c r="L137" s="41">
        <f>L138/data_1tier!AD20</f>
        <v>10057417.613754174</v>
      </c>
      <c r="M137" s="41">
        <f>M138/data_1tier!AJ25</f>
        <v>196821997.25531805</v>
      </c>
      <c r="N137" s="41">
        <f>N138/data_1tier!AK25</f>
        <v>5439727337.4096708</v>
      </c>
      <c r="O137" s="28"/>
      <c r="P137" s="121">
        <v>360</v>
      </c>
      <c r="Q137" s="34">
        <f>[2]Production!$CW$3</f>
        <v>2.3948909827776522E-2</v>
      </c>
      <c r="R137" s="35">
        <f t="shared" si="30"/>
        <v>2.6710512518509054E-2</v>
      </c>
      <c r="S137" s="66">
        <f t="shared" si="31"/>
        <v>244681389.35044819</v>
      </c>
      <c r="T137" s="28"/>
      <c r="U137" s="28"/>
      <c r="V137" s="28"/>
      <c r="W137" s="28"/>
      <c r="X137" s="28"/>
      <c r="Y137" s="28"/>
      <c r="Z137" s="28"/>
      <c r="AA137" s="28"/>
      <c r="AB137" s="28"/>
      <c r="AC137" s="28"/>
      <c r="AD137" s="28"/>
      <c r="AE137" s="28"/>
      <c r="AF137" s="28"/>
      <c r="AG137" s="78"/>
      <c r="AH137" s="163"/>
      <c r="AI137" s="43"/>
      <c r="AJ137" s="165"/>
      <c r="AK137" s="165"/>
    </row>
    <row r="138" spans="1:37" ht="32">
      <c r="A138" s="67" t="s">
        <v>1009</v>
      </c>
      <c r="B138" s="65">
        <f>B132*data_1tier!G7</f>
        <v>37621640.003392182</v>
      </c>
      <c r="C138" s="28" t="s">
        <v>7</v>
      </c>
      <c r="D138" s="172"/>
      <c r="E138" s="28"/>
      <c r="F138" s="28">
        <v>2016</v>
      </c>
      <c r="G138" s="41">
        <f>G139/data_1tier!D18</f>
        <v>26343617.142857149</v>
      </c>
      <c r="H138" s="41">
        <f>H139/data_1tier!I18</f>
        <v>11079478.614717018</v>
      </c>
      <c r="I138" s="41">
        <f>I139/data_1tier!N21</f>
        <v>31139162.398042567</v>
      </c>
      <c r="J138" s="41">
        <f>J139/data_1tier!T21</f>
        <v>4271731984.9285712</v>
      </c>
      <c r="K138" s="41">
        <f>K139/data_1tier!Y16</f>
        <v>34157560.71295727</v>
      </c>
      <c r="L138" s="41">
        <f>L139/data_1tier!AD21</f>
        <v>14834592.810187927</v>
      </c>
      <c r="M138" s="41">
        <f>M139/data_1tier!AJ26</f>
        <v>202397765.96032962</v>
      </c>
      <c r="N138" s="41">
        <f>N139/data_1tier!AK26</f>
        <v>5593829327.4041128</v>
      </c>
      <c r="O138" s="28"/>
      <c r="P138" s="121">
        <v>410</v>
      </c>
      <c r="Q138" s="34">
        <f>[2]Production!$DJ$3</f>
        <v>1.384712033871709E-2</v>
      </c>
      <c r="R138" s="35">
        <f t="shared" si="30"/>
        <v>1.5443862948768856E-2</v>
      </c>
      <c r="S138" s="66">
        <f t="shared" si="31"/>
        <v>141473355.87904334</v>
      </c>
      <c r="T138" s="28"/>
      <c r="U138" s="28"/>
      <c r="V138" s="28"/>
      <c r="W138" s="28"/>
      <c r="X138" s="28"/>
      <c r="Y138" s="28"/>
      <c r="Z138" s="28"/>
      <c r="AA138" s="28"/>
      <c r="AB138" s="28"/>
      <c r="AC138" s="28"/>
      <c r="AD138" s="28"/>
      <c r="AE138" s="28"/>
      <c r="AF138" s="28"/>
      <c r="AG138" s="78"/>
      <c r="AH138" s="163"/>
      <c r="AI138" s="43"/>
      <c r="AJ138" s="165"/>
      <c r="AK138" s="165"/>
    </row>
    <row r="139" spans="1:37" ht="32">
      <c r="A139" s="67" t="s">
        <v>1010</v>
      </c>
      <c r="B139" s="65">
        <f>B133*data_1tier!L7</f>
        <v>85822555.804457411</v>
      </c>
      <c r="C139" s="28" t="s">
        <v>7</v>
      </c>
      <c r="D139" s="28"/>
      <c r="E139" s="28"/>
      <c r="F139" s="28">
        <v>2017</v>
      </c>
      <c r="G139" s="41">
        <f>G140/data_1tier!D19</f>
        <v>42964472.571428582</v>
      </c>
      <c r="H139" s="41">
        <f>H140/data_1tier!I19</f>
        <v>16047153.594233477</v>
      </c>
      <c r="I139" s="41">
        <f>I140/data_1tier!N22</f>
        <v>45774568.725122571</v>
      </c>
      <c r="J139" s="41">
        <f>J140/data_1tier!T22</f>
        <v>4351774772.242857</v>
      </c>
      <c r="K139" s="41">
        <f>K140/data_1tier!Y17</f>
        <v>45543414.283943027</v>
      </c>
      <c r="L139" s="41">
        <f>L140/data_1tier!AD22</f>
        <v>16579839.023151211</v>
      </c>
      <c r="M139" s="41">
        <f>M140/data_1tier!AJ27</f>
        <v>211024854.92338589</v>
      </c>
      <c r="N139" s="41">
        <f>N140/data_1tier!AK27</f>
        <v>5832263101.7231789</v>
      </c>
      <c r="O139" s="28"/>
      <c r="P139" s="121">
        <v>484</v>
      </c>
      <c r="Q139" s="34">
        <f>[2]Production!$ED$3</f>
        <v>0.19688415052163769</v>
      </c>
      <c r="R139" s="35">
        <f t="shared" si="30"/>
        <v>0.21958730501815379</v>
      </c>
      <c r="S139" s="66">
        <f t="shared" si="31"/>
        <v>2011527365.4270411</v>
      </c>
      <c r="T139" s="28"/>
      <c r="U139" s="28"/>
      <c r="V139" s="28"/>
      <c r="W139" s="28"/>
      <c r="X139" s="28"/>
      <c r="Y139" s="28"/>
      <c r="Z139" s="28"/>
      <c r="AA139" s="28"/>
      <c r="AB139" s="28"/>
      <c r="AC139" s="28"/>
      <c r="AD139" s="28"/>
      <c r="AE139" s="28"/>
      <c r="AF139" s="28"/>
      <c r="AG139" s="78"/>
      <c r="AH139" s="163"/>
      <c r="AI139" s="43"/>
      <c r="AJ139" s="165"/>
      <c r="AK139" s="165"/>
    </row>
    <row r="140" spans="1:37" ht="32">
      <c r="A140" s="67" t="s">
        <v>1011</v>
      </c>
      <c r="B140" s="65">
        <f>B131*data_1tier!R7</f>
        <v>3307792700.4571433</v>
      </c>
      <c r="C140" s="28" t="s">
        <v>7</v>
      </c>
      <c r="D140" s="28"/>
      <c r="E140" s="28"/>
      <c r="F140" s="28">
        <v>2018</v>
      </c>
      <c r="G140" s="41">
        <f>G141/data_1tier!D20</f>
        <v>77610682.285714298</v>
      </c>
      <c r="H140" s="41">
        <f>H141/data_1tier!I20</f>
        <v>24727812.853386201</v>
      </c>
      <c r="I140" s="41">
        <f>I141/data_1tier!N23</f>
        <v>55844973.844649531</v>
      </c>
      <c r="J140" s="41">
        <f>J141/data_1tier!T23</f>
        <v>4176525929.0857143</v>
      </c>
      <c r="K140" s="41">
        <f>K141/data_1tier!Y18</f>
        <v>68315121.425914541</v>
      </c>
      <c r="L140" s="41">
        <f>L141/data_1tier!AD23</f>
        <v>19197708.34259614</v>
      </c>
      <c r="M140" s="41">
        <f>M141/data_1tier!AJ28</f>
        <v>222448735.24598303</v>
      </c>
      <c r="N140" s="41">
        <f>N141/data_1tier!AK28</f>
        <v>6147994041.1339636</v>
      </c>
      <c r="O140" s="28"/>
      <c r="P140" s="121">
        <v>504</v>
      </c>
      <c r="Q140" s="34">
        <f>[2]Production!$EI$3</f>
        <v>7.0638888971772965E-2</v>
      </c>
      <c r="R140" s="35">
        <f t="shared" si="30"/>
        <v>7.8784418236263754E-2</v>
      </c>
      <c r="S140" s="66">
        <f t="shared" si="31"/>
        <v>721703894.66910255</v>
      </c>
      <c r="T140" s="28"/>
      <c r="U140" s="28"/>
      <c r="V140" s="28"/>
      <c r="W140" s="28"/>
      <c r="X140" s="28"/>
      <c r="Y140" s="28"/>
      <c r="Z140" s="28"/>
      <c r="AA140" s="28"/>
      <c r="AB140" s="28"/>
      <c r="AC140" s="28"/>
      <c r="AD140" s="28"/>
      <c r="AE140" s="28"/>
      <c r="AF140" s="28"/>
      <c r="AG140" s="78"/>
      <c r="AH140" s="163"/>
      <c r="AI140" s="43"/>
      <c r="AJ140" s="165"/>
      <c r="AK140" s="165"/>
    </row>
    <row r="141" spans="1:37" ht="32">
      <c r="A141" s="67" t="s">
        <v>1012</v>
      </c>
      <c r="B141" s="65">
        <f>B134*data_1tier!W7</f>
        <v>71047726.282951117</v>
      </c>
      <c r="C141" s="28" t="s">
        <v>7</v>
      </c>
      <c r="D141" s="28"/>
      <c r="E141" s="28"/>
      <c r="F141" s="28">
        <v>2019</v>
      </c>
      <c r="G141" s="41">
        <f>G142/data_1tier!D21</f>
        <v>87406081.714285716</v>
      </c>
      <c r="H141" s="41">
        <f>H142/data_1tier!I21</f>
        <v>22246668.245706514</v>
      </c>
      <c r="I141" s="41">
        <f>I142/data_1tier!N24</f>
        <v>63104820.444453977</v>
      </c>
      <c r="J141" s="41">
        <f>J142/data_1tier!T24</f>
        <v>3978110225.8857145</v>
      </c>
      <c r="K141" s="41">
        <f>K142/data_1tier!Y19</f>
        <v>45543414.28394302</v>
      </c>
      <c r="L141" s="41">
        <f>L142/data_1tier!AD24</f>
        <v>20942954.555559423</v>
      </c>
      <c r="M141" s="41">
        <f>M142/data_1tier!AJ29</f>
        <v>218030656.218402</v>
      </c>
      <c r="N141" s="41">
        <f>N142/data_1tier!AK29</f>
        <v>6025888048.9160643</v>
      </c>
      <c r="O141" s="28"/>
      <c r="P141" s="121">
        <v>558</v>
      </c>
      <c r="Q141" s="34">
        <f>[2]Production!$EW$3</f>
        <v>1.5715869704523558E-2</v>
      </c>
      <c r="R141" s="35">
        <f t="shared" si="30"/>
        <v>1.7528102009681624E-2</v>
      </c>
      <c r="S141" s="66">
        <f t="shared" si="31"/>
        <v>160566007.46366653</v>
      </c>
      <c r="T141" s="28"/>
      <c r="U141" s="28"/>
      <c r="V141" s="28"/>
      <c r="W141" s="28"/>
      <c r="X141" s="28"/>
      <c r="Y141" s="28"/>
      <c r="Z141" s="28"/>
      <c r="AA141" s="28"/>
      <c r="AB141" s="28"/>
      <c r="AC141" s="28"/>
      <c r="AD141" s="28"/>
      <c r="AE141" s="28"/>
      <c r="AF141" s="28"/>
      <c r="AG141" s="78"/>
      <c r="AH141" s="163"/>
      <c r="AI141" s="43"/>
      <c r="AJ141" s="165"/>
      <c r="AK141" s="165"/>
    </row>
    <row r="142" spans="1:37" ht="32">
      <c r="A142" s="67" t="s">
        <v>1013</v>
      </c>
      <c r="B142" s="65">
        <f>B135*data_1tier!AB7</f>
        <v>22688200.768522706</v>
      </c>
      <c r="C142" s="28" t="s">
        <v>7</v>
      </c>
      <c r="D142" s="28"/>
      <c r="E142" s="28"/>
      <c r="F142" s="28">
        <v>2020</v>
      </c>
      <c r="G142" s="26">
        <f>B137</f>
        <v>114010266.85714287</v>
      </c>
      <c r="H142" s="26">
        <f>B138</f>
        <v>37621640.003392182</v>
      </c>
      <c r="I142" s="26">
        <f>B139</f>
        <v>85822555.804457411</v>
      </c>
      <c r="J142" s="26">
        <f>B140</f>
        <v>3307792700.4571433</v>
      </c>
      <c r="K142" s="26">
        <f>B141</f>
        <v>71047726.282951117</v>
      </c>
      <c r="L142" s="26">
        <f>B142</f>
        <v>22688200.768522706</v>
      </c>
      <c r="M142" s="26">
        <f>B143</f>
        <v>192804853.01236978</v>
      </c>
      <c r="N142" s="26">
        <f>B144</f>
        <v>5328702301.2784882</v>
      </c>
      <c r="O142" s="28"/>
      <c r="P142" s="121">
        <v>608</v>
      </c>
      <c r="Q142" s="34">
        <f>[2]Production!$FM$3</f>
        <v>5.0769762971266952E-2</v>
      </c>
      <c r="R142" s="35">
        <f t="shared" si="30"/>
        <v>5.6624138599951704E-2</v>
      </c>
      <c r="S142" s="66">
        <f t="shared" si="31"/>
        <v>518704869.24606138</v>
      </c>
      <c r="T142" s="28"/>
      <c r="U142" s="28"/>
      <c r="V142" s="28"/>
      <c r="W142" s="28"/>
      <c r="X142" s="28"/>
      <c r="Y142" s="28"/>
      <c r="Z142" s="28"/>
      <c r="AA142" s="28"/>
      <c r="AB142" s="28"/>
      <c r="AC142" s="28"/>
      <c r="AD142" s="28"/>
      <c r="AE142" s="28"/>
      <c r="AF142" s="28"/>
      <c r="AG142" s="78"/>
      <c r="AH142" s="163"/>
      <c r="AI142" s="43"/>
      <c r="AJ142" s="165"/>
      <c r="AK142" s="165"/>
    </row>
    <row r="143" spans="1:37" ht="32">
      <c r="A143" s="67" t="s">
        <v>1014</v>
      </c>
      <c r="B143" s="65">
        <f>B136*data_1tier!AG9</f>
        <v>192804853.01236978</v>
      </c>
      <c r="C143" s="28" t="s">
        <v>7</v>
      </c>
      <c r="D143" s="28"/>
      <c r="E143" s="28"/>
      <c r="F143" s="28"/>
      <c r="G143" s="28"/>
      <c r="H143" s="28"/>
      <c r="I143" s="28"/>
      <c r="J143" s="28"/>
      <c r="K143" s="28"/>
      <c r="L143" s="28"/>
      <c r="M143" s="28"/>
      <c r="N143" s="28"/>
      <c r="O143" s="28"/>
      <c r="P143" s="121">
        <v>616</v>
      </c>
      <c r="Q143" s="34">
        <f>[2]Production!$FO$3</f>
        <v>2.2042416255464256E-2</v>
      </c>
      <c r="R143" s="35">
        <f t="shared" si="30"/>
        <v>2.4584176881692649E-2</v>
      </c>
      <c r="S143" s="66">
        <f t="shared" si="31"/>
        <v>225203112.49293438</v>
      </c>
      <c r="T143" s="28"/>
      <c r="U143" s="28"/>
      <c r="V143" s="28"/>
      <c r="W143" s="28"/>
      <c r="X143" s="28"/>
      <c r="Y143" s="28"/>
      <c r="Z143" s="28"/>
      <c r="AA143" s="28"/>
      <c r="AB143" s="28"/>
      <c r="AC143" s="28"/>
      <c r="AD143" s="28"/>
      <c r="AE143" s="28"/>
      <c r="AF143" s="28"/>
      <c r="AG143" s="78"/>
      <c r="AH143" s="163"/>
      <c r="AI143" s="43"/>
      <c r="AJ143" s="165"/>
      <c r="AK143" s="165"/>
    </row>
    <row r="144" spans="1:37" ht="32">
      <c r="A144" s="67" t="s">
        <v>1015</v>
      </c>
      <c r="B144" s="65">
        <f>B131*data_1tier!AG11</f>
        <v>5328702301.2784882</v>
      </c>
      <c r="C144" s="28" t="s">
        <v>7</v>
      </c>
      <c r="D144" s="28"/>
      <c r="E144" s="28"/>
      <c r="F144" s="28"/>
      <c r="G144" s="28"/>
      <c r="H144" s="28"/>
      <c r="I144" s="28"/>
      <c r="J144" s="28"/>
      <c r="K144" s="28"/>
      <c r="L144" s="28"/>
      <c r="M144" s="28"/>
      <c r="N144" s="28"/>
      <c r="O144" s="28"/>
      <c r="P144" s="121">
        <v>642</v>
      </c>
      <c r="Q144" s="34">
        <f>[2]Production!$FT$3</f>
        <v>6.2488023510068942E-2</v>
      </c>
      <c r="R144" s="35">
        <f t="shared" si="30"/>
        <v>6.9693658134147601E-2</v>
      </c>
      <c r="S144" s="66">
        <f t="shared" si="31"/>
        <v>638428075.43890071</v>
      </c>
      <c r="T144" s="28"/>
      <c r="U144" s="28"/>
      <c r="V144" s="28"/>
      <c r="W144" s="28"/>
      <c r="X144" s="28"/>
      <c r="Y144" s="28"/>
      <c r="Z144" s="28"/>
      <c r="AA144" s="28"/>
      <c r="AB144" s="28"/>
      <c r="AC144" s="28"/>
      <c r="AD144" s="28"/>
      <c r="AE144" s="28"/>
      <c r="AF144" s="28"/>
      <c r="AG144" s="78"/>
      <c r="AH144" s="163"/>
      <c r="AI144" s="43"/>
      <c r="AJ144" s="165"/>
      <c r="AK144" s="165"/>
    </row>
    <row r="145" spans="1:37" ht="32">
      <c r="A145" s="67" t="s">
        <v>1016</v>
      </c>
      <c r="B145" s="65">
        <f>SUM(B137:B144)</f>
        <v>9160490244.4644661</v>
      </c>
      <c r="C145" s="28" t="s">
        <v>7</v>
      </c>
      <c r="D145" s="28"/>
      <c r="E145" s="28"/>
      <c r="F145" s="28"/>
      <c r="G145" s="28"/>
      <c r="H145" s="28"/>
      <c r="I145" s="28"/>
      <c r="J145" s="28"/>
      <c r="K145" s="28"/>
      <c r="L145" s="28"/>
      <c r="M145" s="28"/>
      <c r="N145" s="28"/>
      <c r="O145" s="28"/>
      <c r="P145" s="121">
        <v>688</v>
      </c>
      <c r="Q145" s="34">
        <f>[2]Production!$GH$3</f>
        <v>3.0621799896853166E-2</v>
      </c>
      <c r="R145" s="35">
        <f t="shared" si="30"/>
        <v>3.4152868559199627E-2</v>
      </c>
      <c r="S145" s="66">
        <f t="shared" si="31"/>
        <v>312857019.25702536</v>
      </c>
      <c r="T145" s="28"/>
      <c r="U145" s="28"/>
      <c r="V145" s="28"/>
      <c r="W145" s="28"/>
      <c r="X145" s="28"/>
      <c r="Y145" s="28"/>
      <c r="Z145" s="28"/>
      <c r="AA145" s="28"/>
      <c r="AB145" s="28"/>
      <c r="AC145" s="28"/>
      <c r="AD145" s="28"/>
      <c r="AE145" s="28"/>
      <c r="AF145" s="28"/>
      <c r="AG145" s="78"/>
      <c r="AH145" s="163"/>
      <c r="AI145" s="43"/>
      <c r="AJ145" s="165"/>
      <c r="AK145" s="165"/>
    </row>
    <row r="146" spans="1:37" ht="32">
      <c r="A146" s="67" t="s">
        <v>1017</v>
      </c>
      <c r="B146" s="65">
        <f>SUM(G131:G142)</f>
        <v>389920608.00000006</v>
      </c>
      <c r="C146" s="28" t="s">
        <v>7</v>
      </c>
      <c r="D146" s="28"/>
      <c r="E146" s="28"/>
      <c r="F146" s="28"/>
      <c r="G146" s="28"/>
      <c r="H146" s="28"/>
      <c r="I146" s="28"/>
      <c r="J146" s="28"/>
      <c r="K146" s="28"/>
      <c r="L146" s="28"/>
      <c r="M146" s="28"/>
      <c r="N146" s="28"/>
      <c r="O146" s="28"/>
      <c r="P146" s="121">
        <v>703</v>
      </c>
      <c r="Q146" s="34">
        <f>[2]Production!$GM$3</f>
        <v>1.5077621177048511E-2</v>
      </c>
      <c r="R146" s="35">
        <f t="shared" si="30"/>
        <v>1.6816255608085941E-2</v>
      </c>
      <c r="S146" s="66">
        <f t="shared" si="31"/>
        <v>154045145.44629213</v>
      </c>
      <c r="T146" s="28"/>
      <c r="U146" s="28"/>
      <c r="V146" s="28"/>
      <c r="W146" s="28"/>
      <c r="X146" s="28"/>
      <c r="Y146" s="28"/>
      <c r="Z146" s="28"/>
      <c r="AA146" s="28"/>
      <c r="AB146" s="28"/>
      <c r="AC146" s="28"/>
      <c r="AD146" s="28"/>
      <c r="AE146" s="28"/>
      <c r="AF146" s="28"/>
      <c r="AG146" s="78"/>
      <c r="AH146" s="163"/>
      <c r="AI146" s="43"/>
      <c r="AJ146" s="165"/>
      <c r="AK146" s="165"/>
    </row>
    <row r="147" spans="1:37" ht="32">
      <c r="A147" s="67" t="s">
        <v>1018</v>
      </c>
      <c r="B147" s="65">
        <f>SUM(H131:H142)</f>
        <v>131342245.80131733</v>
      </c>
      <c r="C147" s="28" t="s">
        <v>7</v>
      </c>
      <c r="D147" s="28"/>
      <c r="E147" s="28"/>
      <c r="F147" s="28"/>
      <c r="G147" s="28"/>
      <c r="H147" s="28"/>
      <c r="I147" s="28"/>
      <c r="J147" s="28"/>
      <c r="K147" s="28"/>
      <c r="L147" s="28"/>
      <c r="M147" s="28"/>
      <c r="N147" s="28"/>
      <c r="O147" s="28"/>
      <c r="P147" s="121">
        <v>704</v>
      </c>
      <c r="Q147" s="34">
        <f>[2]Production!$GN$3</f>
        <v>7.2994578076560332E-2</v>
      </c>
      <c r="R147" s="35">
        <f t="shared" si="30"/>
        <v>8.1411747153347078E-2</v>
      </c>
      <c r="S147" s="66">
        <f t="shared" si="31"/>
        <v>745771515.58304369</v>
      </c>
      <c r="T147" s="28"/>
      <c r="U147" s="28"/>
      <c r="V147" s="28"/>
      <c r="W147" s="28"/>
      <c r="X147" s="28"/>
      <c r="Y147" s="28"/>
      <c r="Z147" s="28"/>
      <c r="AA147" s="28"/>
      <c r="AB147" s="28"/>
      <c r="AC147" s="28"/>
      <c r="AD147" s="28"/>
      <c r="AE147" s="28"/>
      <c r="AF147" s="28"/>
      <c r="AG147" s="78"/>
      <c r="AH147" s="163"/>
      <c r="AI147" s="43"/>
      <c r="AJ147" s="165"/>
      <c r="AK147" s="165"/>
    </row>
    <row r="148" spans="1:37" ht="32">
      <c r="A148" s="67" t="s">
        <v>1019</v>
      </c>
      <c r="B148" s="65">
        <f>SUM(I131:I142)</f>
        <v>396171439.65236664</v>
      </c>
      <c r="C148" s="28" t="s">
        <v>7</v>
      </c>
      <c r="D148" s="28"/>
      <c r="E148" s="28"/>
      <c r="F148" s="28"/>
      <c r="G148" s="28"/>
      <c r="H148" s="28"/>
      <c r="I148" s="28"/>
      <c r="J148" s="28"/>
      <c r="K148" s="28"/>
      <c r="L148" s="28"/>
      <c r="M148" s="28"/>
      <c r="N148" s="28"/>
      <c r="O148" s="28"/>
      <c r="P148" s="121">
        <v>724</v>
      </c>
      <c r="Q148" s="34">
        <f>[2]Production!$GS$3</f>
        <v>1.7208027271604111E-2</v>
      </c>
      <c r="R148" s="35">
        <f t="shared" si="30"/>
        <v>1.9192323624014435E-2</v>
      </c>
      <c r="S148" s="66">
        <f t="shared" si="31"/>
        <v>175811093.32638913</v>
      </c>
      <c r="T148" s="28"/>
      <c r="U148" s="28"/>
      <c r="V148" s="28"/>
      <c r="W148" s="28"/>
      <c r="X148" s="28"/>
      <c r="Y148" s="28"/>
      <c r="Z148" s="28"/>
      <c r="AA148" s="28"/>
      <c r="AB148" s="28"/>
      <c r="AC148" s="28"/>
      <c r="AD148" s="28"/>
      <c r="AE148" s="28"/>
      <c r="AF148" s="28"/>
      <c r="AG148" s="78"/>
      <c r="AH148" s="163"/>
      <c r="AI148" s="43"/>
      <c r="AJ148" s="165"/>
      <c r="AK148" s="165"/>
    </row>
    <row r="149" spans="1:37" ht="32">
      <c r="A149" s="67" t="s">
        <v>1020</v>
      </c>
      <c r="B149" s="65">
        <f>SUM(J131:J142)</f>
        <v>45623004204.328568</v>
      </c>
      <c r="C149" s="28" t="s">
        <v>7</v>
      </c>
      <c r="D149" s="28"/>
      <c r="E149" s="28"/>
      <c r="F149" s="28"/>
      <c r="G149" s="28"/>
      <c r="H149" s="28"/>
      <c r="I149" s="28"/>
      <c r="J149" s="28"/>
      <c r="K149" s="28"/>
      <c r="L149" s="28"/>
      <c r="M149" s="28"/>
      <c r="N149" s="28"/>
      <c r="O149" s="28"/>
      <c r="P149" s="121">
        <v>764</v>
      </c>
      <c r="Q149" s="34">
        <f>[2]Production!$HC$3</f>
        <v>1.166079979491037E-2</v>
      </c>
      <c r="R149" s="35">
        <f t="shared" si="30"/>
        <v>1.3005432862607197E-2</v>
      </c>
      <c r="S149" s="66">
        <f t="shared" si="31"/>
        <v>119136140.8629508</v>
      </c>
      <c r="T149" s="28"/>
      <c r="U149" s="28"/>
      <c r="V149" s="28"/>
      <c r="W149" s="28"/>
      <c r="X149" s="28"/>
      <c r="Y149" s="28"/>
      <c r="Z149" s="28"/>
      <c r="AA149" s="28"/>
      <c r="AB149" s="28"/>
      <c r="AC149" s="28"/>
      <c r="AD149" s="28"/>
      <c r="AE149" s="28"/>
      <c r="AF149" s="28"/>
      <c r="AG149" s="78"/>
      <c r="AH149" s="163"/>
      <c r="AI149" s="43"/>
      <c r="AJ149" s="165"/>
      <c r="AK149" s="165"/>
    </row>
    <row r="150" spans="1:37" ht="32">
      <c r="A150" s="67" t="s">
        <v>1021</v>
      </c>
      <c r="B150" s="65">
        <f>SUM(K131:K142)</f>
        <v>287378944.13168049</v>
      </c>
      <c r="C150" s="28" t="s">
        <v>7</v>
      </c>
      <c r="D150" s="28"/>
      <c r="E150" s="28"/>
      <c r="F150" s="28"/>
      <c r="G150" s="28"/>
      <c r="H150" s="28"/>
      <c r="I150" s="28"/>
      <c r="J150" s="28"/>
      <c r="K150" s="28"/>
      <c r="L150" s="28"/>
      <c r="M150" s="28"/>
      <c r="N150" s="28"/>
      <c r="O150" s="28"/>
      <c r="P150" s="121">
        <v>788</v>
      </c>
      <c r="Q150" s="34">
        <f>[2]Production!$HI$3</f>
        <v>3.6227682746232559E-2</v>
      </c>
      <c r="R150" s="35">
        <f t="shared" si="30"/>
        <v>4.0405178376324416E-2</v>
      </c>
      <c r="S150" s="66">
        <f t="shared" si="31"/>
        <v>370131242.34216642</v>
      </c>
      <c r="T150" s="28"/>
      <c r="U150" s="28"/>
      <c r="V150" s="28"/>
      <c r="W150" s="28"/>
      <c r="X150" s="28"/>
      <c r="Y150" s="28"/>
      <c r="Z150" s="28"/>
      <c r="AA150" s="28"/>
      <c r="AB150" s="28"/>
      <c r="AC150" s="28"/>
      <c r="AD150" s="28"/>
      <c r="AE150" s="28"/>
      <c r="AF150" s="28"/>
      <c r="AG150" s="78"/>
      <c r="AH150" s="163"/>
      <c r="AI150" s="43"/>
      <c r="AJ150" s="165"/>
      <c r="AK150" s="165"/>
    </row>
    <row r="151" spans="1:37" ht="32">
      <c r="A151" s="67" t="s">
        <v>1022</v>
      </c>
      <c r="B151" s="65">
        <f>SUM(L131:L142)</f>
        <v>121443394.04060346</v>
      </c>
      <c r="C151" s="28" t="s">
        <v>7</v>
      </c>
      <c r="D151" s="28"/>
      <c r="E151" s="28"/>
      <c r="F151" s="28"/>
      <c r="G151" s="28"/>
      <c r="H151" s="28"/>
      <c r="I151" s="28"/>
      <c r="J151" s="28"/>
      <c r="K151" s="28"/>
      <c r="L151" s="28"/>
      <c r="M151" s="28"/>
      <c r="N151" s="28"/>
      <c r="O151" s="28"/>
      <c r="P151" s="121">
        <v>804</v>
      </c>
      <c r="Q151" s="34">
        <f>[2]Production!$HO$3</f>
        <v>3.2591945749241569E-2</v>
      </c>
      <c r="R151" s="35">
        <f t="shared" si="30"/>
        <v>3.6350196363761113E-2</v>
      </c>
      <c r="S151" s="66">
        <f t="shared" si="31"/>
        <v>332985619.17460138</v>
      </c>
      <c r="T151" s="28"/>
      <c r="U151" s="28"/>
      <c r="V151" s="28"/>
      <c r="W151" s="28"/>
      <c r="X151" s="28"/>
      <c r="Y151" s="28"/>
      <c r="Z151" s="28"/>
      <c r="AA151" s="28"/>
      <c r="AB151" s="28"/>
      <c r="AC151" s="28"/>
      <c r="AD151" s="28"/>
      <c r="AE151" s="28"/>
      <c r="AF151" s="28"/>
      <c r="AG151" s="78"/>
      <c r="AH151" s="163"/>
      <c r="AI151" s="43"/>
      <c r="AJ151" s="165"/>
      <c r="AK151" s="165"/>
    </row>
    <row r="152" spans="1:37" ht="32">
      <c r="A152" s="67" t="s">
        <v>1023</v>
      </c>
      <c r="B152" s="65">
        <f>SUM(M131:M142)</f>
        <v>2290578468.545032</v>
      </c>
      <c r="C152" s="28" t="s">
        <v>7</v>
      </c>
      <c r="D152" s="28"/>
      <c r="E152" s="28"/>
      <c r="F152" s="28"/>
      <c r="G152" s="28"/>
      <c r="H152" s="28"/>
      <c r="I152" s="28"/>
      <c r="J152" s="28"/>
      <c r="K152" s="28"/>
      <c r="L152" s="28"/>
      <c r="M152" s="28"/>
      <c r="N152" s="28"/>
      <c r="O152" s="28"/>
      <c r="P152" s="121">
        <v>807</v>
      </c>
      <c r="Q152" s="34">
        <f>[2]Production!$HP$3</f>
        <v>1.417765935900097E-2</v>
      </c>
      <c r="R152" s="35">
        <f t="shared" si="30"/>
        <v>1.5812517167380025E-2</v>
      </c>
      <c r="S152" s="66">
        <f t="shared" si="31"/>
        <v>144850409.2522116</v>
      </c>
      <c r="T152" s="28"/>
      <c r="U152" s="28"/>
      <c r="V152" s="28"/>
      <c r="W152" s="28"/>
      <c r="X152" s="28"/>
      <c r="Y152" s="28"/>
      <c r="Z152" s="28"/>
      <c r="AA152" s="28"/>
      <c r="AB152" s="28"/>
      <c r="AC152" s="28"/>
      <c r="AD152" s="28"/>
      <c r="AE152" s="28"/>
      <c r="AF152" s="28"/>
      <c r="AG152" s="78"/>
      <c r="AH152" s="163"/>
      <c r="AI152" s="43"/>
      <c r="AJ152" s="165"/>
      <c r="AK152" s="165"/>
    </row>
    <row r="153" spans="1:37" ht="32">
      <c r="A153" s="67" t="s">
        <v>1024</v>
      </c>
      <c r="B153" s="65">
        <f>SUM(N131:N142)</f>
        <v>63306553574.207878</v>
      </c>
      <c r="C153" s="28" t="s">
        <v>7</v>
      </c>
      <c r="D153" s="28"/>
      <c r="E153" s="28"/>
      <c r="F153" s="28"/>
      <c r="G153" s="28"/>
      <c r="H153" s="28"/>
      <c r="I153" s="28"/>
      <c r="J153" s="28"/>
      <c r="K153" s="28"/>
      <c r="L153" s="28"/>
      <c r="M153" s="28"/>
      <c r="N153" s="28"/>
      <c r="O153" s="28"/>
      <c r="P153" s="121">
        <v>842</v>
      </c>
      <c r="Q153" s="34">
        <f>[2]Production!$HT$3</f>
        <v>3.6029578151869524E-2</v>
      </c>
      <c r="R153" s="35">
        <f t="shared" si="30"/>
        <v>4.0184229895338826E-2</v>
      </c>
      <c r="S153" s="66">
        <f t="shared" si="31"/>
        <v>368107245.93756866</v>
      </c>
      <c r="T153" s="28"/>
      <c r="U153" s="28"/>
      <c r="V153" s="28"/>
      <c r="W153" s="28"/>
      <c r="X153" s="28"/>
      <c r="Y153" s="28"/>
      <c r="Z153" s="28"/>
      <c r="AA153" s="28"/>
      <c r="AB153" s="28"/>
      <c r="AC153" s="28"/>
      <c r="AD153" s="28"/>
      <c r="AE153" s="28"/>
      <c r="AF153" s="28"/>
      <c r="AG153" s="78"/>
      <c r="AH153" s="163"/>
      <c r="AI153" s="43"/>
      <c r="AJ153" s="165"/>
      <c r="AK153" s="165"/>
    </row>
    <row r="154" spans="1:37" ht="32">
      <c r="A154" s="68" t="s">
        <v>1025</v>
      </c>
      <c r="B154" s="112">
        <f>SUM(B146:B153)</f>
        <v>112546392878.70744</v>
      </c>
      <c r="C154" s="37" t="s">
        <v>7</v>
      </c>
      <c r="D154" s="37"/>
      <c r="E154" s="37"/>
      <c r="F154" s="37"/>
      <c r="G154" s="37"/>
      <c r="H154" s="37"/>
      <c r="I154" s="37"/>
      <c r="J154" s="37"/>
      <c r="K154" s="37"/>
      <c r="L154" s="37"/>
      <c r="M154" s="37"/>
      <c r="N154" s="37"/>
      <c r="O154" s="37"/>
      <c r="P154" s="37" t="s">
        <v>27</v>
      </c>
      <c r="Q154" s="40">
        <f>SUM(Q131:Q153)</f>
        <v>0.89660989511830302</v>
      </c>
      <c r="R154" s="37"/>
      <c r="S154" s="42"/>
      <c r="T154" s="28"/>
      <c r="U154" s="28"/>
      <c r="V154" s="28"/>
      <c r="W154" s="28"/>
      <c r="X154" s="28"/>
      <c r="Y154" s="28"/>
      <c r="Z154" s="28"/>
      <c r="AA154" s="28"/>
      <c r="AB154" s="28"/>
      <c r="AC154" s="28"/>
      <c r="AD154" s="28"/>
      <c r="AE154" s="28"/>
      <c r="AF154" s="28"/>
      <c r="AG154" s="78"/>
      <c r="AH154" s="163"/>
      <c r="AI154" s="43"/>
      <c r="AJ154" s="165"/>
      <c r="AK154" s="165"/>
    </row>
    <row r="155" spans="1:37">
      <c r="A155" s="30"/>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78"/>
      <c r="AH155" s="163"/>
      <c r="AI155" s="43"/>
      <c r="AJ155" s="165"/>
      <c r="AK155" s="165"/>
    </row>
    <row r="156" spans="1:37">
      <c r="A156" s="90" t="s">
        <v>295</v>
      </c>
      <c r="AG156" s="165"/>
      <c r="AH156" s="165"/>
      <c r="AI156" s="165"/>
      <c r="AJ156" s="165"/>
      <c r="AK156" s="165"/>
    </row>
    <row r="157" spans="1:37" ht="48">
      <c r="A157" s="60" t="s">
        <v>0</v>
      </c>
      <c r="B157" s="23" t="s">
        <v>1</v>
      </c>
      <c r="C157" s="23" t="s">
        <v>558</v>
      </c>
      <c r="D157" s="23" t="s">
        <v>3</v>
      </c>
      <c r="E157" s="23"/>
      <c r="F157" s="61" t="s">
        <v>8</v>
      </c>
      <c r="G157" s="61" t="s">
        <v>296</v>
      </c>
      <c r="H157" s="61" t="s">
        <v>297</v>
      </c>
      <c r="I157" s="61" t="s">
        <v>298</v>
      </c>
      <c r="J157" s="61" t="s">
        <v>299</v>
      </c>
      <c r="K157" s="61" t="s">
        <v>300</v>
      </c>
      <c r="L157" s="61" t="s">
        <v>301</v>
      </c>
      <c r="M157" s="61" t="s">
        <v>302</v>
      </c>
      <c r="N157" s="61" t="s">
        <v>303</v>
      </c>
      <c r="O157" s="23"/>
      <c r="P157" s="114" t="s">
        <v>1038</v>
      </c>
      <c r="Q157" s="114" t="s">
        <v>424</v>
      </c>
      <c r="R157" s="114" t="s">
        <v>429</v>
      </c>
      <c r="S157" s="115" t="s">
        <v>430</v>
      </c>
      <c r="AG157" s="165"/>
      <c r="AH157" s="165"/>
      <c r="AI157" s="165"/>
      <c r="AJ157" s="165"/>
      <c r="AK157" s="165"/>
    </row>
    <row r="158" spans="1:37" ht="32">
      <c r="A158" s="67" t="s">
        <v>1032</v>
      </c>
      <c r="B158" s="82">
        <f>'[1]Weight%'!$B$22</f>
        <v>3.3033033033033031E-2</v>
      </c>
      <c r="C158" s="28" t="s">
        <v>33</v>
      </c>
      <c r="D158" s="171" t="s">
        <v>208</v>
      </c>
      <c r="E158" s="28"/>
      <c r="F158" s="28">
        <v>2009</v>
      </c>
      <c r="G158" s="26"/>
      <c r="H158" s="26"/>
      <c r="I158" s="26">
        <f>I159/data_1tier!N14</f>
        <v>13091786.311667388</v>
      </c>
      <c r="J158" s="26">
        <f>J159/data_1tier!T14</f>
        <v>2974669127.7177172</v>
      </c>
      <c r="K158" s="26"/>
      <c r="L158" s="26"/>
      <c r="M158" s="26">
        <f>M159/data_1tier!AJ19</f>
        <v>130122091.58627754</v>
      </c>
      <c r="N158" s="26">
        <f>N159/data_1tier!AK19</f>
        <v>3596288568.7243652</v>
      </c>
      <c r="O158" s="28"/>
      <c r="P158" s="130">
        <v>156</v>
      </c>
      <c r="Q158" s="82">
        <f>[3]Production!$AT$3</f>
        <v>0.54325231707251098</v>
      </c>
      <c r="R158" s="35">
        <f>Q158/$Q$166</f>
        <v>0.55222819427916847</v>
      </c>
      <c r="S158" s="66">
        <f>$B$172*R158</f>
        <v>5316931967.7008791</v>
      </c>
      <c r="AG158" s="165"/>
      <c r="AH158" s="165"/>
      <c r="AI158" s="165"/>
      <c r="AJ158" s="165"/>
      <c r="AK158" s="165"/>
    </row>
    <row r="159" spans="1:37" ht="32">
      <c r="A159" s="67" t="s">
        <v>1033</v>
      </c>
      <c r="B159" s="82">
        <f>'[1]Weight%'!$B$23</f>
        <v>2.5271040526848407E-2</v>
      </c>
      <c r="C159" s="28" t="s">
        <v>33</v>
      </c>
      <c r="D159" s="171"/>
      <c r="E159" s="28"/>
      <c r="F159" s="28">
        <v>2010</v>
      </c>
      <c r="G159" s="26"/>
      <c r="H159" s="26"/>
      <c r="I159" s="26">
        <f>I160/data_1tier!N15</f>
        <v>12367403.993241882</v>
      </c>
      <c r="J159" s="26">
        <f>J160/data_1tier!T15</f>
        <v>3626414138.4084072</v>
      </c>
      <c r="K159" s="26"/>
      <c r="L159" s="26">
        <f>L160/data_1tier!AD15</f>
        <v>1744460.0660205085</v>
      </c>
      <c r="M159" s="26">
        <f>M160/data_1tier!AJ20</f>
        <v>179923823.57576141</v>
      </c>
      <c r="N159" s="26">
        <f>N160/data_1tier!AK20</f>
        <v>4972698963.5549927</v>
      </c>
      <c r="O159" s="28"/>
      <c r="P159" s="130">
        <v>376</v>
      </c>
      <c r="Q159" s="82">
        <f>[3]Production!$DA$3</f>
        <v>1.5603216054019939E-2</v>
      </c>
      <c r="R159" s="35">
        <f t="shared" ref="R159:R165" si="32">Q159/$Q$166</f>
        <v>1.5861019926968974E-2</v>
      </c>
      <c r="S159" s="66">
        <f t="shared" ref="S159:S165" si="33">$B$172*R159</f>
        <v>152712166.39005864</v>
      </c>
      <c r="AG159" s="165"/>
      <c r="AH159" s="165"/>
      <c r="AI159" s="165"/>
      <c r="AJ159" s="165"/>
      <c r="AK159" s="165"/>
    </row>
    <row r="160" spans="1:37" ht="32">
      <c r="A160" s="67" t="s">
        <v>1034</v>
      </c>
      <c r="B160" s="82">
        <f>'[1]Weight%'!$B$24</f>
        <v>2.8188714838175758E-2</v>
      </c>
      <c r="C160" s="28" t="s">
        <v>33</v>
      </c>
      <c r="D160" s="171"/>
      <c r="E160" s="28"/>
      <c r="F160" s="28">
        <v>2011</v>
      </c>
      <c r="G160" s="26">
        <f>G161/data_1tier!D13</f>
        <v>2387951.3513513519</v>
      </c>
      <c r="H160" s="26"/>
      <c r="I160" s="26">
        <f>I161/data_1tier!N16</f>
        <v>12123718.191208819</v>
      </c>
      <c r="J160" s="26">
        <f>J161/data_1tier!T16</f>
        <v>3729639506.4714704</v>
      </c>
      <c r="K160" s="26"/>
      <c r="L160" s="26">
        <f>L161/data_1tier!AD16</f>
        <v>1514708.6219941482</v>
      </c>
      <c r="M160" s="26">
        <f>M161/data_1tier!AJ21</f>
        <v>185873114.68157706</v>
      </c>
      <c r="N160" s="26">
        <f>N161/data_1tier!AK21</f>
        <v>5137124291.606781</v>
      </c>
      <c r="O160" s="28"/>
      <c r="P160" s="130">
        <v>392</v>
      </c>
      <c r="Q160" s="82">
        <f>[3]Production!$DE$3</f>
        <v>0.11690506518541134</v>
      </c>
      <c r="R160" s="35">
        <f t="shared" si="32"/>
        <v>0.11883662714467765</v>
      </c>
      <c r="S160" s="66">
        <f t="shared" si="33"/>
        <v>1144176027.8539286</v>
      </c>
      <c r="AG160" s="165"/>
      <c r="AH160" s="165"/>
      <c r="AI160" s="165"/>
      <c r="AJ160" s="165"/>
      <c r="AK160" s="165"/>
    </row>
    <row r="161" spans="1:37">
      <c r="A161" s="67" t="s">
        <v>1035</v>
      </c>
      <c r="B161" s="82">
        <f>'[1]Weight%'!$B$25</f>
        <v>2.6593585250884313E-2</v>
      </c>
      <c r="C161" s="28" t="s">
        <v>33</v>
      </c>
      <c r="D161" s="171"/>
      <c r="E161" s="28"/>
      <c r="F161" s="28">
        <v>2012</v>
      </c>
      <c r="G161" s="26">
        <f>G162/data_1tier!D14</f>
        <v>3517681.0810810816</v>
      </c>
      <c r="H161" s="26">
        <f>H162/data_1tier!I14</f>
        <v>2455374.7312534344</v>
      </c>
      <c r="I161" s="26">
        <f>I162/data_1tier!N17</f>
        <v>19589758.652276181</v>
      </c>
      <c r="J161" s="26">
        <f>J162/data_1tier!T17</f>
        <v>3927882980.9008999</v>
      </c>
      <c r="K161" s="26"/>
      <c r="L161" s="26">
        <f>L162/data_1tier!AD17</f>
        <v>2814799.1286103791</v>
      </c>
      <c r="M161" s="26">
        <f>M162/data_1tier!AJ22</f>
        <v>196769541.83771464</v>
      </c>
      <c r="N161" s="26">
        <f>N162/data_1tier!AK22</f>
        <v>5438277584.977973</v>
      </c>
      <c r="O161" s="28"/>
      <c r="P161" s="130">
        <v>458</v>
      </c>
      <c r="Q161" s="82">
        <f>[3]Production!$DX$3</f>
        <v>6.1287379431743207E-2</v>
      </c>
      <c r="R161" s="35">
        <f t="shared" si="32"/>
        <v>6.2299999120254773E-2</v>
      </c>
      <c r="S161" s="66">
        <f t="shared" si="33"/>
        <v>599833294.17397451</v>
      </c>
      <c r="AG161" s="165"/>
      <c r="AH161" s="165"/>
      <c r="AI161" s="165"/>
      <c r="AJ161" s="165"/>
      <c r="AK161" s="165"/>
    </row>
    <row r="162" spans="1:37" ht="32">
      <c r="A162" s="67" t="s">
        <v>1036</v>
      </c>
      <c r="B162" s="82">
        <f>'[1]Weight%'!$B$26</f>
        <v>3.2756122615677265E-2</v>
      </c>
      <c r="C162" s="28" t="s">
        <v>33</v>
      </c>
      <c r="D162" s="171"/>
      <c r="E162" s="28"/>
      <c r="F162" s="28">
        <v>2013</v>
      </c>
      <c r="G162" s="26">
        <f>G163/data_1tier!D15</f>
        <v>6740621.6216216227</v>
      </c>
      <c r="H162" s="26">
        <f>H163/data_1tier!I15</f>
        <v>3705704.9491922078</v>
      </c>
      <c r="I162" s="26">
        <f>I163/data_1tier!N18</f>
        <v>22349546.589792941</v>
      </c>
      <c r="J162" s="26">
        <f>J163/data_1tier!T18</f>
        <v>4093786580.1951942</v>
      </c>
      <c r="K162" s="26"/>
      <c r="L162" s="26">
        <f>L163/data_1tier!AD18</f>
        <v>4011707.8489872264</v>
      </c>
      <c r="M162" s="26">
        <f>M163/data_1tier!AJ23</f>
        <v>203238085.13509539</v>
      </c>
      <c r="N162" s="26">
        <f>N163/data_1tier!AK23</f>
        <v>5617053902.1511765</v>
      </c>
      <c r="O162" s="28"/>
      <c r="P162" s="130">
        <v>484</v>
      </c>
      <c r="Q162" s="82">
        <f>[3]Production!$ED$3</f>
        <v>3.268862261507792E-2</v>
      </c>
      <c r="R162" s="35">
        <f t="shared" si="32"/>
        <v>3.3228719828521637E-2</v>
      </c>
      <c r="S162" s="66">
        <f t="shared" si="33"/>
        <v>319930862.87935555</v>
      </c>
      <c r="AG162" s="165"/>
      <c r="AH162" s="165"/>
      <c r="AI162" s="165"/>
      <c r="AJ162" s="165"/>
      <c r="AK162" s="165"/>
    </row>
    <row r="163" spans="1:37" ht="32">
      <c r="A163" s="67" t="s">
        <v>1037</v>
      </c>
      <c r="B163" s="82">
        <f>'[1]Weight%'!$B$27</f>
        <v>2.6268396196548614E-2</v>
      </c>
      <c r="C163" s="28" t="s">
        <v>33</v>
      </c>
      <c r="D163" s="171"/>
      <c r="E163" s="28"/>
      <c r="F163" s="28">
        <v>2014</v>
      </c>
      <c r="G163" s="26">
        <f>G164/data_1tier!D16</f>
        <v>11515929.729729732</v>
      </c>
      <c r="H163" s="26">
        <f>H164/data_1tier!I16</f>
        <v>5432869.3766239788</v>
      </c>
      <c r="I163" s="26">
        <f>I164/data_1tier!N19</f>
        <v>20017279.97699789</v>
      </c>
      <c r="J163" s="26">
        <f>J164/data_1tier!T19</f>
        <v>4220602089.2642636</v>
      </c>
      <c r="K163" s="26"/>
      <c r="L163" s="26">
        <f>L164/data_1tier!AD19</f>
        <v>7932157.1403671764</v>
      </c>
      <c r="M163" s="26">
        <f>M164/data_1tier!AJ24</f>
        <v>204575931.99809414</v>
      </c>
      <c r="N163" s="26">
        <f>N164/data_1tier!AK24</f>
        <v>5654029048.5037546</v>
      </c>
      <c r="O163" s="28"/>
      <c r="P163" s="130">
        <v>608</v>
      </c>
      <c r="Q163" s="82">
        <f>[3]Production!$FM$3</f>
        <v>5.4348200562302662E-2</v>
      </c>
      <c r="R163" s="35">
        <f t="shared" si="32"/>
        <v>5.5246167785486931E-2</v>
      </c>
      <c r="S163" s="66">
        <f t="shared" si="33"/>
        <v>531917998.0932433</v>
      </c>
      <c r="AG163" s="165"/>
      <c r="AH163" s="165"/>
      <c r="AI163" s="165"/>
      <c r="AJ163" s="165"/>
      <c r="AK163" s="165"/>
    </row>
    <row r="164" spans="1:37" ht="32">
      <c r="A164" s="67" t="s">
        <v>296</v>
      </c>
      <c r="B164" s="65">
        <f>data_1tier!B7*B158</f>
        <v>119830610.8108108</v>
      </c>
      <c r="C164" s="28" t="s">
        <v>7</v>
      </c>
      <c r="D164" s="28"/>
      <c r="E164" s="28"/>
      <c r="F164" s="28">
        <v>2015</v>
      </c>
      <c r="G164" s="26">
        <f>G165/data_1tier!D17</f>
        <v>19546286.486486491</v>
      </c>
      <c r="H164" s="26">
        <f>H165/data_1tier!I17</f>
        <v>9027139.1455089953</v>
      </c>
      <c r="I164" s="26">
        <f>I165/data_1tier!N20</f>
        <v>20790462.598551244</v>
      </c>
      <c r="J164" s="26">
        <f>J165/data_1tier!T20</f>
        <v>4267768361.1411405</v>
      </c>
      <c r="K164" s="26">
        <f>K165/data_1tier!Y15</f>
        <v>23934226.72579588</v>
      </c>
      <c r="L164" s="26">
        <f>L165/data_1tier!AD20</f>
        <v>10570859.353795676</v>
      </c>
      <c r="M164" s="26">
        <f>M165/data_1tier!AJ25</f>
        <v>206869967.08516908</v>
      </c>
      <c r="N164" s="26">
        <f>N165/data_1tier!AK25</f>
        <v>5717431135.4155693</v>
      </c>
      <c r="O164" s="28"/>
      <c r="P164" s="130">
        <v>702</v>
      </c>
      <c r="Q164" s="82">
        <f>[3]Production!$GL$3</f>
        <v>9.294150623456654E-2</v>
      </c>
      <c r="R164" s="35">
        <f t="shared" si="32"/>
        <v>9.447713069698721E-2</v>
      </c>
      <c r="S164" s="66">
        <f t="shared" si="33"/>
        <v>909639315.09357655</v>
      </c>
      <c r="AG164" s="165"/>
      <c r="AH164" s="165"/>
      <c r="AI164" s="165"/>
      <c r="AJ164" s="165"/>
      <c r="AK164" s="165"/>
    </row>
    <row r="165" spans="1:37" ht="32">
      <c r="A165" s="67" t="s">
        <v>297</v>
      </c>
      <c r="B165" s="65">
        <f>data_1tier!G7*B159</f>
        <v>39542264.267829612</v>
      </c>
      <c r="C165" s="28" t="s">
        <v>7</v>
      </c>
      <c r="D165" s="28"/>
      <c r="E165" s="28"/>
      <c r="F165" s="28">
        <v>2016</v>
      </c>
      <c r="G165" s="26">
        <f>G166/data_1tier!D18</f>
        <v>27688486.486486491</v>
      </c>
      <c r="H165" s="26">
        <f>H166/data_1tier!I18</f>
        <v>11645097.643095961</v>
      </c>
      <c r="I165" s="26">
        <f>I166/data_1tier!N21</f>
        <v>32728849.367311999</v>
      </c>
      <c r="J165" s="26">
        <f>J166/data_1tier!T21</f>
        <v>4489808392.5675669</v>
      </c>
      <c r="K165" s="26">
        <f>K166/data_1tier!Y16</f>
        <v>35901340.08869382</v>
      </c>
      <c r="L165" s="26">
        <f>L166/data_1tier!AD21</f>
        <v>15591914.36506238</v>
      </c>
      <c r="M165" s="26">
        <f>M166/data_1tier!AJ26</f>
        <v>212730384.64298907</v>
      </c>
      <c r="N165" s="26">
        <f>N166/data_1tier!AK26</f>
        <v>5879400193.9682865</v>
      </c>
      <c r="O165" s="28"/>
      <c r="P165" s="130">
        <v>842</v>
      </c>
      <c r="Q165" s="82">
        <f>[3]Production!$HT$3</f>
        <v>6.6719765030388664E-2</v>
      </c>
      <c r="R165" s="35">
        <f t="shared" si="32"/>
        <v>6.7822141217934451E-2</v>
      </c>
      <c r="S165" s="66">
        <f t="shared" si="33"/>
        <v>653001267.40226114</v>
      </c>
      <c r="AG165" s="165"/>
      <c r="AH165" s="165"/>
      <c r="AI165" s="165"/>
      <c r="AJ165" s="165"/>
      <c r="AK165" s="165"/>
    </row>
    <row r="166" spans="1:37" ht="32">
      <c r="A166" s="67" t="s">
        <v>298</v>
      </c>
      <c r="B166" s="65">
        <f>data_1tier!L7*B160</f>
        <v>90203887.482162431</v>
      </c>
      <c r="C166" s="28" t="s">
        <v>7</v>
      </c>
      <c r="D166" s="28"/>
      <c r="E166" s="28"/>
      <c r="F166" s="28">
        <v>2017</v>
      </c>
      <c r="G166" s="26">
        <f>G167/data_1tier!D19</f>
        <v>45157854.054054059</v>
      </c>
      <c r="H166" s="26">
        <f>H167/data_1tier!I19</f>
        <v>16866377.651596744</v>
      </c>
      <c r="I166" s="26">
        <f>I167/data_1tier!N22</f>
        <v>48111408.569948636</v>
      </c>
      <c r="J166" s="26">
        <f>J167/data_1tier!T22</f>
        <v>4573937448.3033028</v>
      </c>
      <c r="K166" s="26">
        <f>K167/data_1tier!Y17</f>
        <v>47868453.45159176</v>
      </c>
      <c r="L166" s="26">
        <f>L167/data_1tier!AD22</f>
        <v>17426257.231540307</v>
      </c>
      <c r="M166" s="26">
        <f>M167/data_1tier!AJ27</f>
        <v>221797895.56512025</v>
      </c>
      <c r="N166" s="26">
        <f>N167/data_1tier!AK27</f>
        <v>6130006263.0724096</v>
      </c>
      <c r="O166" s="28"/>
      <c r="P166" s="28" t="s">
        <v>27</v>
      </c>
      <c r="Q166" s="82">
        <f>SUM(Q158:Q165)</f>
        <v>0.98374607218602117</v>
      </c>
      <c r="R166" s="48"/>
      <c r="S166" s="66"/>
      <c r="AG166" s="165"/>
      <c r="AH166" s="165"/>
      <c r="AI166" s="165"/>
      <c r="AJ166" s="165"/>
      <c r="AK166" s="165"/>
    </row>
    <row r="167" spans="1:37" ht="32">
      <c r="A167" s="67" t="s">
        <v>299</v>
      </c>
      <c r="B167" s="65">
        <f>data_1tier!R7*B158</f>
        <v>3476658994.4744744</v>
      </c>
      <c r="C167" s="28" t="s">
        <v>7</v>
      </c>
      <c r="D167" s="28"/>
      <c r="E167" s="28"/>
      <c r="F167" s="28">
        <v>2018</v>
      </c>
      <c r="G167" s="26">
        <f>G168/data_1tier!D20</f>
        <v>81572789.189189196</v>
      </c>
      <c r="H167" s="26">
        <f>H168/data_1tier!I20</f>
        <v>25990193.689745247</v>
      </c>
      <c r="I167" s="26">
        <f>I168/data_1tier!N23</f>
        <v>58695918.455337331</v>
      </c>
      <c r="J167" s="26">
        <f>J168/data_1tier!T23</f>
        <v>4389741967.5075073</v>
      </c>
      <c r="K167" s="26">
        <f>K168/data_1tier!Y18</f>
        <v>71802680.17738764</v>
      </c>
      <c r="L167" s="26">
        <f>L168/data_1tier!AD23</f>
        <v>20177771.531257197</v>
      </c>
      <c r="M167" s="26">
        <f>M168/data_1tier!AJ28</f>
        <v>233804976.9852674</v>
      </c>
      <c r="N167" s="26">
        <f>N168/data_1tier!AK28</f>
        <v>6461855598.7894497</v>
      </c>
      <c r="O167" s="28"/>
      <c r="P167" s="28"/>
      <c r="Q167" s="82"/>
      <c r="R167" s="48"/>
      <c r="S167" s="66"/>
      <c r="AG167" s="165"/>
      <c r="AH167" s="165"/>
      <c r="AI167" s="165"/>
      <c r="AJ167" s="165"/>
      <c r="AK167" s="165"/>
    </row>
    <row r="168" spans="1:37" ht="32">
      <c r="A168" s="67" t="s">
        <v>300</v>
      </c>
      <c r="B168" s="65">
        <f>data_1tier!W7*B161</f>
        <v>74674787.384483144</v>
      </c>
      <c r="C168" s="28" t="s">
        <v>7</v>
      </c>
      <c r="D168" s="28"/>
      <c r="E168" s="28"/>
      <c r="F168" s="28">
        <v>2019</v>
      </c>
      <c r="G168" s="26">
        <f>G169/data_1tier!D21</f>
        <v>91868254.054054052</v>
      </c>
      <c r="H168" s="26">
        <f>H169/data_1tier!I21</f>
        <v>23382384.042033866</v>
      </c>
      <c r="I168" s="26">
        <f>I169/data_1tier!N24</f>
        <v>66326387.854531191</v>
      </c>
      <c r="J168" s="26">
        <f>J169/data_1tier!T24</f>
        <v>4181196934.1141138</v>
      </c>
      <c r="K168" s="26">
        <f>K169/data_1tier!Y19</f>
        <v>47868453.45159176</v>
      </c>
      <c r="L168" s="26">
        <f>L169/data_1tier!AD24</f>
        <v>22012114.397735123</v>
      </c>
      <c r="M168" s="26">
        <f>M169/data_1tier!AJ29</f>
        <v>229161350.37970173</v>
      </c>
      <c r="N168" s="26">
        <f>N169/data_1tier!AK29</f>
        <v>6333515967.329196</v>
      </c>
      <c r="O168" s="28"/>
      <c r="P168" s="28"/>
      <c r="Q168" s="82"/>
      <c r="R168" s="48"/>
      <c r="S168" s="66"/>
      <c r="AG168" s="165"/>
      <c r="AH168" s="165"/>
      <c r="AI168" s="165"/>
      <c r="AJ168" s="165"/>
      <c r="AK168" s="165"/>
    </row>
    <row r="169" spans="1:37" ht="32">
      <c r="A169" s="67" t="s">
        <v>301</v>
      </c>
      <c r="B169" s="65">
        <f>data_1tier!AB7*B162</f>
        <v>23846457.264213048</v>
      </c>
      <c r="C169" s="28" t="s">
        <v>7</v>
      </c>
      <c r="D169" s="28"/>
      <c r="E169" s="28"/>
      <c r="F169" s="28">
        <v>2020</v>
      </c>
      <c r="G169" s="26">
        <f>B164</f>
        <v>119830610.8108108</v>
      </c>
      <c r="H169" s="26">
        <f>B165</f>
        <v>39542264.267829612</v>
      </c>
      <c r="I169" s="26">
        <f>B166</f>
        <v>90203887.482162431</v>
      </c>
      <c r="J169" s="26">
        <f>B167</f>
        <v>3476658994.4744744</v>
      </c>
      <c r="K169" s="26">
        <f>B168</f>
        <v>74674787.384483144</v>
      </c>
      <c r="L169" s="26">
        <f>B169</f>
        <v>23846457.264213048</v>
      </c>
      <c r="M169" s="26">
        <f>B170</f>
        <v>202647743.4063946</v>
      </c>
      <c r="N169" s="26">
        <f>B171</f>
        <v>5600738154.4969082</v>
      </c>
      <c r="O169" s="28"/>
      <c r="P169" s="28"/>
      <c r="Q169" s="82"/>
      <c r="R169" s="48"/>
      <c r="S169" s="66"/>
      <c r="AG169" s="165"/>
      <c r="AH169" s="165"/>
      <c r="AI169" s="165"/>
      <c r="AJ169" s="165"/>
      <c r="AK169" s="165"/>
    </row>
    <row r="170" spans="1:37" ht="32">
      <c r="A170" s="67" t="s">
        <v>302</v>
      </c>
      <c r="B170" s="65">
        <f>data_1tier!AG9*B163</f>
        <v>202647743.4063946</v>
      </c>
      <c r="C170" s="28" t="s">
        <v>7</v>
      </c>
      <c r="D170" s="28"/>
      <c r="E170" s="28"/>
      <c r="F170" s="28"/>
      <c r="G170" s="28"/>
      <c r="H170" s="28"/>
      <c r="I170" s="28"/>
      <c r="J170" s="28"/>
      <c r="K170" s="28"/>
      <c r="L170" s="28"/>
      <c r="M170" s="28"/>
      <c r="N170" s="28"/>
      <c r="O170" s="28"/>
      <c r="P170" s="28"/>
      <c r="Q170" s="82"/>
      <c r="R170" s="48"/>
      <c r="S170" s="66"/>
      <c r="AG170" s="165"/>
      <c r="AH170" s="165"/>
      <c r="AI170" s="165"/>
      <c r="AJ170" s="165"/>
      <c r="AK170" s="165"/>
    </row>
    <row r="171" spans="1:37" ht="32">
      <c r="A171" s="67" t="s">
        <v>303</v>
      </c>
      <c r="B171" s="65">
        <f>data_1tier!AG11*B158</f>
        <v>5600738154.4969082</v>
      </c>
      <c r="C171" s="28" t="s">
        <v>7</v>
      </c>
      <c r="D171" s="28"/>
      <c r="E171" s="28"/>
      <c r="F171" s="28"/>
      <c r="G171" s="28"/>
      <c r="H171" s="28"/>
      <c r="I171" s="28"/>
      <c r="J171" s="28"/>
      <c r="K171" s="28"/>
      <c r="L171" s="28"/>
      <c r="M171" s="28"/>
      <c r="N171" s="28"/>
      <c r="O171" s="28"/>
      <c r="P171" s="28"/>
      <c r="Q171" s="82"/>
      <c r="R171" s="48"/>
      <c r="S171" s="66"/>
      <c r="AG171" s="165"/>
      <c r="AH171" s="165"/>
      <c r="AI171" s="165"/>
      <c r="AJ171" s="165"/>
      <c r="AK171" s="165"/>
    </row>
    <row r="172" spans="1:37" ht="32">
      <c r="A172" s="67" t="s">
        <v>480</v>
      </c>
      <c r="B172" s="65">
        <f>SUM(B164:B171)</f>
        <v>9628142899.5872765</v>
      </c>
      <c r="C172" s="28" t="s">
        <v>7</v>
      </c>
      <c r="D172" s="28"/>
      <c r="E172" s="28"/>
      <c r="F172" s="28"/>
      <c r="G172" s="28"/>
      <c r="H172" s="28"/>
      <c r="I172" s="28"/>
      <c r="J172" s="28"/>
      <c r="K172" s="28"/>
      <c r="L172" s="28"/>
      <c r="M172" s="28"/>
      <c r="N172" s="28"/>
      <c r="O172" s="28"/>
      <c r="P172" s="28"/>
      <c r="Q172" s="82"/>
      <c r="R172" s="48"/>
      <c r="S172" s="66"/>
      <c r="AG172" s="165"/>
      <c r="AH172" s="165"/>
      <c r="AI172" s="165"/>
      <c r="AJ172" s="165"/>
      <c r="AK172" s="165"/>
    </row>
    <row r="173" spans="1:37" ht="32">
      <c r="A173" s="67" t="s">
        <v>304</v>
      </c>
      <c r="B173" s="41">
        <f>SUM(G158:G169)</f>
        <v>409826464.86486489</v>
      </c>
      <c r="C173" s="28" t="s">
        <v>7</v>
      </c>
      <c r="D173" s="28"/>
      <c r="E173" s="28"/>
      <c r="F173" s="28"/>
      <c r="G173" s="28"/>
      <c r="H173" s="28"/>
      <c r="I173" s="28"/>
      <c r="J173" s="28"/>
      <c r="K173" s="28"/>
      <c r="L173" s="28"/>
      <c r="M173" s="28"/>
      <c r="N173" s="28"/>
      <c r="O173" s="28"/>
      <c r="P173" s="28"/>
      <c r="Q173" s="82"/>
      <c r="R173" s="48"/>
      <c r="S173" s="66"/>
      <c r="AG173" s="165"/>
      <c r="AH173" s="165"/>
      <c r="AI173" s="165"/>
      <c r="AJ173" s="165"/>
      <c r="AK173" s="165"/>
    </row>
    <row r="174" spans="1:37" ht="32">
      <c r="A174" s="67" t="s">
        <v>305</v>
      </c>
      <c r="B174" s="41">
        <f>SUM(H158:H169)</f>
        <v>138047405.49688005</v>
      </c>
      <c r="C174" s="28" t="s">
        <v>7</v>
      </c>
      <c r="D174" s="28"/>
      <c r="E174" s="28"/>
      <c r="F174" s="28"/>
      <c r="G174" s="28"/>
      <c r="H174" s="28"/>
      <c r="I174" s="28"/>
      <c r="J174" s="28"/>
      <c r="K174" s="28"/>
      <c r="L174" s="28"/>
      <c r="M174" s="28"/>
      <c r="N174" s="28"/>
      <c r="O174" s="28"/>
      <c r="P174" s="28"/>
      <c r="Q174" s="28"/>
      <c r="R174" s="28"/>
      <c r="S174" s="29"/>
      <c r="AG174" s="165"/>
      <c r="AH174" s="165"/>
      <c r="AI174" s="165"/>
      <c r="AJ174" s="165"/>
      <c r="AK174" s="165"/>
    </row>
    <row r="175" spans="1:37" ht="32">
      <c r="A175" s="67" t="s">
        <v>306</v>
      </c>
      <c r="B175" s="41">
        <f>SUM(I158:I169)</f>
        <v>416396408.04302788</v>
      </c>
      <c r="C175" s="28" t="s">
        <v>7</v>
      </c>
      <c r="D175" s="28"/>
      <c r="E175" s="28"/>
      <c r="F175" s="28"/>
      <c r="G175" s="28"/>
      <c r="H175" s="28"/>
      <c r="I175" s="28"/>
      <c r="J175" s="28"/>
      <c r="K175" s="28"/>
      <c r="L175" s="28"/>
      <c r="M175" s="28"/>
      <c r="N175" s="28"/>
      <c r="O175" s="28"/>
      <c r="P175" s="28"/>
      <c r="Q175" s="28"/>
      <c r="R175" s="28"/>
      <c r="S175" s="29"/>
      <c r="AG175" s="165"/>
      <c r="AH175" s="165"/>
      <c r="AI175" s="165"/>
      <c r="AJ175" s="165"/>
      <c r="AK175" s="165"/>
    </row>
    <row r="176" spans="1:37" ht="32">
      <c r="A176" s="67" t="s">
        <v>307</v>
      </c>
      <c r="B176" s="41">
        <f>SUM(J158:J169)</f>
        <v>47952106521.066048</v>
      </c>
      <c r="C176" s="28" t="s">
        <v>7</v>
      </c>
      <c r="D176" s="28"/>
      <c r="E176" s="28"/>
      <c r="F176" s="28"/>
      <c r="G176" s="28"/>
      <c r="H176" s="28"/>
      <c r="I176" s="28"/>
      <c r="J176" s="28"/>
      <c r="K176" s="28"/>
      <c r="L176" s="28"/>
      <c r="M176" s="28"/>
      <c r="N176" s="28"/>
      <c r="O176" s="28"/>
      <c r="P176" s="28"/>
      <c r="Q176" s="28"/>
      <c r="R176" s="28"/>
      <c r="S176" s="29"/>
      <c r="AG176" s="165"/>
      <c r="AH176" s="165"/>
      <c r="AI176" s="165"/>
      <c r="AJ176" s="165"/>
      <c r="AK176" s="165"/>
    </row>
    <row r="177" spans="1:37" ht="32">
      <c r="A177" s="67" t="s">
        <v>308</v>
      </c>
      <c r="B177" s="41">
        <f>SUM(K158:K169)</f>
        <v>302049941.279544</v>
      </c>
      <c r="C177" s="28" t="s">
        <v>7</v>
      </c>
      <c r="D177" s="28"/>
      <c r="E177" s="28"/>
      <c r="F177" s="28"/>
      <c r="G177" s="28"/>
      <c r="H177" s="28"/>
      <c r="I177" s="28"/>
      <c r="J177" s="28"/>
      <c r="K177" s="28"/>
      <c r="L177" s="28"/>
      <c r="M177" s="28"/>
      <c r="N177" s="28"/>
      <c r="O177" s="28"/>
      <c r="P177" s="28"/>
      <c r="Q177" s="28"/>
      <c r="R177" s="28"/>
      <c r="S177" s="29"/>
      <c r="AG177" s="165"/>
      <c r="AH177" s="165"/>
      <c r="AI177" s="165"/>
      <c r="AJ177" s="165"/>
      <c r="AK177" s="165"/>
    </row>
    <row r="178" spans="1:37" ht="32">
      <c r="A178" s="67" t="s">
        <v>309</v>
      </c>
      <c r="B178" s="41">
        <f>SUM(L158:L169)</f>
        <v>127643206.94958317</v>
      </c>
      <c r="C178" s="28" t="s">
        <v>7</v>
      </c>
      <c r="D178" s="28"/>
      <c r="E178" s="28"/>
      <c r="F178" s="28"/>
      <c r="G178" s="28"/>
      <c r="H178" s="28"/>
      <c r="I178" s="28"/>
      <c r="J178" s="28"/>
      <c r="K178" s="28"/>
      <c r="L178" s="28"/>
      <c r="M178" s="28"/>
      <c r="N178" s="28"/>
      <c r="O178" s="28"/>
      <c r="P178" s="28"/>
      <c r="Q178" s="28"/>
      <c r="R178" s="28"/>
      <c r="S178" s="29"/>
      <c r="AG178" s="165"/>
      <c r="AH178" s="165"/>
      <c r="AI178" s="165"/>
      <c r="AJ178" s="165"/>
      <c r="AK178" s="165"/>
    </row>
    <row r="179" spans="1:37" ht="32">
      <c r="A179" s="67" t="s">
        <v>310</v>
      </c>
      <c r="B179" s="41">
        <f>SUM(M158:M169)</f>
        <v>2407514906.8791623</v>
      </c>
      <c r="C179" s="28" t="s">
        <v>7</v>
      </c>
      <c r="D179" s="28"/>
      <c r="E179" s="28"/>
      <c r="F179" s="28"/>
      <c r="G179" s="28"/>
      <c r="H179" s="28"/>
      <c r="I179" s="28"/>
      <c r="J179" s="28"/>
      <c r="K179" s="28"/>
      <c r="L179" s="28"/>
      <c r="M179" s="28"/>
      <c r="N179" s="28"/>
      <c r="O179" s="28"/>
      <c r="P179" s="28"/>
      <c r="Q179" s="28"/>
      <c r="R179" s="28"/>
      <c r="S179" s="29"/>
      <c r="AG179" s="165"/>
      <c r="AH179" s="165"/>
      <c r="AI179" s="165"/>
      <c r="AJ179" s="165"/>
      <c r="AK179" s="165"/>
    </row>
    <row r="180" spans="1:37" ht="32">
      <c r="A180" s="67" t="s">
        <v>311</v>
      </c>
      <c r="B180" s="41">
        <f>SUM(N158:N169)</f>
        <v>66538419672.590866</v>
      </c>
      <c r="C180" s="28" t="s">
        <v>7</v>
      </c>
      <c r="D180" s="28"/>
      <c r="E180" s="28"/>
      <c r="F180" s="28"/>
      <c r="G180" s="28"/>
      <c r="H180" s="28"/>
      <c r="I180" s="28"/>
      <c r="J180" s="28"/>
      <c r="K180" s="28"/>
      <c r="L180" s="28"/>
      <c r="M180" s="28"/>
      <c r="N180" s="28"/>
      <c r="O180" s="28"/>
      <c r="P180" s="28"/>
      <c r="Q180" s="28"/>
      <c r="R180" s="28"/>
      <c r="S180" s="29"/>
      <c r="AG180" s="165"/>
      <c r="AH180" s="165"/>
      <c r="AI180" s="165"/>
      <c r="AJ180" s="165"/>
      <c r="AK180" s="165"/>
    </row>
    <row r="181" spans="1:37" ht="32">
      <c r="A181" s="68" t="s">
        <v>493</v>
      </c>
      <c r="B181" s="112">
        <f>SUM(B173:B180)</f>
        <v>118292004527.16998</v>
      </c>
      <c r="C181" s="37" t="s">
        <v>7</v>
      </c>
      <c r="D181" s="37"/>
      <c r="E181" s="37"/>
      <c r="F181" s="37"/>
      <c r="G181" s="37"/>
      <c r="H181" s="37"/>
      <c r="I181" s="37"/>
      <c r="J181" s="37"/>
      <c r="K181" s="37"/>
      <c r="L181" s="37"/>
      <c r="M181" s="37"/>
      <c r="N181" s="37"/>
      <c r="O181" s="37"/>
      <c r="P181" s="37"/>
      <c r="Q181" s="37"/>
      <c r="R181" s="37"/>
      <c r="S181" s="42"/>
      <c r="AG181" s="165"/>
      <c r="AH181" s="165"/>
      <c r="AI181" s="165"/>
      <c r="AJ181" s="165"/>
      <c r="AK181" s="165"/>
    </row>
    <row r="182" spans="1:37">
      <c r="AG182" s="165"/>
      <c r="AH182" s="165"/>
      <c r="AI182" s="165"/>
      <c r="AJ182" s="165"/>
      <c r="AK182" s="165"/>
    </row>
    <row r="183" spans="1:37">
      <c r="A183" s="91" t="s">
        <v>436</v>
      </c>
      <c r="AG183" s="165"/>
      <c r="AH183" s="165"/>
      <c r="AI183" s="165"/>
      <c r="AJ183" s="165"/>
      <c r="AK183" s="165"/>
    </row>
    <row r="184" spans="1:37" ht="64">
      <c r="A184" s="60" t="s">
        <v>0</v>
      </c>
      <c r="B184" s="23" t="s">
        <v>1</v>
      </c>
      <c r="C184" s="23" t="s">
        <v>558</v>
      </c>
      <c r="D184" s="23" t="s">
        <v>3</v>
      </c>
      <c r="E184" s="23"/>
      <c r="F184" s="61" t="s">
        <v>8</v>
      </c>
      <c r="G184" s="61" t="s">
        <v>437</v>
      </c>
      <c r="H184" s="61" t="s">
        <v>438</v>
      </c>
      <c r="I184" s="61" t="s">
        <v>439</v>
      </c>
      <c r="J184" s="61" t="s">
        <v>440</v>
      </c>
      <c r="K184" s="61" t="s">
        <v>441</v>
      </c>
      <c r="L184" s="61" t="s">
        <v>442</v>
      </c>
      <c r="M184" s="61" t="s">
        <v>443</v>
      </c>
      <c r="N184" s="61" t="s">
        <v>444</v>
      </c>
      <c r="O184" s="23"/>
      <c r="P184" s="114" t="s">
        <v>425</v>
      </c>
      <c r="Q184" s="114" t="s">
        <v>424</v>
      </c>
      <c r="R184" s="114" t="s">
        <v>429</v>
      </c>
      <c r="S184" s="115" t="s">
        <v>430</v>
      </c>
      <c r="AG184" s="165"/>
      <c r="AH184" s="165"/>
      <c r="AI184" s="165"/>
      <c r="AJ184" s="165"/>
      <c r="AK184" s="165"/>
    </row>
    <row r="185" spans="1:37" ht="16" customHeight="1">
      <c r="A185" s="67" t="s">
        <v>445</v>
      </c>
      <c r="B185" s="82">
        <f>'[1]Weight%'!$B$83</f>
        <v>2.4274274274274272E-2</v>
      </c>
      <c r="C185" s="28" t="s">
        <v>33</v>
      </c>
      <c r="D185" s="171" t="s">
        <v>208</v>
      </c>
      <c r="E185" s="28"/>
      <c r="F185" s="28">
        <v>2009</v>
      </c>
      <c r="G185" s="26"/>
      <c r="H185" s="26"/>
      <c r="I185" s="26">
        <f>I186/data_1tier!N14</f>
        <v>13680937.872959182</v>
      </c>
      <c r="J185" s="26">
        <f>J186/data_1tier!T14</f>
        <v>2623117321.7147141</v>
      </c>
      <c r="K185" s="26"/>
      <c r="L185" s="26"/>
      <c r="M185" s="26">
        <f>M186/data_1tier!AJ19</f>
        <v>118174517.72244658</v>
      </c>
      <c r="N185" s="26">
        <f>N186/data_1tier!AK19</f>
        <v>594613621.30613089</v>
      </c>
      <c r="O185" s="28"/>
      <c r="P185" s="28" t="s">
        <v>88</v>
      </c>
      <c r="Q185" s="82">
        <f>[4]Production!$AM$6</f>
        <v>1.2228027524554744E-2</v>
      </c>
      <c r="R185" s="48">
        <f>Q185/$Q$207</f>
        <v>1.3424043453100313E-2</v>
      </c>
      <c r="S185" s="66">
        <f>$B$201*R185</f>
        <v>59986484.539230496</v>
      </c>
      <c r="AG185" s="165"/>
      <c r="AH185" s="165"/>
      <c r="AI185" s="165"/>
      <c r="AJ185" s="165"/>
      <c r="AK185" s="165"/>
    </row>
    <row r="186" spans="1:37">
      <c r="A186" s="67" t="s">
        <v>446</v>
      </c>
      <c r="B186" s="82">
        <f>'[1]Weight%'!$B$81</f>
        <v>2.6408278228978663E-2</v>
      </c>
      <c r="C186" s="28" t="s">
        <v>33</v>
      </c>
      <c r="D186" s="171"/>
      <c r="E186" s="28"/>
      <c r="F186" s="28">
        <v>2010</v>
      </c>
      <c r="G186" s="26"/>
      <c r="H186" s="26"/>
      <c r="I186" s="26">
        <f>I187/data_1tier!N15</f>
        <v>12923957.178444065</v>
      </c>
      <c r="J186" s="26">
        <f>J187/data_1tier!T15</f>
        <v>3197837922.0510497</v>
      </c>
      <c r="K186" s="26"/>
      <c r="L186" s="26">
        <f>L187/data_1tier!AD15</f>
        <v>1471123.5634680747</v>
      </c>
      <c r="M186" s="26">
        <f>M187/data_1tier!AJ20</f>
        <v>163403545.22925964</v>
      </c>
      <c r="N186" s="26">
        <f>N187/data_1tier!AK20</f>
        <v>822190567.26960397</v>
      </c>
      <c r="O186" s="28"/>
      <c r="P186" s="28" t="s">
        <v>17</v>
      </c>
      <c r="Q186" s="82">
        <f>[4]Production!$AT$6</f>
        <v>0.26484899573643716</v>
      </c>
      <c r="R186" s="48">
        <f t="shared" ref="R186:R206" si="34">Q186/$Q$207</f>
        <v>0.29075371478650414</v>
      </c>
      <c r="S186" s="66">
        <f t="shared" ref="S186:S206" si="35">$B$201*R186</f>
        <v>1299257803.9321198</v>
      </c>
      <c r="AG186" s="165"/>
      <c r="AH186" s="165"/>
      <c r="AI186" s="165"/>
      <c r="AJ186" s="165"/>
      <c r="AK186" s="165"/>
    </row>
    <row r="187" spans="1:37">
      <c r="A187" s="67" t="s">
        <v>447</v>
      </c>
      <c r="B187" s="82">
        <f>'[1]Weight%'!$B$82</f>
        <v>2.9457252603944203E-2</v>
      </c>
      <c r="C187" s="28" t="s">
        <v>33</v>
      </c>
      <c r="D187" s="171"/>
      <c r="E187" s="28"/>
      <c r="F187" s="28">
        <v>2011</v>
      </c>
      <c r="G187" s="26">
        <f>G188/data_1tier!D13</f>
        <v>1754782.4324324324</v>
      </c>
      <c r="H187" s="26"/>
      <c r="I187" s="26">
        <f>I188/data_1tier!N16</f>
        <v>12669305.121133488</v>
      </c>
      <c r="J187" s="26">
        <f>J188/data_1tier!T16</f>
        <v>3288863928.4339328</v>
      </c>
      <c r="K187" s="26"/>
      <c r="L187" s="26">
        <f>L188/data_1tier!AD16</f>
        <v>1277371.4853141564</v>
      </c>
      <c r="M187" s="26">
        <f>M188/data_1tier!AJ21</f>
        <v>168806583.24263221</v>
      </c>
      <c r="N187" s="26">
        <f>N188/data_1tier!AK21</f>
        <v>849376800.4872576</v>
      </c>
      <c r="O187" s="28"/>
      <c r="P187" s="28" t="s">
        <v>22</v>
      </c>
      <c r="Q187" s="82">
        <f>[4]Production!$BG$6</f>
        <v>0.10985578682318725</v>
      </c>
      <c r="R187" s="48">
        <f t="shared" si="34"/>
        <v>0.12060071445927568</v>
      </c>
      <c r="S187" s="66">
        <f t="shared" si="35"/>
        <v>538914591.46466696</v>
      </c>
      <c r="AG187" s="165"/>
      <c r="AH187" s="165"/>
      <c r="AI187" s="165"/>
      <c r="AJ187" s="165"/>
      <c r="AK187" s="165"/>
    </row>
    <row r="188" spans="1:37">
      <c r="A188" s="67" t="s">
        <v>448</v>
      </c>
      <c r="B188" s="82">
        <f>'[1]Weight%'!$B$80</f>
        <v>2.9129129129129128E-2</v>
      </c>
      <c r="C188" s="28" t="s">
        <v>33</v>
      </c>
      <c r="D188" s="171"/>
      <c r="E188" s="28"/>
      <c r="F188" s="28">
        <v>2012</v>
      </c>
      <c r="G188" s="26">
        <f>G189/data_1tier!D14</f>
        <v>2584962.6126126125</v>
      </c>
      <c r="H188" s="26">
        <f>H189/data_1tier!I14</f>
        <v>2565870.5659727333</v>
      </c>
      <c r="I188" s="26">
        <f>I189/data_1tier!N17</f>
        <v>20471329.480012067</v>
      </c>
      <c r="J188" s="26">
        <f>J189/data_1tier!T17</f>
        <v>3463678628.6126113</v>
      </c>
      <c r="K188" s="26"/>
      <c r="L188" s="26">
        <f>L189/data_1tier!AD17</f>
        <v>2373753.0054066884</v>
      </c>
      <c r="M188" s="26">
        <f>M189/data_1tier!AJ22</f>
        <v>178702520.26897898</v>
      </c>
      <c r="N188" s="26">
        <f>N189/data_1tier!AK22</f>
        <v>899169759.78897178</v>
      </c>
      <c r="O188" s="28"/>
      <c r="P188" s="28" t="s">
        <v>431</v>
      </c>
      <c r="Q188" s="82">
        <f>[4]Production!$BI$6</f>
        <v>1.0053426394441279E-2</v>
      </c>
      <c r="R188" s="48">
        <f t="shared" si="34"/>
        <v>1.1036745910206766E-2</v>
      </c>
      <c r="S188" s="66">
        <f t="shared" si="35"/>
        <v>49318641.601471454</v>
      </c>
      <c r="AG188" s="165"/>
      <c r="AH188" s="165"/>
      <c r="AI188" s="165"/>
      <c r="AJ188" s="165"/>
      <c r="AK188" s="165"/>
    </row>
    <row r="189" spans="1:37">
      <c r="A189" s="67" t="s">
        <v>449</v>
      </c>
      <c r="B189" s="82">
        <f>'[1]Weight%'!$B$86</f>
        <v>1.744297432592094E-2</v>
      </c>
      <c r="C189" s="28" t="s">
        <v>33</v>
      </c>
      <c r="D189" s="171"/>
      <c r="E189" s="28"/>
      <c r="F189" s="28">
        <v>2013</v>
      </c>
      <c r="G189" s="26">
        <f>G190/data_1tier!D15</f>
        <v>4953335.5855855849</v>
      </c>
      <c r="H189" s="26">
        <f>H190/data_1tier!I15</f>
        <v>3872467.6662522652</v>
      </c>
      <c r="I189" s="26">
        <f>I190/data_1tier!N18</f>
        <v>23355312.338948622</v>
      </c>
      <c r="J189" s="26">
        <f>J190/data_1tier!T18</f>
        <v>3609975438.8993983</v>
      </c>
      <c r="K189" s="26"/>
      <c r="L189" s="26">
        <f>L190/data_1tier!AD18</f>
        <v>3383120.1191426702</v>
      </c>
      <c r="M189" s="26">
        <f>M190/data_1tier!AJ23</f>
        <v>184577133.68178207</v>
      </c>
      <c r="N189" s="26">
        <f>N190/data_1tier!AK23</f>
        <v>928728798.59431398</v>
      </c>
      <c r="O189" s="28"/>
      <c r="P189" s="28" t="s">
        <v>26</v>
      </c>
      <c r="Q189" s="82">
        <f>[4]Production!$BW$6</f>
        <v>2.7656314708905425E-2</v>
      </c>
      <c r="R189" s="48">
        <f t="shared" si="34"/>
        <v>3.0361362015210409E-2</v>
      </c>
      <c r="S189" s="66">
        <f t="shared" si="35"/>
        <v>135672338.92518222</v>
      </c>
      <c r="AG189" s="165"/>
      <c r="AH189" s="165"/>
      <c r="AI189" s="165"/>
      <c r="AJ189" s="165"/>
      <c r="AK189" s="165"/>
    </row>
    <row r="190" spans="1:37">
      <c r="A190" s="67" t="s">
        <v>450</v>
      </c>
      <c r="B190" s="82">
        <f>'[1]Weight%'!$B$85</f>
        <v>2.7623621065571476E-2</v>
      </c>
      <c r="C190" s="28" t="s">
        <v>33</v>
      </c>
      <c r="D190" s="171"/>
      <c r="E190" s="28"/>
      <c r="F190" s="28">
        <v>2014</v>
      </c>
      <c r="G190" s="26">
        <f>G191/data_1tier!D16</f>
        <v>8462463.5135135129</v>
      </c>
      <c r="H190" s="26">
        <f>H191/data_1tier!I16</f>
        <v>5677357.2867787499</v>
      </c>
      <c r="I190" s="26">
        <f>I191/data_1tier!N19</f>
        <v>20918089.955904528</v>
      </c>
      <c r="J190" s="26">
        <f>J191/data_1tier!T19</f>
        <v>3721803660.5330319</v>
      </c>
      <c r="K190" s="26"/>
      <c r="L190" s="26">
        <f>L191/data_1tier!AD19</f>
        <v>6689280.8299966585</v>
      </c>
      <c r="M190" s="26">
        <f>M191/data_1tier!AJ24</f>
        <v>185792141.87826914</v>
      </c>
      <c r="N190" s="26">
        <f>N191/data_1tier!AK24</f>
        <v>934842302.90601861</v>
      </c>
      <c r="O190" s="28"/>
      <c r="P190" s="28" t="s">
        <v>28</v>
      </c>
      <c r="Q190" s="82">
        <f>[4]Production!$CE$6</f>
        <v>8.9863625071727557E-2</v>
      </c>
      <c r="R190" s="48">
        <f t="shared" si="34"/>
        <v>9.8653131536838884E-2</v>
      </c>
      <c r="S190" s="66">
        <f t="shared" si="35"/>
        <v>440839942.92453784</v>
      </c>
      <c r="AG190" s="165"/>
      <c r="AH190" s="165"/>
      <c r="AI190" s="165"/>
      <c r="AJ190" s="165"/>
      <c r="AK190" s="165"/>
    </row>
    <row r="191" spans="1:37">
      <c r="A191" s="67" t="s">
        <v>451</v>
      </c>
      <c r="B191" s="82">
        <f>'[1]Weight%'!$B$84</f>
        <v>2.3856479818501881E-2</v>
      </c>
      <c r="C191" s="28" t="s">
        <v>33</v>
      </c>
      <c r="D191" s="171"/>
      <c r="E191" s="28"/>
      <c r="F191" s="28">
        <v>2015</v>
      </c>
      <c r="G191" s="26">
        <f>G192/data_1tier!D17</f>
        <v>14363559.009009007</v>
      </c>
      <c r="H191" s="26">
        <f>H192/data_1tier!I17</f>
        <v>9433375.0093525108</v>
      </c>
      <c r="I191" s="26">
        <f>I192/data_1tier!N20</f>
        <v>21726067.046127595</v>
      </c>
      <c r="J191" s="26">
        <f>J192/data_1tier!T20</f>
        <v>3763395736.6426415</v>
      </c>
      <c r="K191" s="26">
        <f>K192/data_1tier!Y15</f>
        <v>15698676.893328846</v>
      </c>
      <c r="L191" s="26">
        <f>L192/data_1tier!AD20</f>
        <v>8914529.2485548351</v>
      </c>
      <c r="M191" s="26">
        <f>M192/data_1tier!AJ25</f>
        <v>187875542.83462176</v>
      </c>
      <c r="N191" s="26">
        <f>N192/data_1tier!AK25</f>
        <v>945325261.59427881</v>
      </c>
      <c r="O191" s="28"/>
      <c r="P191" s="28" t="s">
        <v>21</v>
      </c>
      <c r="Q191" s="82">
        <f>[4]Production!$CU$6</f>
        <v>1.0848446596259732E-2</v>
      </c>
      <c r="R191" s="48">
        <f t="shared" si="34"/>
        <v>1.1909526554008277E-2</v>
      </c>
      <c r="S191" s="66">
        <f t="shared" si="35"/>
        <v>53218736.440887921</v>
      </c>
      <c r="AG191" s="165"/>
      <c r="AH191" s="165"/>
      <c r="AI191" s="165"/>
      <c r="AJ191" s="165"/>
      <c r="AK191" s="165"/>
    </row>
    <row r="192" spans="1:37">
      <c r="A192" s="67" t="s">
        <v>452</v>
      </c>
      <c r="B192" s="82">
        <f>'[1]Weight%'!$B$87</f>
        <v>5.4617117117117114E-3</v>
      </c>
      <c r="C192" s="28" t="s">
        <v>33</v>
      </c>
      <c r="D192" s="171"/>
      <c r="E192" s="28"/>
      <c r="F192" s="28">
        <v>2016</v>
      </c>
      <c r="G192" s="26">
        <f>G193/data_1tier!D18</f>
        <v>20346842.342342339</v>
      </c>
      <c r="H192" s="26">
        <f>H193/data_1tier!I18</f>
        <v>12169145.874139201</v>
      </c>
      <c r="I192" s="26">
        <f>I193/data_1tier!N21</f>
        <v>34201700.531010844</v>
      </c>
      <c r="J192" s="26">
        <f>J193/data_1tier!T21</f>
        <v>3959194673.4459448</v>
      </c>
      <c r="K192" s="26">
        <f>K193/data_1tier!Y16</f>
        <v>23548015.339993268</v>
      </c>
      <c r="L192" s="26">
        <f>L193/data_1tier!AD21</f>
        <v>13148843.627212025</v>
      </c>
      <c r="M192" s="26">
        <f>M193/data_1tier!AJ26</f>
        <v>193197867.50758737</v>
      </c>
      <c r="N192" s="26">
        <f>N193/data_1tier!AK26</f>
        <v>972105372.97998369</v>
      </c>
      <c r="O192" s="28"/>
      <c r="P192" s="28" t="s">
        <v>149</v>
      </c>
      <c r="Q192" s="82">
        <f>[4]Production!$CW$6</f>
        <v>1.1580159313396661E-2</v>
      </c>
      <c r="R192" s="48">
        <f t="shared" si="34"/>
        <v>1.2712807646589061E-2</v>
      </c>
      <c r="S192" s="66">
        <f t="shared" si="35"/>
        <v>56808266.60064204</v>
      </c>
      <c r="AG192" s="165"/>
      <c r="AH192" s="165"/>
      <c r="AI192" s="165"/>
      <c r="AJ192" s="165"/>
      <c r="AK192" s="165"/>
    </row>
    <row r="193" spans="1:37" ht="32">
      <c r="A193" s="67" t="s">
        <v>437</v>
      </c>
      <c r="B193" s="65">
        <f>data_1tier!B7*B185</f>
        <v>88057342.792792782</v>
      </c>
      <c r="C193" s="28" t="s">
        <v>7</v>
      </c>
      <c r="D193" s="28"/>
      <c r="E193" s="28"/>
      <c r="F193" s="28">
        <v>2017</v>
      </c>
      <c r="G193" s="26">
        <f>G194/data_1tier!D19</f>
        <v>33184180.630630627</v>
      </c>
      <c r="H193" s="26">
        <f>H194/data_1tier!I19</f>
        <v>17625391.928962357</v>
      </c>
      <c r="I193" s="26">
        <f>I194/data_1tier!N22</f>
        <v>50276499.780585937</v>
      </c>
      <c r="J193" s="26">
        <f>J194/data_1tier!T22</f>
        <v>4033381204.4129119</v>
      </c>
      <c r="K193" s="26">
        <f>K194/data_1tier!Y17</f>
        <v>31397353.786657691</v>
      </c>
      <c r="L193" s="26">
        <f>L194/data_1tier!AD22</f>
        <v>14695766.406884028</v>
      </c>
      <c r="M193" s="26">
        <f>M194/data_1tier!AJ27</f>
        <v>201432816.06323197</v>
      </c>
      <c r="N193" s="26">
        <f>N194/data_1tier!AK27</f>
        <v>1013540808.2693586</v>
      </c>
      <c r="O193" s="28"/>
      <c r="P193" s="28" t="s">
        <v>142</v>
      </c>
      <c r="Q193" s="82">
        <f>[4]Production!$DB$6</f>
        <v>2.2704175960159109E-2</v>
      </c>
      <c r="R193" s="48">
        <f t="shared" si="34"/>
        <v>2.4924857589990527E-2</v>
      </c>
      <c r="S193" s="66">
        <f t="shared" si="35"/>
        <v>111378854.64153346</v>
      </c>
      <c r="AG193" s="165"/>
      <c r="AH193" s="165"/>
      <c r="AI193" s="165"/>
      <c r="AJ193" s="165"/>
      <c r="AK193" s="165"/>
    </row>
    <row r="194" spans="1:37" ht="32">
      <c r="A194" s="67" t="s">
        <v>438</v>
      </c>
      <c r="B194" s="65">
        <f>data_1tier!G7*B186</f>
        <v>41321730.123428158</v>
      </c>
      <c r="C194" s="28" t="s">
        <v>7</v>
      </c>
      <c r="D194" s="28"/>
      <c r="E194" s="28"/>
      <c r="F194" s="28">
        <v>2018</v>
      </c>
      <c r="G194" s="26">
        <f>G195/data_1tier!D20</f>
        <v>59943640.540540531</v>
      </c>
      <c r="H194" s="26">
        <f>H195/data_1tier!I20</f>
        <v>27159794.447507646</v>
      </c>
      <c r="I194" s="26">
        <f>I195/data_1tier!N23</f>
        <v>61337329.73231484</v>
      </c>
      <c r="J194" s="26">
        <f>J195/data_1tier!T23</f>
        <v>3870954280.4384375</v>
      </c>
      <c r="K194" s="26">
        <f>K195/data_1tier!Y18</f>
        <v>47096030.679986537</v>
      </c>
      <c r="L194" s="26">
        <f>L195/data_1tier!AD23</f>
        <v>17016150.576392032</v>
      </c>
      <c r="M194" s="26">
        <f>M195/data_1tier!AJ28</f>
        <v>212337429.09843835</v>
      </c>
      <c r="N194" s="26">
        <f>N195/data_1tier!AK28</f>
        <v>1068409079.1180284</v>
      </c>
      <c r="O194" s="28"/>
      <c r="P194" s="28" t="s">
        <v>18</v>
      </c>
      <c r="Q194" s="82">
        <f>[4]Production!$DE$6</f>
        <v>2.0969236053436667E-2</v>
      </c>
      <c r="R194" s="48">
        <f t="shared" si="34"/>
        <v>2.3020224267110603E-2</v>
      </c>
      <c r="S194" s="66">
        <f t="shared" si="35"/>
        <v>102867837.98883833</v>
      </c>
      <c r="AG194" s="165"/>
      <c r="AH194" s="165"/>
      <c r="AI194" s="165"/>
      <c r="AJ194" s="165"/>
      <c r="AK194" s="165"/>
    </row>
    <row r="195" spans="1:37" ht="32">
      <c r="A195" s="67" t="s">
        <v>439</v>
      </c>
      <c r="B195" s="65">
        <f>data_1tier!L7*B187</f>
        <v>94263208.332621455</v>
      </c>
      <c r="C195" s="28" t="s">
        <v>7</v>
      </c>
      <c r="D195" s="28"/>
      <c r="E195" s="28"/>
      <c r="F195" s="28">
        <v>2019</v>
      </c>
      <c r="G195" s="26">
        <f>G196/data_1tier!D21</f>
        <v>67509247.297297284</v>
      </c>
      <c r="H195" s="26">
        <f>H196/data_1tier!I21</f>
        <v>24434629.147257715</v>
      </c>
      <c r="I195" s="26">
        <f>I196/data_1tier!N24</f>
        <v>69311182.597515777</v>
      </c>
      <c r="J195" s="26">
        <f>J196/data_1tier!T24</f>
        <v>3687055478.2642636</v>
      </c>
      <c r="K195" s="26">
        <f>K196/data_1tier!Y19</f>
        <v>31397353.786657691</v>
      </c>
      <c r="L195" s="26">
        <f>L196/data_1tier!AD24</f>
        <v>18563073.356064033</v>
      </c>
      <c r="M195" s="26">
        <f>M196/data_1tier!AJ29</f>
        <v>208120171.84483826</v>
      </c>
      <c r="N195" s="26">
        <f>N196/data_1tier!AK29</f>
        <v>1047189287.7799977</v>
      </c>
      <c r="O195" s="28"/>
      <c r="P195" s="28" t="s">
        <v>19</v>
      </c>
      <c r="Q195" s="82">
        <f>[4]Production!$DJ$6</f>
        <v>1.8343791841158065E-2</v>
      </c>
      <c r="R195" s="48">
        <f t="shared" si="34"/>
        <v>2.0137986954629414E-2</v>
      </c>
      <c r="S195" s="66">
        <f t="shared" si="35"/>
        <v>89988314.424452409</v>
      </c>
      <c r="AG195" s="165"/>
      <c r="AH195" s="165"/>
      <c r="AI195" s="165"/>
      <c r="AJ195" s="165"/>
      <c r="AK195" s="165"/>
    </row>
    <row r="196" spans="1:37" ht="32">
      <c r="A196" s="67" t="s">
        <v>440</v>
      </c>
      <c r="B196" s="65">
        <f>data_1tier!R7*B188</f>
        <v>3065781113.309309</v>
      </c>
      <c r="C196" s="28" t="s">
        <v>7</v>
      </c>
      <c r="D196" s="28"/>
      <c r="E196" s="28"/>
      <c r="F196" s="28">
        <v>2020</v>
      </c>
      <c r="G196" s="26">
        <f>B193</f>
        <v>88057342.792792782</v>
      </c>
      <c r="H196" s="26">
        <f>B194</f>
        <v>41321730.123428158</v>
      </c>
      <c r="I196" s="26">
        <f>B195</f>
        <v>94263208.332621455</v>
      </c>
      <c r="J196" s="26">
        <f>B196</f>
        <v>3065781113.309309</v>
      </c>
      <c r="K196" s="26">
        <f>B197</f>
        <v>48979871.907186002</v>
      </c>
      <c r="L196" s="26">
        <f>B198</f>
        <v>20109996.135736033</v>
      </c>
      <c r="M196" s="26">
        <f>B199</f>
        <v>184040996.05726203</v>
      </c>
      <c r="N196" s="26">
        <f>B200</f>
        <v>926031138.04465926</v>
      </c>
      <c r="O196" s="28"/>
      <c r="P196" s="28" t="s">
        <v>163</v>
      </c>
      <c r="Q196" s="82">
        <f>[4]Production!$ED$6</f>
        <v>6.2782395590586404E-2</v>
      </c>
      <c r="R196" s="48">
        <f t="shared" si="34"/>
        <v>6.8923103485445725E-2</v>
      </c>
      <c r="S196" s="66">
        <f t="shared" si="35"/>
        <v>307988773.73051202</v>
      </c>
      <c r="AG196" s="165"/>
      <c r="AH196" s="165"/>
      <c r="AI196" s="165"/>
      <c r="AJ196" s="165"/>
      <c r="AK196" s="165"/>
    </row>
    <row r="197" spans="1:37" ht="32">
      <c r="A197" s="67" t="s">
        <v>441</v>
      </c>
      <c r="B197" s="65">
        <f>data_1tier!W7*B189</f>
        <v>48979871.907186002</v>
      </c>
      <c r="C197" s="28" t="s">
        <v>7</v>
      </c>
      <c r="D197" s="28"/>
      <c r="E197" s="28"/>
      <c r="F197" s="28"/>
      <c r="G197" s="28"/>
      <c r="H197" s="28"/>
      <c r="I197" s="28"/>
      <c r="J197" s="28"/>
      <c r="K197" s="28"/>
      <c r="L197" s="28"/>
      <c r="M197" s="28"/>
      <c r="N197" s="28"/>
      <c r="O197" s="28"/>
      <c r="P197" s="28" t="s">
        <v>23</v>
      </c>
      <c r="Q197" s="82">
        <f>[4]Production!$FO$6</f>
        <v>8.0537390267956116E-2</v>
      </c>
      <c r="R197" s="48">
        <f t="shared" si="34"/>
        <v>8.8414703384118221E-2</v>
      </c>
      <c r="S197" s="66">
        <f t="shared" si="35"/>
        <v>395088652.39609748</v>
      </c>
      <c r="AG197" s="165"/>
      <c r="AH197" s="165"/>
      <c r="AI197" s="165"/>
      <c r="AJ197" s="165"/>
      <c r="AK197" s="165"/>
    </row>
    <row r="198" spans="1:37" ht="32">
      <c r="A198" s="67" t="s">
        <v>442</v>
      </c>
      <c r="B198" s="65">
        <f>data_1tier!AB7*B190</f>
        <v>20109996.135736033</v>
      </c>
      <c r="C198" s="28" t="s">
        <v>7</v>
      </c>
      <c r="D198" s="28"/>
      <c r="E198" s="28"/>
      <c r="F198" s="28"/>
      <c r="G198" s="28"/>
      <c r="H198" s="28"/>
      <c r="I198" s="28"/>
      <c r="J198" s="28"/>
      <c r="K198" s="28"/>
      <c r="L198" s="28"/>
      <c r="M198" s="28"/>
      <c r="N198" s="28"/>
      <c r="O198" s="28"/>
      <c r="P198" s="28" t="s">
        <v>432</v>
      </c>
      <c r="Q198" s="82">
        <f>[4]Production!$FT$6</f>
        <v>1.2115949805786964E-2</v>
      </c>
      <c r="R198" s="48">
        <f t="shared" si="34"/>
        <v>1.3301003480885512E-2</v>
      </c>
      <c r="S198" s="66">
        <f t="shared" si="35"/>
        <v>59436669.916180693</v>
      </c>
      <c r="AG198" s="165"/>
      <c r="AH198" s="165"/>
      <c r="AI198" s="165"/>
      <c r="AJ198" s="165"/>
      <c r="AK198" s="165"/>
    </row>
    <row r="199" spans="1:37" ht="32">
      <c r="A199" s="67" t="s">
        <v>443</v>
      </c>
      <c r="B199" s="65">
        <f>data_1tier!AG9*B191</f>
        <v>184040996.05726203</v>
      </c>
      <c r="C199" s="28" t="s">
        <v>7</v>
      </c>
      <c r="D199" s="28"/>
      <c r="E199" s="28"/>
      <c r="F199" s="28"/>
      <c r="G199" s="28"/>
      <c r="H199" s="28"/>
      <c r="I199" s="28"/>
      <c r="J199" s="28"/>
      <c r="K199" s="28"/>
      <c r="L199" s="28"/>
      <c r="M199" s="28"/>
      <c r="N199" s="28"/>
      <c r="O199" s="28"/>
      <c r="P199" s="28" t="s">
        <v>47</v>
      </c>
      <c r="Q199" s="82">
        <f>[4]Production!$GK$6</f>
        <v>1.1244698225563144E-2</v>
      </c>
      <c r="R199" s="48">
        <f t="shared" si="34"/>
        <v>1.2344535313961531E-2</v>
      </c>
      <c r="S199" s="66">
        <f t="shared" si="35"/>
        <v>55162610.233052909</v>
      </c>
      <c r="AG199" s="165"/>
      <c r="AH199" s="165"/>
      <c r="AI199" s="165"/>
      <c r="AJ199" s="165"/>
      <c r="AK199" s="165"/>
    </row>
    <row r="200" spans="1:37" ht="32">
      <c r="A200" s="67" t="s">
        <v>444</v>
      </c>
      <c r="B200" s="65">
        <f>data_1tier!AG11*B192</f>
        <v>926031138.04465926</v>
      </c>
      <c r="C200" s="28" t="s">
        <v>7</v>
      </c>
      <c r="D200" s="28"/>
      <c r="E200" s="28"/>
      <c r="F200" s="28"/>
      <c r="G200" s="28"/>
      <c r="H200" s="28"/>
      <c r="I200" s="28"/>
      <c r="J200" s="28"/>
      <c r="K200" s="28"/>
      <c r="L200" s="28"/>
      <c r="M200" s="28"/>
      <c r="N200" s="28"/>
      <c r="O200" s="28"/>
      <c r="P200" s="28" t="s">
        <v>433</v>
      </c>
      <c r="Q200" s="82">
        <f>[4]Production!$GM$6</f>
        <v>3.2681549173147598E-2</v>
      </c>
      <c r="R200" s="48">
        <f t="shared" si="34"/>
        <v>3.5878111603362857E-2</v>
      </c>
      <c r="S200" s="66">
        <f t="shared" si="35"/>
        <v>160324405.57206753</v>
      </c>
      <c r="AG200" s="165"/>
      <c r="AH200" s="165"/>
      <c r="AI200" s="165"/>
      <c r="AJ200" s="165"/>
      <c r="AK200" s="165"/>
    </row>
    <row r="201" spans="1:37" ht="43.5" customHeight="1">
      <c r="A201" s="67" t="s">
        <v>481</v>
      </c>
      <c r="B201" s="65">
        <f>SUM(B193:B200)</f>
        <v>4468585396.7029943</v>
      </c>
      <c r="C201" s="28" t="s">
        <v>7</v>
      </c>
      <c r="D201" s="28"/>
      <c r="E201" s="28"/>
      <c r="F201" s="28"/>
      <c r="G201" s="28"/>
      <c r="H201" s="28"/>
      <c r="I201" s="28"/>
      <c r="J201" s="28"/>
      <c r="K201" s="28"/>
      <c r="L201" s="28"/>
      <c r="M201" s="28"/>
      <c r="N201" s="28"/>
      <c r="O201" s="28"/>
      <c r="P201" s="28" t="s">
        <v>161</v>
      </c>
      <c r="Q201" s="82">
        <f>[4]Production!$GS$6</f>
        <v>3.0600322891209685E-2</v>
      </c>
      <c r="R201" s="48">
        <f t="shared" si="34"/>
        <v>3.3593321845704356E-2</v>
      </c>
      <c r="S201" s="66">
        <f t="shared" si="35"/>
        <v>150114627.42645818</v>
      </c>
      <c r="AG201" s="165"/>
      <c r="AH201" s="165"/>
      <c r="AI201" s="165"/>
      <c r="AJ201" s="165"/>
      <c r="AK201" s="165"/>
    </row>
    <row r="202" spans="1:37" ht="32">
      <c r="A202" s="67" t="s">
        <v>453</v>
      </c>
      <c r="B202" s="65">
        <f>SUM(G185:G196)</f>
        <v>301160356.75675672</v>
      </c>
      <c r="C202" s="28" t="s">
        <v>7</v>
      </c>
      <c r="D202" s="28"/>
      <c r="E202" s="28"/>
      <c r="F202" s="28"/>
      <c r="G202" s="28"/>
      <c r="H202" s="28"/>
      <c r="I202" s="28"/>
      <c r="J202" s="28"/>
      <c r="K202" s="28"/>
      <c r="L202" s="28"/>
      <c r="M202" s="28"/>
      <c r="N202" s="28"/>
      <c r="O202" s="28"/>
      <c r="P202" s="28" t="s">
        <v>434</v>
      </c>
      <c r="Q202" s="82">
        <f>[4]Production!$GY$6</f>
        <v>1.4507251919244584E-2</v>
      </c>
      <c r="R202" s="48">
        <f t="shared" si="34"/>
        <v>1.5926197398390584E-2</v>
      </c>
      <c r="S202" s="66">
        <f t="shared" si="35"/>
        <v>71167573.119457379</v>
      </c>
      <c r="AG202" s="165"/>
      <c r="AH202" s="165"/>
      <c r="AI202" s="165"/>
      <c r="AJ202" s="165"/>
      <c r="AK202" s="165"/>
    </row>
    <row r="203" spans="1:37" ht="32">
      <c r="A203" s="67" t="s">
        <v>454</v>
      </c>
      <c r="B203" s="65">
        <f>SUM(H185:H196)</f>
        <v>144259762.04965132</v>
      </c>
      <c r="C203" s="28" t="s">
        <v>7</v>
      </c>
      <c r="D203" s="28"/>
      <c r="E203" s="28"/>
      <c r="F203" s="28"/>
      <c r="G203" s="28"/>
      <c r="H203" s="28"/>
      <c r="I203" s="28"/>
      <c r="J203" s="28"/>
      <c r="K203" s="28"/>
      <c r="L203" s="28"/>
      <c r="M203" s="28"/>
      <c r="N203" s="28"/>
      <c r="O203" s="28"/>
      <c r="P203" s="28" t="s">
        <v>435</v>
      </c>
      <c r="Q203" s="82">
        <f>[4]Production!$HC$6</f>
        <v>1.2083915531308432E-2</v>
      </c>
      <c r="R203" s="48">
        <f t="shared" si="34"/>
        <v>1.3265835953520625E-2</v>
      </c>
      <c r="S203" s="66">
        <f t="shared" si="35"/>
        <v>59279520.816959806</v>
      </c>
      <c r="AG203" s="165"/>
      <c r="AH203" s="165"/>
      <c r="AI203" s="165"/>
      <c r="AJ203" s="165"/>
      <c r="AK203" s="165"/>
    </row>
    <row r="204" spans="1:37" ht="32">
      <c r="A204" s="67" t="s">
        <v>455</v>
      </c>
      <c r="B204" s="65">
        <f>SUM(I185:I196)</f>
        <v>435134919.96757841</v>
      </c>
      <c r="C204" s="28" t="s">
        <v>7</v>
      </c>
      <c r="D204" s="28"/>
      <c r="E204" s="28"/>
      <c r="F204" s="28"/>
      <c r="G204" s="28"/>
      <c r="H204" s="28"/>
      <c r="I204" s="28"/>
      <c r="J204" s="28"/>
      <c r="K204" s="28"/>
      <c r="L204" s="28"/>
      <c r="M204" s="28"/>
      <c r="N204" s="28"/>
      <c r="O204" s="28"/>
      <c r="P204" s="28" t="s">
        <v>147</v>
      </c>
      <c r="Q204" s="82">
        <f>[4]Production!$HJ$6</f>
        <v>1.0370775643407742E-2</v>
      </c>
      <c r="R204" s="48">
        <f t="shared" si="34"/>
        <v>1.1385134896032972E-2</v>
      </c>
      <c r="S204" s="66">
        <f t="shared" si="35"/>
        <v>50875447.535906598</v>
      </c>
      <c r="AG204" s="165"/>
      <c r="AH204" s="165"/>
      <c r="AI204" s="165"/>
      <c r="AJ204" s="165"/>
      <c r="AK204" s="165"/>
    </row>
    <row r="205" spans="1:37" ht="32">
      <c r="A205" s="67" t="s">
        <v>456</v>
      </c>
      <c r="B205" s="65">
        <f>SUM(J185:J196)</f>
        <v>42285039386.758255</v>
      </c>
      <c r="C205" s="28" t="s">
        <v>7</v>
      </c>
      <c r="D205" s="28"/>
      <c r="E205" s="28"/>
      <c r="F205" s="28"/>
      <c r="G205" s="28"/>
      <c r="H205" s="28"/>
      <c r="I205" s="28"/>
      <c r="J205" s="28"/>
      <c r="K205" s="28"/>
      <c r="L205" s="28"/>
      <c r="M205" s="28"/>
      <c r="N205" s="28"/>
      <c r="O205" s="28"/>
      <c r="P205" s="28" t="s">
        <v>25</v>
      </c>
      <c r="Q205" s="82">
        <f>[4]Production!$HR$6</f>
        <v>1.7018265112561982E-2</v>
      </c>
      <c r="R205" s="48">
        <f t="shared" si="34"/>
        <v>1.8682811263604167E-2</v>
      </c>
      <c r="S205" s="66">
        <f t="shared" si="35"/>
        <v>83485737.581899792</v>
      </c>
      <c r="AG205" s="165"/>
      <c r="AH205" s="165"/>
      <c r="AI205" s="165"/>
      <c r="AJ205" s="165"/>
      <c r="AK205" s="165"/>
    </row>
    <row r="206" spans="1:37" ht="32">
      <c r="A206" s="67" t="s">
        <v>457</v>
      </c>
      <c r="B206" s="65">
        <f>SUM(K185:K196)</f>
        <v>198117302.39381003</v>
      </c>
      <c r="C206" s="28" t="s">
        <v>7</v>
      </c>
      <c r="D206" s="28"/>
      <c r="E206" s="28"/>
      <c r="F206" s="28"/>
      <c r="G206" s="28"/>
      <c r="H206" s="28"/>
      <c r="I206" s="28"/>
      <c r="J206" s="28"/>
      <c r="K206" s="28"/>
      <c r="L206" s="28"/>
      <c r="M206" s="28"/>
      <c r="N206" s="28"/>
      <c r="O206" s="28"/>
      <c r="P206" s="28" t="s">
        <v>20</v>
      </c>
      <c r="Q206" s="82">
        <f>[4]Production!$HT$6</f>
        <v>2.8010441927521224E-2</v>
      </c>
      <c r="R206" s="48">
        <f t="shared" si="34"/>
        <v>3.0750126201509305E-2</v>
      </c>
      <c r="S206" s="66">
        <f t="shared" si="35"/>
        <v>137409564.89083859</v>
      </c>
      <c r="AG206" s="165"/>
      <c r="AH206" s="165"/>
      <c r="AI206" s="165"/>
      <c r="AJ206" s="165"/>
      <c r="AK206" s="165"/>
    </row>
    <row r="207" spans="1:37" ht="32">
      <c r="A207" s="67" t="s">
        <v>458</v>
      </c>
      <c r="B207" s="65">
        <f>SUM(L185:L196)</f>
        <v>107643008.35417125</v>
      </c>
      <c r="C207" s="28" t="s">
        <v>7</v>
      </c>
      <c r="D207" s="28"/>
      <c r="E207" s="28"/>
      <c r="F207" s="28"/>
      <c r="G207" s="28"/>
      <c r="H207" s="28"/>
      <c r="I207" s="28"/>
      <c r="J207" s="28"/>
      <c r="K207" s="28"/>
      <c r="L207" s="28"/>
      <c r="M207" s="28"/>
      <c r="N207" s="28"/>
      <c r="O207" s="28"/>
      <c r="P207" s="28" t="s">
        <v>27</v>
      </c>
      <c r="Q207" s="82">
        <f>SUM(Q185:Q206)</f>
        <v>0.91090494211195761</v>
      </c>
      <c r="R207" s="28"/>
      <c r="S207" s="29"/>
      <c r="AG207" s="165"/>
      <c r="AH207" s="165"/>
      <c r="AI207" s="165"/>
      <c r="AJ207" s="165"/>
      <c r="AK207" s="165"/>
    </row>
    <row r="208" spans="1:37" ht="32">
      <c r="A208" s="67" t="s">
        <v>459</v>
      </c>
      <c r="B208" s="65">
        <f>SUM(M185:M196)</f>
        <v>2186461265.429348</v>
      </c>
      <c r="C208" s="28" t="s">
        <v>7</v>
      </c>
      <c r="D208" s="28"/>
      <c r="E208" s="28"/>
      <c r="F208" s="28"/>
      <c r="G208" s="28"/>
      <c r="H208" s="28"/>
      <c r="I208" s="28"/>
      <c r="J208" s="28"/>
      <c r="K208" s="28"/>
      <c r="L208" s="28"/>
      <c r="M208" s="28"/>
      <c r="N208" s="28"/>
      <c r="O208" s="28"/>
      <c r="P208" s="28"/>
      <c r="Q208" s="28"/>
      <c r="R208" s="28"/>
      <c r="S208" s="29"/>
      <c r="AG208" s="165"/>
      <c r="AH208" s="165"/>
      <c r="AI208" s="165"/>
      <c r="AJ208" s="165"/>
      <c r="AK208" s="165"/>
    </row>
    <row r="209" spans="1:37" ht="32">
      <c r="A209" s="67" t="s">
        <v>460</v>
      </c>
      <c r="B209" s="65">
        <f>SUM(N185:N196)</f>
        <v>11001522798.138601</v>
      </c>
      <c r="C209" s="28" t="s">
        <v>7</v>
      </c>
      <c r="D209" s="28"/>
      <c r="E209" s="28"/>
      <c r="F209" s="28"/>
      <c r="G209" s="28"/>
      <c r="H209" s="28"/>
      <c r="I209" s="28"/>
      <c r="J209" s="28"/>
      <c r="K209" s="28"/>
      <c r="L209" s="28"/>
      <c r="M209" s="28"/>
      <c r="N209" s="28"/>
      <c r="O209" s="28"/>
      <c r="P209" s="28"/>
      <c r="Q209" s="28"/>
      <c r="R209" s="28"/>
      <c r="S209" s="29"/>
      <c r="AG209" s="165"/>
      <c r="AH209" s="165"/>
      <c r="AI209" s="165"/>
      <c r="AJ209" s="165"/>
      <c r="AK209" s="165"/>
    </row>
    <row r="210" spans="1:37" ht="32">
      <c r="A210" s="68" t="s">
        <v>492</v>
      </c>
      <c r="B210" s="112">
        <f>SUM(B202:B209)</f>
        <v>56659338799.848167</v>
      </c>
      <c r="C210" s="37" t="s">
        <v>7</v>
      </c>
      <c r="D210" s="37"/>
      <c r="E210" s="37"/>
      <c r="F210" s="37"/>
      <c r="G210" s="37"/>
      <c r="H210" s="37"/>
      <c r="I210" s="37"/>
      <c r="J210" s="37"/>
      <c r="K210" s="37"/>
      <c r="L210" s="37"/>
      <c r="M210" s="37"/>
      <c r="N210" s="37"/>
      <c r="O210" s="37"/>
      <c r="P210" s="37"/>
      <c r="Q210" s="37"/>
      <c r="R210" s="37"/>
      <c r="S210" s="42"/>
      <c r="AG210" s="165"/>
      <c r="AH210" s="165"/>
      <c r="AI210" s="165"/>
      <c r="AJ210" s="165"/>
      <c r="AK210" s="165"/>
    </row>
    <row r="211" spans="1:37">
      <c r="AG211" s="165"/>
      <c r="AH211" s="165"/>
      <c r="AI211" s="165"/>
      <c r="AJ211" s="165"/>
      <c r="AK211" s="165"/>
    </row>
    <row r="212" spans="1:37">
      <c r="A212" s="90" t="s">
        <v>312</v>
      </c>
      <c r="AG212" s="165"/>
      <c r="AH212" s="165"/>
      <c r="AI212" s="165"/>
      <c r="AJ212" s="165"/>
      <c r="AK212" s="165"/>
    </row>
    <row r="213" spans="1:37" ht="64">
      <c r="A213" s="60" t="s">
        <v>0</v>
      </c>
      <c r="B213" s="23" t="s">
        <v>1</v>
      </c>
      <c r="C213" s="23" t="s">
        <v>558</v>
      </c>
      <c r="D213" s="23" t="s">
        <v>3</v>
      </c>
      <c r="E213" s="23"/>
      <c r="F213" s="61" t="s">
        <v>8</v>
      </c>
      <c r="G213" s="61" t="s">
        <v>322</v>
      </c>
      <c r="H213" s="61" t="s">
        <v>323</v>
      </c>
      <c r="I213" s="61" t="s">
        <v>324</v>
      </c>
      <c r="J213" s="61" t="s">
        <v>325</v>
      </c>
      <c r="K213" s="61" t="s">
        <v>326</v>
      </c>
      <c r="L213" s="61" t="s">
        <v>327</v>
      </c>
      <c r="M213" s="61" t="s">
        <v>328</v>
      </c>
      <c r="N213" s="61" t="s">
        <v>329</v>
      </c>
      <c r="O213" s="23"/>
      <c r="P213" s="114" t="s">
        <v>425</v>
      </c>
      <c r="Q213" s="114" t="s">
        <v>424</v>
      </c>
      <c r="R213" s="114" t="s">
        <v>429</v>
      </c>
      <c r="S213" s="115" t="s">
        <v>430</v>
      </c>
      <c r="AG213" s="165"/>
      <c r="AH213" s="165"/>
      <c r="AI213" s="165"/>
      <c r="AJ213" s="165"/>
      <c r="AK213" s="165"/>
    </row>
    <row r="214" spans="1:37">
      <c r="A214" s="67" t="s">
        <v>314</v>
      </c>
      <c r="B214" s="82">
        <f>'[1]Weight%'!$B$104</f>
        <v>2.2554369315935151E-2</v>
      </c>
      <c r="C214" s="28" t="s">
        <v>33</v>
      </c>
      <c r="D214" s="171" t="s">
        <v>208</v>
      </c>
      <c r="E214" s="28"/>
      <c r="F214" s="28">
        <v>2009</v>
      </c>
      <c r="G214" s="26"/>
      <c r="H214" s="26"/>
      <c r="I214" s="26">
        <f>I215/data_1tier!N14</f>
        <v>11784382.804270461</v>
      </c>
      <c r="J214" s="26">
        <f>J215/data_1tier!T14</f>
        <v>2528468758.5600595</v>
      </c>
      <c r="K214" s="26"/>
      <c r="L214" s="26"/>
      <c r="M214" s="26">
        <f>M215/data_1tier!AJ19</f>
        <v>16048437.737932488</v>
      </c>
      <c r="N214" s="26">
        <f>N215/data_1tier!AK19</f>
        <v>573158490.64044571</v>
      </c>
      <c r="O214" s="28"/>
      <c r="P214" s="28" t="s">
        <v>141</v>
      </c>
      <c r="Q214" s="82">
        <f>[5]Production!$S$7</f>
        <v>0.18120205897649758</v>
      </c>
      <c r="R214" s="48">
        <f>Q214/$Q$231</f>
        <v>0.21582948290559401</v>
      </c>
      <c r="S214" s="66">
        <f t="shared" ref="S214:S221" si="36">$B$230*R214</f>
        <v>881432981.19356704</v>
      </c>
      <c r="AG214" s="165"/>
      <c r="AH214" s="165"/>
      <c r="AI214" s="165"/>
      <c r="AJ214" s="165"/>
      <c r="AK214" s="165"/>
    </row>
    <row r="215" spans="1:37">
      <c r="A215" s="67" t="s">
        <v>315</v>
      </c>
      <c r="B215" s="82">
        <f>'[1]Weight%'!$B$102</f>
        <v>2.5373665480427045E-2</v>
      </c>
      <c r="C215" s="28" t="s">
        <v>33</v>
      </c>
      <c r="D215" s="171"/>
      <c r="E215" s="28"/>
      <c r="F215" s="28">
        <v>2010</v>
      </c>
      <c r="G215" s="26"/>
      <c r="H215" s="26"/>
      <c r="I215" s="26">
        <f>I216/data_1tier!N15</f>
        <v>11132340.498220639</v>
      </c>
      <c r="J215" s="26">
        <f>J216/data_1tier!T15</f>
        <v>3082452017.6471462</v>
      </c>
      <c r="K215" s="26"/>
      <c r="L215" s="26">
        <f>L216/data_1tier!AD15</f>
        <v>154434.27758007115</v>
      </c>
      <c r="M215" s="26">
        <f>M216/data_1tier!AJ20</f>
        <v>22190669.124864168</v>
      </c>
      <c r="N215" s="26">
        <f>N216/data_1tier!AK20</f>
        <v>792523897.31657708</v>
      </c>
      <c r="O215" s="28"/>
      <c r="P215" s="28" t="s">
        <v>88</v>
      </c>
      <c r="Q215" s="82">
        <f>[5]Production!$AM$7</f>
        <v>1.729724350359186E-2</v>
      </c>
      <c r="R215" s="48">
        <f t="shared" ref="R215:R230" si="37">Q215/$Q$231</f>
        <v>2.0602719098002025E-2</v>
      </c>
      <c r="S215" s="66">
        <f t="shared" si="36"/>
        <v>84140108.528124005</v>
      </c>
      <c r="AG215" s="165"/>
      <c r="AH215" s="165"/>
      <c r="AI215" s="165"/>
      <c r="AJ215" s="165"/>
      <c r="AK215" s="165"/>
    </row>
    <row r="216" spans="1:37">
      <c r="A216" s="67" t="s">
        <v>316</v>
      </c>
      <c r="B216" s="82">
        <f>'[1]Weight%'!$B$103</f>
        <v>2.5373665480427045E-2</v>
      </c>
      <c r="C216" s="28" t="s">
        <v>33</v>
      </c>
      <c r="D216" s="171"/>
      <c r="E216" s="28"/>
      <c r="F216" s="28">
        <v>2011</v>
      </c>
      <c r="G216" s="26">
        <f>G217/data_1tier!D13</f>
        <v>1630450.8469750893</v>
      </c>
      <c r="H216" s="26"/>
      <c r="I216" s="26">
        <f>I217/data_1tier!N16</f>
        <v>10912990.234875442</v>
      </c>
      <c r="J216" s="26">
        <f>J217/data_1tier!T16</f>
        <v>3170193580.5007501</v>
      </c>
      <c r="K216" s="26"/>
      <c r="L216" s="26">
        <f>L217/data_1tier!AD16</f>
        <v>134094.74733096085</v>
      </c>
      <c r="M216" s="26">
        <f>M217/data_1tier!AJ21</f>
        <v>22924417.151295267</v>
      </c>
      <c r="N216" s="26">
        <f>N217/data_1tier!AK21</f>
        <v>818729183.97483087</v>
      </c>
      <c r="O216" s="28"/>
      <c r="P216" s="28" t="s">
        <v>17</v>
      </c>
      <c r="Q216" s="82">
        <f>[5]Production!$AT$7</f>
        <v>3.6916001909025144E-2</v>
      </c>
      <c r="R216" s="48">
        <f t="shared" si="37"/>
        <v>4.3970590886057391E-2</v>
      </c>
      <c r="S216" s="66">
        <f t="shared" si="36"/>
        <v>179572913.24509642</v>
      </c>
      <c r="AG216" s="165"/>
      <c r="AH216" s="165"/>
      <c r="AI216" s="165"/>
      <c r="AJ216" s="165"/>
      <c r="AK216" s="165"/>
    </row>
    <row r="217" spans="1:37">
      <c r="A217" s="67" t="s">
        <v>317</v>
      </c>
      <c r="B217" s="82">
        <f>'[1]Weight%'!$B$101</f>
        <v>2.8078078078078078E-2</v>
      </c>
      <c r="C217" s="28" t="s">
        <v>33</v>
      </c>
      <c r="D217" s="171"/>
      <c r="E217" s="28"/>
      <c r="F217" s="28">
        <v>2012</v>
      </c>
      <c r="G217" s="26">
        <f>G218/data_1tier!D14</f>
        <v>2401810.2775800717</v>
      </c>
      <c r="H217" s="26">
        <f>H218/data_1tier!I14</f>
        <v>2465345.9359430606</v>
      </c>
      <c r="I217" s="26">
        <f>I218/data_1tier!N17</f>
        <v>17633438.975088965</v>
      </c>
      <c r="J217" s="26">
        <f>J218/data_1tier!T17</f>
        <v>3338700533.7657652</v>
      </c>
      <c r="K217" s="26"/>
      <c r="L217" s="26">
        <f>L218/data_1tier!AD17</f>
        <v>249189.69395017793</v>
      </c>
      <c r="M217" s="26">
        <f>M218/data_1tier!AJ22</f>
        <v>24268313.722964212</v>
      </c>
      <c r="N217" s="26">
        <f>N218/data_1tier!AK22</f>
        <v>866725490.10586464</v>
      </c>
      <c r="O217" s="28"/>
      <c r="P217" s="28" t="s">
        <v>22</v>
      </c>
      <c r="Q217" s="82">
        <f>[5]Production!$BG$7</f>
        <v>2.3934768804012473E-2</v>
      </c>
      <c r="R217" s="48">
        <f t="shared" si="37"/>
        <v>2.8508664877284741E-2</v>
      </c>
      <c r="S217" s="66">
        <f t="shared" si="36"/>
        <v>116427455.29638727</v>
      </c>
      <c r="AG217" s="165"/>
      <c r="AH217" s="165"/>
      <c r="AI217" s="165"/>
      <c r="AJ217" s="165"/>
      <c r="AK217" s="165"/>
    </row>
    <row r="218" spans="1:37">
      <c r="A218" s="67" t="s">
        <v>318</v>
      </c>
      <c r="B218" s="82">
        <f>'[1]Weight%'!$B$107</f>
        <v>2.255436931593515E-3</v>
      </c>
      <c r="C218" s="28" t="s">
        <v>33</v>
      </c>
      <c r="D218" s="171"/>
      <c r="E218" s="28"/>
      <c r="F218" s="28">
        <v>2013</v>
      </c>
      <c r="G218" s="26">
        <f>G219/data_1tier!D15</f>
        <v>4602376.9395017801</v>
      </c>
      <c r="H218" s="26">
        <f>H219/data_1tier!I15</f>
        <v>3720753.7081850534</v>
      </c>
      <c r="I218" s="26">
        <f>I219/data_1tier!N18</f>
        <v>20117622.320284694</v>
      </c>
      <c r="J218" s="26">
        <f>J219/data_1tier!T18</f>
        <v>3479718593.1659155</v>
      </c>
      <c r="K218" s="26"/>
      <c r="L218" s="26">
        <f>L219/data_1tier!AD18</f>
        <v>355150.12099644128</v>
      </c>
      <c r="M218" s="26">
        <f>M219/data_1tier!AJ23</f>
        <v>25066103.038349636</v>
      </c>
      <c r="N218" s="26">
        <f>N219/data_1tier!AK23</f>
        <v>895217965.65534401</v>
      </c>
      <c r="O218" s="28"/>
      <c r="P218" s="28" t="s">
        <v>26</v>
      </c>
      <c r="Q218" s="82">
        <f>[5]Production!$BW$7</f>
        <v>3.1471812133558895E-2</v>
      </c>
      <c r="R218" s="48">
        <f t="shared" si="37"/>
        <v>3.7486025143726585E-2</v>
      </c>
      <c r="S218" s="66">
        <f t="shared" si="36"/>
        <v>153090386.2193127</v>
      </c>
      <c r="AG218" s="165"/>
      <c r="AH218" s="165"/>
      <c r="AI218" s="165"/>
      <c r="AJ218" s="165"/>
      <c r="AK218" s="165"/>
    </row>
    <row r="219" spans="1:37">
      <c r="A219" s="67" t="s">
        <v>319</v>
      </c>
      <c r="B219" s="82">
        <f>'[1]Weight%'!$B$108</f>
        <v>2.8998474834773767E-3</v>
      </c>
      <c r="C219" s="28" t="s">
        <v>33</v>
      </c>
      <c r="D219" s="171"/>
      <c r="E219" s="28"/>
      <c r="F219" s="28">
        <v>2014</v>
      </c>
      <c r="G219" s="26">
        <f>G220/data_1tier!D16</f>
        <v>7862872.6548042716</v>
      </c>
      <c r="H219" s="26">
        <f>H220/data_1tier!I16</f>
        <v>5454932.0996441282</v>
      </c>
      <c r="I219" s="26">
        <f>I220/data_1tier!N19</f>
        <v>18018266.135231316</v>
      </c>
      <c r="J219" s="26">
        <f>J220/data_1tier!T19</f>
        <v>3587511775.8746243</v>
      </c>
      <c r="K219" s="26"/>
      <c r="L219" s="26">
        <f>L220/data_1tier!AD19</f>
        <v>702221.26690391463</v>
      </c>
      <c r="M219" s="26">
        <f>M220/data_1tier!AJ24</f>
        <v>25231104.628948014</v>
      </c>
      <c r="N219" s="26">
        <f>N220/data_1tier!AK24</f>
        <v>901110879.60528612</v>
      </c>
      <c r="O219" s="28"/>
      <c r="P219" s="28" t="s">
        <v>28</v>
      </c>
      <c r="Q219" s="82">
        <f>[5]Production!$CE$7</f>
        <v>0.15436539791173573</v>
      </c>
      <c r="R219" s="48">
        <f t="shared" si="37"/>
        <v>0.18386437879344097</v>
      </c>
      <c r="S219" s="66">
        <f t="shared" si="36"/>
        <v>750889662.30852914</v>
      </c>
      <c r="AG219" s="165"/>
      <c r="AH219" s="165"/>
      <c r="AI219" s="165"/>
      <c r="AJ219" s="165"/>
      <c r="AK219" s="165"/>
    </row>
    <row r="220" spans="1:37">
      <c r="A220" s="67" t="s">
        <v>320</v>
      </c>
      <c r="B220" s="82">
        <f>'[1]Weight%'!$B$105</f>
        <v>3.2397782397782398E-3</v>
      </c>
      <c r="C220" s="28" t="s">
        <v>33</v>
      </c>
      <c r="D220" s="171"/>
      <c r="E220" s="28"/>
      <c r="F220" s="28">
        <v>2015</v>
      </c>
      <c r="G220" s="26">
        <f>G221/data_1tier!D17</f>
        <v>13345857.87900356</v>
      </c>
      <c r="H220" s="26">
        <f>H221/data_1tier!I17</f>
        <v>9063798.092526691</v>
      </c>
      <c r="I220" s="26">
        <f>I221/data_1tier!N20</f>
        <v>18714235.330960855</v>
      </c>
      <c r="J220" s="26">
        <f>J221/data_1tier!T20</f>
        <v>3627603106.9699697</v>
      </c>
      <c r="K220" s="26">
        <f>K221/data_1tier!Y15</f>
        <v>2029893.2384341639</v>
      </c>
      <c r="L220" s="26">
        <f>L221/data_1tier!AD20</f>
        <v>935821.38078291819</v>
      </c>
      <c r="M220" s="26">
        <f>M221/data_1tier!AJ25</f>
        <v>25514036.441791985</v>
      </c>
      <c r="N220" s="26">
        <f>N221/data_1tier!AK25</f>
        <v>911215587.20685649</v>
      </c>
      <c r="O220" s="28"/>
      <c r="P220" s="28" t="s">
        <v>21</v>
      </c>
      <c r="Q220" s="82">
        <f>[5]Production!$CU$7</f>
        <v>1.4562249919641009E-2</v>
      </c>
      <c r="R220" s="48">
        <f t="shared" si="37"/>
        <v>1.7345072610382411E-2</v>
      </c>
      <c r="S220" s="66">
        <f t="shared" si="36"/>
        <v>70836101.046841726</v>
      </c>
      <c r="AG220" s="165"/>
      <c r="AH220" s="165"/>
      <c r="AI220" s="165"/>
      <c r="AJ220" s="165"/>
      <c r="AK220" s="165"/>
    </row>
    <row r="221" spans="1:37">
      <c r="A221" s="67" t="s">
        <v>321</v>
      </c>
      <c r="B221" s="82">
        <f>'[1]Weight%'!$B$106</f>
        <v>5.2646396396396396E-3</v>
      </c>
      <c r="C221" s="28" t="s">
        <v>33</v>
      </c>
      <c r="D221" s="171"/>
      <c r="E221" s="28"/>
      <c r="F221" s="28">
        <v>2016</v>
      </c>
      <c r="G221" s="26">
        <f>G222/data_1tier!D18</f>
        <v>18905207.686832741</v>
      </c>
      <c r="H221" s="26">
        <f>H222/data_1tier!I18</f>
        <v>11692388.042704627</v>
      </c>
      <c r="I221" s="26">
        <f>I222/data_1tier!N21</f>
        <v>29460402.156425655</v>
      </c>
      <c r="J221" s="26">
        <f>J222/data_1tier!T21</f>
        <v>3816337133.6824322</v>
      </c>
      <c r="K221" s="26">
        <f>K222/data_1tier!Y16</f>
        <v>3044839.8576512458</v>
      </c>
      <c r="L221" s="26">
        <f>L222/data_1tier!AD21</f>
        <v>1380327.4021352313</v>
      </c>
      <c r="M221" s="26">
        <f>M222/data_1tier!AJ26</f>
        <v>26236823.365583479</v>
      </c>
      <c r="N221" s="26">
        <f>N222/data_1tier!AK26</f>
        <v>937029405.91369569</v>
      </c>
      <c r="O221" s="28"/>
      <c r="P221" s="28" t="s">
        <v>142</v>
      </c>
      <c r="Q221" s="82">
        <f>[5]Production!$DB$7</f>
        <v>2.2024474877310435E-2</v>
      </c>
      <c r="R221" s="48">
        <f t="shared" si="37"/>
        <v>2.6233316833633242E-2</v>
      </c>
      <c r="S221" s="66">
        <f t="shared" si="36"/>
        <v>107135088.08886379</v>
      </c>
      <c r="AG221" s="165"/>
      <c r="AH221" s="165"/>
      <c r="AI221" s="165"/>
      <c r="AJ221" s="165"/>
      <c r="AK221" s="165"/>
    </row>
    <row r="222" spans="1:37" ht="32">
      <c r="A222" s="67" t="s">
        <v>322</v>
      </c>
      <c r="B222" s="65">
        <f>data_1tier!B7*B214</f>
        <v>81818216.597864762</v>
      </c>
      <c r="C222" s="28" t="s">
        <v>7</v>
      </c>
      <c r="D222" s="28"/>
      <c r="E222" s="28"/>
      <c r="F222" s="28">
        <v>2017</v>
      </c>
      <c r="G222" s="26">
        <f>G223/data_1tier!D19</f>
        <v>30832982.149466194</v>
      </c>
      <c r="H222" s="26">
        <f>H223/data_1tier!I19</f>
        <v>16934871.516014237</v>
      </c>
      <c r="I222" s="26">
        <f>I223/data_1tier!N22</f>
        <v>43306791.169945709</v>
      </c>
      <c r="J222" s="26">
        <f>J223/data_1tier!T22</f>
        <v>3887846831.0578074</v>
      </c>
      <c r="K222" s="26">
        <f>K223/data_1tier!Y17</f>
        <v>4059786.4768683277</v>
      </c>
      <c r="L222" s="26">
        <f>L223/data_1tier!AD22</f>
        <v>1542718.8612099644</v>
      </c>
      <c r="M222" s="26">
        <f>M223/data_1tier!AJ27</f>
        <v>27355152.948960632</v>
      </c>
      <c r="N222" s="26">
        <f>N223/data_1tier!AK27</f>
        <v>976969748.17716539</v>
      </c>
      <c r="O222" s="28"/>
      <c r="P222" s="28" t="s">
        <v>548</v>
      </c>
      <c r="Q222" s="82">
        <f>[5]Production!$DS$7</f>
        <v>1.1742610963547426E-2</v>
      </c>
      <c r="R222" s="48">
        <f t="shared" si="37"/>
        <v>1.398660515525775E-2</v>
      </c>
      <c r="S222" s="66">
        <f t="shared" ref="S222:S230" si="38">$B$230*R222</f>
        <v>57120347.567012683</v>
      </c>
      <c r="AG222" s="165"/>
      <c r="AH222" s="165"/>
      <c r="AI222" s="165"/>
      <c r="AJ222" s="165"/>
      <c r="AK222" s="165"/>
    </row>
    <row r="223" spans="1:37" ht="32">
      <c r="A223" s="67" t="s">
        <v>323</v>
      </c>
      <c r="B223" s="65">
        <f>data_1tier!G7*B215</f>
        <v>39702844.241992883</v>
      </c>
      <c r="C223" s="28" t="s">
        <v>7</v>
      </c>
      <c r="D223" s="28"/>
      <c r="E223" s="28"/>
      <c r="F223" s="28">
        <v>2018</v>
      </c>
      <c r="G223" s="26">
        <f>G224/data_1tier!D20</f>
        <v>55696454.263345197</v>
      </c>
      <c r="H223" s="26">
        <f>H224/data_1tier!I20</f>
        <v>26095739.10320285</v>
      </c>
      <c r="I223" s="26">
        <f>I224/data_1tier!N23</f>
        <v>52834285.227333762</v>
      </c>
      <c r="J223" s="26">
        <f>J224/data_1tier!T23</f>
        <v>3731280672.381381</v>
      </c>
      <c r="K223" s="26">
        <f>K224/data_1tier!Y18</f>
        <v>6089679.7153024916</v>
      </c>
      <c r="L223" s="26">
        <f>L224/data_1tier!AD23</f>
        <v>1786306.0498220641</v>
      </c>
      <c r="M223" s="26">
        <f>M224/data_1tier!AJ28</f>
        <v>28836030.609597921</v>
      </c>
      <c r="N223" s="26">
        <f>N224/data_1tier!AK28</f>
        <v>1029858236.0570687</v>
      </c>
      <c r="O223" s="28"/>
      <c r="P223" s="28" t="s">
        <v>86</v>
      </c>
      <c r="Q223" s="82">
        <f>[5]Production!$EO$7</f>
        <v>4.6828796078746467E-2</v>
      </c>
      <c r="R223" s="48">
        <f t="shared" si="37"/>
        <v>5.5777704182038403E-2</v>
      </c>
      <c r="S223" s="66">
        <f t="shared" si="38"/>
        <v>227792363.76529691</v>
      </c>
      <c r="AG223" s="165"/>
      <c r="AH223" s="165"/>
      <c r="AI223" s="165"/>
      <c r="AJ223" s="165"/>
      <c r="AK223" s="165"/>
    </row>
    <row r="224" spans="1:37" ht="32">
      <c r="A224" s="67" t="s">
        <v>324</v>
      </c>
      <c r="B224" s="65">
        <f>data_1tier!L7*B216</f>
        <v>81195729.537366539</v>
      </c>
      <c r="C224" s="28" t="s">
        <v>7</v>
      </c>
      <c r="D224" s="28"/>
      <c r="E224" s="28"/>
      <c r="F224" s="28">
        <v>2019</v>
      </c>
      <c r="G224" s="26">
        <f>G225/data_1tier!D21</f>
        <v>62726015.145907469</v>
      </c>
      <c r="H224" s="26">
        <f>H225/data_1tier!I21</f>
        <v>23477339.217081852</v>
      </c>
      <c r="I224" s="26">
        <f>I225/data_1tier!N24</f>
        <v>59702742.306887157</v>
      </c>
      <c r="J224" s="26">
        <f>J225/data_1tier!T24</f>
        <v>3554017393.9969969</v>
      </c>
      <c r="K224" s="26">
        <f>K225/data_1tier!Y19</f>
        <v>4059786.4768683272</v>
      </c>
      <c r="L224" s="26">
        <f>L225/data_1tier!AD24</f>
        <v>1948697.5088967972</v>
      </c>
      <c r="M224" s="26">
        <f>M225/data_1tier!AJ29</f>
        <v>28263315.004206546</v>
      </c>
      <c r="N224" s="26">
        <f>N225/data_1tier!AK29</f>
        <v>1009404107.2930907</v>
      </c>
      <c r="O224" s="28"/>
      <c r="P224" s="28" t="s">
        <v>23</v>
      </c>
      <c r="Q224" s="82">
        <f>[5]Production!$FO$7</f>
        <v>3.1180879410958831E-2</v>
      </c>
      <c r="R224" s="48">
        <f t="shared" si="37"/>
        <v>3.7139495642716701E-2</v>
      </c>
      <c r="S224" s="66">
        <f t="shared" si="38"/>
        <v>151675183.22186002</v>
      </c>
      <c r="AG224" s="165"/>
      <c r="AH224" s="165"/>
      <c r="AI224" s="165"/>
      <c r="AJ224" s="165"/>
      <c r="AK224" s="165"/>
    </row>
    <row r="225" spans="1:37" ht="32">
      <c r="A225" s="67" t="s">
        <v>325</v>
      </c>
      <c r="B225" s="65">
        <f>data_1tier!R7*B217</f>
        <v>2955160145.3033032</v>
      </c>
      <c r="C225" s="28" t="s">
        <v>7</v>
      </c>
      <c r="D225" s="28"/>
      <c r="E225" s="28"/>
      <c r="F225" s="28">
        <v>2020</v>
      </c>
      <c r="G225" s="26">
        <f>B222</f>
        <v>81818216.597864762</v>
      </c>
      <c r="H225" s="26">
        <f>B223</f>
        <v>39702844.241992883</v>
      </c>
      <c r="I225" s="26">
        <f>B224</f>
        <v>81195729.537366539</v>
      </c>
      <c r="J225" s="26">
        <f>B225</f>
        <v>2955160145.3033032</v>
      </c>
      <c r="K225" s="26">
        <f>B226</f>
        <v>6333266.9039145904</v>
      </c>
      <c r="L225" s="26">
        <f>B227</f>
        <v>2111088.9679715303</v>
      </c>
      <c r="M225" s="26">
        <f>B228</f>
        <v>24993294.014442459</v>
      </c>
      <c r="N225" s="26">
        <f>B229</f>
        <v>892617643.37294483</v>
      </c>
      <c r="O225" s="28"/>
      <c r="P225" s="28" t="s">
        <v>29</v>
      </c>
      <c r="Q225" s="82">
        <f>[5]Production!$FU$7</f>
        <v>7.6273334767681916E-2</v>
      </c>
      <c r="R225" s="48">
        <f t="shared" si="37"/>
        <v>9.0849047165237923E-2</v>
      </c>
      <c r="S225" s="66">
        <f t="shared" si="38"/>
        <v>371021351.68658715</v>
      </c>
      <c r="AG225" s="165"/>
      <c r="AH225" s="165"/>
      <c r="AI225" s="165"/>
      <c r="AJ225" s="165"/>
      <c r="AK225" s="165"/>
    </row>
    <row r="226" spans="1:37" ht="32">
      <c r="A226" s="67" t="s">
        <v>326</v>
      </c>
      <c r="B226" s="65">
        <f>data_1tier!W7*B218</f>
        <v>6333266.9039145904</v>
      </c>
      <c r="C226" s="28" t="s">
        <v>7</v>
      </c>
      <c r="D226" s="28"/>
      <c r="E226" s="28"/>
      <c r="F226" s="28"/>
      <c r="G226" s="28"/>
      <c r="H226" s="28"/>
      <c r="I226" s="28"/>
      <c r="J226" s="28"/>
      <c r="K226" s="28"/>
      <c r="L226" s="28"/>
      <c r="M226" s="28"/>
      <c r="N226" s="28"/>
      <c r="O226" s="28"/>
      <c r="P226" s="28" t="s">
        <v>161</v>
      </c>
      <c r="Q226" s="82">
        <f>[5]Production!$GS$7</f>
        <v>2.1279540793148543E-2</v>
      </c>
      <c r="R226" s="48">
        <f t="shared" si="37"/>
        <v>2.534602703631219E-2</v>
      </c>
      <c r="S226" s="66">
        <f t="shared" si="38"/>
        <v>103511456.68917488</v>
      </c>
    </row>
    <row r="227" spans="1:37" ht="32">
      <c r="A227" s="67" t="s">
        <v>327</v>
      </c>
      <c r="B227" s="65">
        <f>data_1tier!AB7*B219</f>
        <v>2111088.9679715303</v>
      </c>
      <c r="C227" s="28" t="s">
        <v>7</v>
      </c>
      <c r="D227" s="28"/>
      <c r="E227" s="28"/>
      <c r="F227" s="28"/>
      <c r="G227" s="28"/>
      <c r="H227" s="28"/>
      <c r="I227" s="28"/>
      <c r="J227" s="28"/>
      <c r="K227" s="28"/>
      <c r="L227" s="28"/>
      <c r="M227" s="28"/>
      <c r="N227" s="28"/>
      <c r="O227" s="28"/>
      <c r="P227" s="28" t="s">
        <v>434</v>
      </c>
      <c r="Q227" s="82">
        <f>[5]Production!$GY$7</f>
        <v>1.4616926813322786E-2</v>
      </c>
      <c r="R227" s="48">
        <f t="shared" si="37"/>
        <v>1.741019817107901E-2</v>
      </c>
      <c r="S227" s="66">
        <f t="shared" si="38"/>
        <v>71102069.423098341</v>
      </c>
    </row>
    <row r="228" spans="1:37" ht="32">
      <c r="A228" s="67" t="s">
        <v>328</v>
      </c>
      <c r="B228" s="65">
        <f>data_1tier!AG9*B220</f>
        <v>24993294.014442459</v>
      </c>
      <c r="C228" s="28" t="s">
        <v>7</v>
      </c>
      <c r="D228" s="28"/>
      <c r="E228" s="28"/>
      <c r="F228" s="28"/>
      <c r="G228" s="28"/>
      <c r="H228" s="28"/>
      <c r="I228" s="28"/>
      <c r="J228" s="28"/>
      <c r="K228" s="28"/>
      <c r="L228" s="28"/>
      <c r="M228" s="28"/>
      <c r="N228" s="28"/>
      <c r="O228" s="28"/>
      <c r="P228" s="28" t="s">
        <v>147</v>
      </c>
      <c r="Q228" s="82">
        <f>[5]Production!$HJ$7</f>
        <v>1.260200681861731E-2</v>
      </c>
      <c r="R228" s="48">
        <f t="shared" si="37"/>
        <v>1.5010230185009766E-2</v>
      </c>
      <c r="S228" s="66">
        <f t="shared" si="38"/>
        <v>61300762.816366404</v>
      </c>
    </row>
    <row r="229" spans="1:37" ht="32">
      <c r="A229" s="67" t="s">
        <v>329</v>
      </c>
      <c r="B229" s="65">
        <f>data_1tier!AG11*B221</f>
        <v>892617643.37294483</v>
      </c>
      <c r="C229" s="28" t="s">
        <v>7</v>
      </c>
      <c r="D229" s="28"/>
      <c r="E229" s="28"/>
      <c r="F229" s="28"/>
      <c r="G229" s="28"/>
      <c r="H229" s="28"/>
      <c r="I229" s="28"/>
      <c r="J229" s="28"/>
      <c r="K229" s="28"/>
      <c r="L229" s="28"/>
      <c r="M229" s="28"/>
      <c r="N229" s="28"/>
      <c r="O229" s="28"/>
      <c r="P229" s="28" t="s">
        <v>25</v>
      </c>
      <c r="Q229" s="82">
        <f>[5]Production!$HR$7</f>
        <v>2.5890102112184135E-2</v>
      </c>
      <c r="R229" s="48">
        <f t="shared" si="37"/>
        <v>3.0837659256236646E-2</v>
      </c>
      <c r="S229" s="66">
        <f t="shared" si="38"/>
        <v>125938910.5016086</v>
      </c>
    </row>
    <row r="230" spans="1:37" ht="32">
      <c r="A230" s="67" t="s">
        <v>482</v>
      </c>
      <c r="B230" s="65">
        <f>SUM(B222:B229)</f>
        <v>4083932228.9398003</v>
      </c>
      <c r="C230" s="28" t="s">
        <v>7</v>
      </c>
      <c r="D230" s="28"/>
      <c r="E230" s="28"/>
      <c r="F230" s="28"/>
      <c r="G230" s="28"/>
      <c r="H230" s="28"/>
      <c r="I230" s="28"/>
      <c r="J230" s="28"/>
      <c r="K230" s="28"/>
      <c r="L230" s="28"/>
      <c r="M230" s="28"/>
      <c r="N230" s="28"/>
      <c r="O230" s="28"/>
      <c r="P230" s="28" t="s">
        <v>20</v>
      </c>
      <c r="Q230" s="82">
        <f>[5]Production!$HT$7</f>
        <v>0.1173729910228766</v>
      </c>
      <c r="R230" s="48">
        <f t="shared" si="37"/>
        <v>0.13980278205799024</v>
      </c>
      <c r="S230" s="66">
        <f t="shared" si="38"/>
        <v>570945087.3420732</v>
      </c>
    </row>
    <row r="231" spans="1:37" ht="32">
      <c r="A231" s="67" t="s">
        <v>330</v>
      </c>
      <c r="B231" s="41">
        <f>SUM(G214:G225)</f>
        <v>279822244.44128114</v>
      </c>
      <c r="C231" s="28" t="s">
        <v>7</v>
      </c>
      <c r="D231" s="28"/>
      <c r="E231" s="28"/>
      <c r="F231" s="28"/>
      <c r="G231" s="28"/>
      <c r="H231" s="28"/>
      <c r="I231" s="28"/>
      <c r="J231" s="28"/>
      <c r="K231" s="28"/>
      <c r="L231" s="28"/>
      <c r="M231" s="28"/>
      <c r="N231" s="28"/>
      <c r="O231" s="28"/>
      <c r="P231" s="28" t="s">
        <v>27</v>
      </c>
      <c r="Q231" s="82">
        <f>SUM(Q214:Q230)</f>
        <v>0.83956119681645713</v>
      </c>
      <c r="R231" s="28"/>
      <c r="S231" s="29"/>
    </row>
    <row r="232" spans="1:37" ht="32">
      <c r="A232" s="67" t="s">
        <v>331</v>
      </c>
      <c r="B232" s="41">
        <f>SUM(H214:H225)</f>
        <v>138608011.95729539</v>
      </c>
      <c r="C232" s="28" t="s">
        <v>7</v>
      </c>
      <c r="D232" s="28"/>
      <c r="E232" s="28"/>
      <c r="F232" s="28"/>
      <c r="G232" s="28"/>
      <c r="H232" s="28"/>
      <c r="I232" s="28"/>
      <c r="J232" s="28"/>
      <c r="K232" s="28"/>
      <c r="L232" s="28"/>
      <c r="M232" s="28"/>
      <c r="N232" s="28"/>
      <c r="O232" s="28"/>
      <c r="P232" s="28"/>
      <c r="Q232" s="28"/>
      <c r="R232" s="28"/>
      <c r="S232" s="29"/>
    </row>
    <row r="233" spans="1:37" ht="32">
      <c r="A233" s="67" t="s">
        <v>332</v>
      </c>
      <c r="B233" s="41">
        <f>SUM(I214:I225)</f>
        <v>374813226.69689119</v>
      </c>
      <c r="C233" s="28" t="s">
        <v>7</v>
      </c>
      <c r="D233" s="28"/>
      <c r="E233" s="28"/>
      <c r="F233" s="28"/>
      <c r="G233" s="28"/>
      <c r="H233" s="28"/>
      <c r="I233" s="28"/>
      <c r="J233" s="28"/>
      <c r="K233" s="28"/>
      <c r="L233" s="28"/>
      <c r="M233" s="28"/>
      <c r="N233" s="28"/>
      <c r="O233" s="28"/>
      <c r="P233" s="28"/>
      <c r="Q233" s="28"/>
      <c r="R233" s="28"/>
      <c r="S233" s="29"/>
    </row>
    <row r="234" spans="1:37" ht="32">
      <c r="A234" s="67" t="s">
        <v>333</v>
      </c>
      <c r="B234" s="41">
        <f>SUM(J214:J225)</f>
        <v>40759290542.906158</v>
      </c>
      <c r="C234" s="28" t="s">
        <v>7</v>
      </c>
      <c r="D234" s="28"/>
      <c r="E234" s="28"/>
      <c r="F234" s="28"/>
      <c r="G234" s="28"/>
      <c r="H234" s="28"/>
      <c r="I234" s="28"/>
      <c r="J234" s="28"/>
      <c r="K234" s="28"/>
      <c r="L234" s="28"/>
      <c r="M234" s="28"/>
      <c r="N234" s="28"/>
      <c r="O234" s="28"/>
      <c r="P234" s="28"/>
      <c r="Q234" s="28"/>
      <c r="R234" s="28"/>
      <c r="S234" s="29"/>
    </row>
    <row r="235" spans="1:37" ht="32">
      <c r="A235" s="67" t="s">
        <v>334</v>
      </c>
      <c r="B235" s="41">
        <f>SUM(K214:K225)</f>
        <v>25617252.669039145</v>
      </c>
      <c r="C235" s="28" t="s">
        <v>7</v>
      </c>
      <c r="D235" s="28"/>
      <c r="E235" s="28"/>
      <c r="F235" s="28"/>
      <c r="G235" s="28"/>
      <c r="H235" s="28"/>
      <c r="I235" s="28"/>
      <c r="J235" s="28"/>
      <c r="K235" s="28"/>
      <c r="L235" s="28"/>
      <c r="M235" s="28"/>
      <c r="N235" s="28"/>
      <c r="O235" s="28"/>
      <c r="P235" s="28"/>
      <c r="Q235" s="28"/>
      <c r="R235" s="28"/>
      <c r="S235" s="29"/>
    </row>
    <row r="236" spans="1:37" ht="32">
      <c r="A236" s="67" t="s">
        <v>335</v>
      </c>
      <c r="B236" s="41">
        <f>SUM(L214:L225)</f>
        <v>11300050.277580071</v>
      </c>
      <c r="C236" s="28" t="s">
        <v>7</v>
      </c>
      <c r="D236" s="28"/>
      <c r="E236" s="28"/>
      <c r="F236" s="28"/>
      <c r="G236" s="28"/>
      <c r="H236" s="28"/>
      <c r="I236" s="28"/>
      <c r="J236" s="28"/>
      <c r="K236" s="28"/>
      <c r="L236" s="28"/>
      <c r="M236" s="28"/>
      <c r="N236" s="28"/>
      <c r="O236" s="28"/>
      <c r="P236" s="28"/>
      <c r="Q236" s="28"/>
      <c r="R236" s="28"/>
      <c r="S236" s="29"/>
    </row>
    <row r="237" spans="1:37" ht="32">
      <c r="A237" s="67" t="s">
        <v>336</v>
      </c>
      <c r="B237" s="41">
        <f>SUM(M214:M225)</f>
        <v>296927697.78893679</v>
      </c>
      <c r="C237" s="28" t="s">
        <v>7</v>
      </c>
      <c r="D237" s="28"/>
      <c r="E237" s="28"/>
      <c r="F237" s="28"/>
      <c r="G237" s="28"/>
      <c r="H237" s="28"/>
      <c r="I237" s="28"/>
      <c r="J237" s="28"/>
      <c r="K237" s="28"/>
      <c r="L237" s="28"/>
      <c r="M237" s="28"/>
      <c r="N237" s="28"/>
      <c r="O237" s="28"/>
      <c r="P237" s="28"/>
      <c r="Q237" s="28"/>
      <c r="R237" s="28"/>
      <c r="S237" s="29"/>
    </row>
    <row r="238" spans="1:37" ht="32">
      <c r="A238" s="67" t="s">
        <v>337</v>
      </c>
      <c r="B238" s="41">
        <f>SUM(N214:N225)</f>
        <v>10604560635.319168</v>
      </c>
      <c r="C238" s="28" t="s">
        <v>7</v>
      </c>
      <c r="D238" s="28"/>
      <c r="E238" s="28"/>
      <c r="F238" s="28"/>
      <c r="G238" s="28"/>
      <c r="H238" s="28"/>
      <c r="I238" s="28"/>
      <c r="J238" s="28"/>
      <c r="K238" s="28"/>
      <c r="L238" s="28"/>
      <c r="M238" s="28"/>
      <c r="N238" s="28"/>
      <c r="O238" s="28"/>
      <c r="P238" s="28"/>
      <c r="Q238" s="28"/>
      <c r="R238" s="28"/>
      <c r="S238" s="29"/>
    </row>
    <row r="239" spans="1:37" ht="32">
      <c r="A239" s="68" t="s">
        <v>491</v>
      </c>
      <c r="B239" s="112">
        <f>SUM(B231:B238)</f>
        <v>52490939662.056351</v>
      </c>
      <c r="C239" s="37" t="s">
        <v>7</v>
      </c>
      <c r="D239" s="37"/>
      <c r="E239" s="37"/>
      <c r="F239" s="37"/>
      <c r="G239" s="37"/>
      <c r="H239" s="37"/>
      <c r="I239" s="37"/>
      <c r="J239" s="37"/>
      <c r="K239" s="37"/>
      <c r="L239" s="37"/>
      <c r="M239" s="37"/>
      <c r="N239" s="37"/>
      <c r="O239" s="37"/>
      <c r="P239" s="37"/>
      <c r="Q239" s="37"/>
      <c r="R239" s="37"/>
      <c r="S239" s="42"/>
    </row>
    <row r="241" spans="1:17">
      <c r="A241" s="91" t="s">
        <v>356</v>
      </c>
    </row>
    <row r="242" spans="1:17" ht="64">
      <c r="A242" s="60" t="s">
        <v>0</v>
      </c>
      <c r="B242" s="23" t="s">
        <v>1</v>
      </c>
      <c r="C242" s="23" t="s">
        <v>558</v>
      </c>
      <c r="D242" s="23" t="s">
        <v>3</v>
      </c>
      <c r="E242" s="23"/>
      <c r="F242" s="61" t="s">
        <v>8</v>
      </c>
      <c r="G242" s="61" t="s">
        <v>344</v>
      </c>
      <c r="H242" s="61" t="s">
        <v>345</v>
      </c>
      <c r="I242" s="61" t="s">
        <v>346</v>
      </c>
      <c r="J242" s="61" t="s">
        <v>347</v>
      </c>
      <c r="K242" s="61" t="s">
        <v>348</v>
      </c>
      <c r="L242" s="61" t="s">
        <v>349</v>
      </c>
      <c r="M242" s="23"/>
      <c r="N242" s="114" t="s">
        <v>425</v>
      </c>
      <c r="O242" s="114" t="s">
        <v>424</v>
      </c>
      <c r="P242" s="114" t="s">
        <v>429</v>
      </c>
      <c r="Q242" s="115" t="s">
        <v>430</v>
      </c>
    </row>
    <row r="243" spans="1:17" ht="30.75" customHeight="1">
      <c r="A243" s="67" t="s">
        <v>338</v>
      </c>
      <c r="B243" s="82">
        <f>'[1]Weight%'!$B$97</f>
        <v>7.8647686832740218E-3</v>
      </c>
      <c r="C243" s="28" t="s">
        <v>33</v>
      </c>
      <c r="D243" s="171" t="s">
        <v>208</v>
      </c>
      <c r="E243" s="28"/>
      <c r="F243" s="28">
        <v>2009</v>
      </c>
      <c r="G243" s="26"/>
      <c r="H243" s="26">
        <f>H244/data_1tier!N14</f>
        <v>3652662.8327402128</v>
      </c>
      <c r="I243" s="26">
        <f>I244/data_1tier!T14</f>
        <v>973528078.16216183</v>
      </c>
      <c r="J243" s="26"/>
      <c r="K243" s="26">
        <f>K244/data_1tier!AJ19</f>
        <v>22291022.556420241</v>
      </c>
      <c r="L243" s="26">
        <f>L244/data_1tier!AK19</f>
        <v>816520972.7626456</v>
      </c>
      <c r="M243" s="28"/>
      <c r="N243" s="28" t="s">
        <v>461</v>
      </c>
      <c r="O243" s="82">
        <f>[6]Production!$J$3</f>
        <v>2.006573387685184E-2</v>
      </c>
      <c r="P243" s="48">
        <f t="shared" ref="P243:P263" si="39">O243/$O$264</f>
        <v>2.2407510064710073E-2</v>
      </c>
      <c r="Q243" s="66">
        <f>$B$255*P243</f>
        <v>55735367.618504137</v>
      </c>
    </row>
    <row r="244" spans="1:17">
      <c r="A244" s="67" t="s">
        <v>339</v>
      </c>
      <c r="B244" s="82">
        <f>'[1]Weight%'!$B$97</f>
        <v>7.8647686832740218E-3</v>
      </c>
      <c r="C244" s="28" t="s">
        <v>33</v>
      </c>
      <c r="D244" s="171"/>
      <c r="E244" s="28"/>
      <c r="F244" s="28">
        <v>2010</v>
      </c>
      <c r="G244" s="26"/>
      <c r="H244" s="26">
        <f>H245/data_1tier!N15</f>
        <v>3450557.1530249105</v>
      </c>
      <c r="I244" s="26">
        <f>I245/data_1tier!T15</f>
        <v>1186826445.2972968</v>
      </c>
      <c r="J244" s="26">
        <f>J245/data_1tier!AD15</f>
        <v>418846.12099644134</v>
      </c>
      <c r="K244" s="26">
        <f>K245/data_1tier!AJ20</f>
        <v>30822483.414396897</v>
      </c>
      <c r="L244" s="26">
        <f>L245/data_1tier!AK20</f>
        <v>1129028696.498054</v>
      </c>
      <c r="M244" s="28"/>
      <c r="N244" s="28" t="s">
        <v>148</v>
      </c>
      <c r="O244" s="82">
        <f>[6]Production!$U$3</f>
        <v>1.1997967193556716E-2</v>
      </c>
      <c r="P244" s="48">
        <f t="shared" si="39"/>
        <v>1.3398192774590062E-2</v>
      </c>
      <c r="Q244" s="66">
        <f t="shared" ref="Q244:Q263" si="40">$B$255*P244</f>
        <v>33326023.175213743</v>
      </c>
    </row>
    <row r="245" spans="1:17">
      <c r="A245" s="67" t="s">
        <v>340</v>
      </c>
      <c r="B245" s="82">
        <f>'[1]Weight%'!$B$96</f>
        <v>1.0810810810810811E-2</v>
      </c>
      <c r="C245" s="28" t="s">
        <v>33</v>
      </c>
      <c r="D245" s="171"/>
      <c r="E245" s="28"/>
      <c r="F245" s="28">
        <v>2011</v>
      </c>
      <c r="G245" s="26"/>
      <c r="H245" s="26">
        <f>H246/data_1tier!N16</f>
        <v>3382567.8007117431</v>
      </c>
      <c r="I245" s="26">
        <f>I246/data_1tier!T16</f>
        <v>1220609293.0270267</v>
      </c>
      <c r="J245" s="26">
        <f>J246/data_1tier!AD16</f>
        <v>363682.63345195737</v>
      </c>
      <c r="K245" s="26">
        <f>K246/data_1tier!AJ21</f>
        <v>31841647.651750982</v>
      </c>
      <c r="L245" s="26">
        <f>L246/data_1tier!AK21</f>
        <v>1166360719.8443577</v>
      </c>
      <c r="M245" s="28"/>
      <c r="N245" s="28" t="s">
        <v>465</v>
      </c>
      <c r="O245" s="82">
        <f>[6]Production!$X$3</f>
        <v>1.2629177804361453E-2</v>
      </c>
      <c r="P245" s="48">
        <f t="shared" si="39"/>
        <v>1.4103068968073099E-2</v>
      </c>
      <c r="Q245" s="66">
        <f t="shared" si="40"/>
        <v>35079298.467999704</v>
      </c>
    </row>
    <row r="246" spans="1:17">
      <c r="A246" s="67" t="s">
        <v>341</v>
      </c>
      <c r="B246" s="82">
        <f>'[1]Weight%'!$B$99</f>
        <v>7.8647686832740218E-3</v>
      </c>
      <c r="C246" s="28" t="s">
        <v>33</v>
      </c>
      <c r="D246" s="171"/>
      <c r="E246" s="28"/>
      <c r="F246" s="28">
        <v>2012</v>
      </c>
      <c r="G246" s="26">
        <f>G247/data_1tier!I14</f>
        <v>764153.5088967972</v>
      </c>
      <c r="H246" s="26">
        <f>H247/data_1tier!N17</f>
        <v>5465624.1423487533</v>
      </c>
      <c r="I246" s="26">
        <f>I247/data_1tier!T17</f>
        <v>1285488975.5675671</v>
      </c>
      <c r="J246" s="26">
        <f>J247/data_1tier!AD17</f>
        <v>675835.3024911033</v>
      </c>
      <c r="K246" s="26">
        <f>K247/data_1tier!AJ22</f>
        <v>33708298.4299611</v>
      </c>
      <c r="L246" s="26">
        <f>L247/data_1tier!AK22</f>
        <v>1234736206.2256806</v>
      </c>
      <c r="M246" s="28"/>
      <c r="N246" s="28" t="s">
        <v>17</v>
      </c>
      <c r="O246" s="82">
        <f>[6]Production!$AG$3</f>
        <v>4.3529087252064405E-2</v>
      </c>
      <c r="P246" s="48">
        <f t="shared" si="39"/>
        <v>4.8609159609830602E-2</v>
      </c>
      <c r="Q246" s="66">
        <f t="shared" si="40"/>
        <v>120908096.10958469</v>
      </c>
    </row>
    <row r="247" spans="1:17">
      <c r="A247" s="67" t="s">
        <v>342</v>
      </c>
      <c r="B247" s="82">
        <f>'[1]Weight%'!$B$98</f>
        <v>4.4999999999999997E-3</v>
      </c>
      <c r="C247" s="28" t="s">
        <v>33</v>
      </c>
      <c r="D247" s="171"/>
      <c r="E247" s="28"/>
      <c r="F247" s="28">
        <v>2013</v>
      </c>
      <c r="G247" s="26">
        <f>G248/data_1tier!I15</f>
        <v>1153277.0960854094</v>
      </c>
      <c r="H247" s="26">
        <f>H248/data_1tier!N18</f>
        <v>6235616.4555160133</v>
      </c>
      <c r="I247" s="26">
        <f>I248/data_1tier!T18</f>
        <v>1339784698.9729726</v>
      </c>
      <c r="J247" s="26">
        <f>J248/data_1tier!AD18</f>
        <v>963213.95017793612</v>
      </c>
      <c r="K247" s="26">
        <f>K248/data_1tier!AJ23</f>
        <v>34816414.99027238</v>
      </c>
      <c r="L247" s="26">
        <f>L248/data_1tier!AK23</f>
        <v>1275326556.420233</v>
      </c>
      <c r="M247" s="28"/>
      <c r="N247" s="28" t="s">
        <v>466</v>
      </c>
      <c r="O247" s="82">
        <f>[6]Production!$AH$3</f>
        <v>1.1214370397584867E-2</v>
      </c>
      <c r="P247" s="48">
        <f t="shared" si="39"/>
        <v>1.2523146130386858E-2</v>
      </c>
      <c r="Q247" s="66">
        <f t="shared" si="40"/>
        <v>31149474.051408406</v>
      </c>
    </row>
    <row r="248" spans="1:17">
      <c r="A248" s="67" t="s">
        <v>343</v>
      </c>
      <c r="B248" s="82">
        <f>'[1]Weight%'!$B$100</f>
        <v>7.4999999999999997E-3</v>
      </c>
      <c r="C248" s="28" t="s">
        <v>33</v>
      </c>
      <c r="D248" s="171"/>
      <c r="E248" s="28"/>
      <c r="F248" s="28">
        <v>2014</v>
      </c>
      <c r="G248" s="26">
        <f>G249/data_1tier!I16</f>
        <v>1690799.4306049824</v>
      </c>
      <c r="H248" s="26">
        <f>H249/data_1tier!N19</f>
        <v>5584904.3701067613</v>
      </c>
      <c r="I248" s="26">
        <f>I249/data_1tier!T19</f>
        <v>1381287956.4864862</v>
      </c>
      <c r="J248" s="26">
        <f>J249/data_1tier!AD19</f>
        <v>1904516.6548042707</v>
      </c>
      <c r="K248" s="26">
        <f>K249/data_1tier!AJ24</f>
        <v>35045599.552529186</v>
      </c>
      <c r="L248" s="26">
        <f>L249/data_1tier!AK24</f>
        <v>1283721595.3307388</v>
      </c>
      <c r="M248" s="28"/>
      <c r="N248" s="28" t="s">
        <v>22</v>
      </c>
      <c r="O248" s="82">
        <f>[6]Production!$AN$3</f>
        <v>6.3380578215827488E-2</v>
      </c>
      <c r="P248" s="48">
        <f t="shared" si="39"/>
        <v>7.0777423491929461E-2</v>
      </c>
      <c r="Q248" s="66">
        <f t="shared" si="40"/>
        <v>176048374.22904804</v>
      </c>
    </row>
    <row r="249" spans="1:17" ht="32">
      <c r="A249" s="67" t="s">
        <v>344</v>
      </c>
      <c r="B249" s="65">
        <f>data_1tier!G7*B243</f>
        <v>12306211.1886121</v>
      </c>
      <c r="C249" s="28" t="s">
        <v>7</v>
      </c>
      <c r="D249" s="172"/>
      <c r="E249" s="28"/>
      <c r="F249" s="28">
        <v>2015</v>
      </c>
      <c r="G249" s="26">
        <f>G250/data_1tier!I17</f>
        <v>2809396.0427046265</v>
      </c>
      <c r="H249" s="26">
        <f>H250/data_1tier!N20</f>
        <v>5800625.5373665476</v>
      </c>
      <c r="I249" s="26">
        <f>I250/data_1tier!T20</f>
        <v>1396724190.9189186</v>
      </c>
      <c r="J249" s="26">
        <f>J250/data_1tier!AD20</f>
        <v>2538070.9608540931</v>
      </c>
      <c r="K249" s="26">
        <f>K250/data_1tier!AJ25</f>
        <v>35438587.301556423</v>
      </c>
      <c r="L249" s="26">
        <f>L250/data_1tier!AK25</f>
        <v>1298116750.9727621</v>
      </c>
      <c r="M249" s="28"/>
      <c r="N249" s="28" t="s">
        <v>26</v>
      </c>
      <c r="O249" s="82">
        <f>[6]Production!$AW$3</f>
        <v>2.6111118137324488E-2</v>
      </c>
      <c r="P249" s="48">
        <f t="shared" si="39"/>
        <v>2.9158422316060716E-2</v>
      </c>
      <c r="Q249" s="66">
        <f t="shared" si="40"/>
        <v>72527263.505315602</v>
      </c>
    </row>
    <row r="250" spans="1:17" ht="32">
      <c r="A250" s="67" t="s">
        <v>345</v>
      </c>
      <c r="B250" s="65">
        <f>data_1tier!L7*B244</f>
        <v>25167259.786476869</v>
      </c>
      <c r="C250" s="28" t="s">
        <v>7</v>
      </c>
      <c r="D250" s="172"/>
      <c r="E250" s="28"/>
      <c r="F250" s="28">
        <v>2016</v>
      </c>
      <c r="G250" s="26">
        <f>G251/data_1tier!I18</f>
        <v>3624148.3274021354</v>
      </c>
      <c r="H250" s="26">
        <f>H251/data_1tier!N21</f>
        <v>9131485.1003787797</v>
      </c>
      <c r="I250" s="26">
        <f>I251/data_1tier!T21</f>
        <v>1469391837.5675673</v>
      </c>
      <c r="J250" s="26">
        <f>J251/data_1tier!AD21</f>
        <v>3743629.893238435</v>
      </c>
      <c r="K250" s="26">
        <f>K251/data_1tier!AJ26</f>
        <v>36442526.743190661</v>
      </c>
      <c r="L250" s="26">
        <f>L251/data_1tier!AK26</f>
        <v>1334891089.494163</v>
      </c>
      <c r="M250" s="28"/>
      <c r="N250" s="28" t="s">
        <v>28</v>
      </c>
      <c r="O250" s="82">
        <f>[6]Production!$BA$3</f>
        <v>9.3174087179032195E-2</v>
      </c>
      <c r="P250" s="48">
        <f t="shared" si="39"/>
        <v>0.104047990920624</v>
      </c>
      <c r="Q250" s="66">
        <f t="shared" si="40"/>
        <v>258803990.58978596</v>
      </c>
    </row>
    <row r="251" spans="1:17" ht="32">
      <c r="A251" s="67" t="s">
        <v>346</v>
      </c>
      <c r="B251" s="65">
        <f>data_1tier!R7*B245</f>
        <v>1137815670.9189191</v>
      </c>
      <c r="C251" s="28" t="s">
        <v>7</v>
      </c>
      <c r="D251" s="28"/>
      <c r="E251" s="28"/>
      <c r="F251" s="28">
        <v>2017</v>
      </c>
      <c r="G251" s="26">
        <f>G252/data_1tier!I19</f>
        <v>5249097.6227758015</v>
      </c>
      <c r="H251" s="26">
        <f>H252/data_1tier!N22</f>
        <v>13423283.097556807</v>
      </c>
      <c r="I251" s="26">
        <f>I252/data_1tier!T22</f>
        <v>1496924983.0810809</v>
      </c>
      <c r="J251" s="26">
        <f>J252/data_1tier!AD22</f>
        <v>4184056.9395017806</v>
      </c>
      <c r="K251" s="26">
        <f>K252/data_1tier!AJ27</f>
        <v>37995868.593385212</v>
      </c>
      <c r="L251" s="26">
        <f>L252/data_1tier!AK27</f>
        <v>1391790058.3657584</v>
      </c>
      <c r="M251" s="28"/>
      <c r="N251" s="28" t="s">
        <v>149</v>
      </c>
      <c r="O251" s="82">
        <f>[6]Production!$BM$3</f>
        <v>1.428126795846479E-2</v>
      </c>
      <c r="P251" s="48">
        <f t="shared" si="39"/>
        <v>1.5947966691878004E-2</v>
      </c>
      <c r="Q251" s="66">
        <f t="shared" si="40"/>
        <v>39668208.728794374</v>
      </c>
    </row>
    <row r="252" spans="1:17" ht="32">
      <c r="A252" s="67" t="s">
        <v>347</v>
      </c>
      <c r="B252" s="65">
        <f>data_1tier!AB7*B246</f>
        <v>5725551.601423488</v>
      </c>
      <c r="C252" s="28" t="s">
        <v>7</v>
      </c>
      <c r="D252" s="28"/>
      <c r="E252" s="28"/>
      <c r="F252" s="28">
        <v>2018</v>
      </c>
      <c r="G252" s="26">
        <f>G253/data_1tier!I20</f>
        <v>8088581.1245551612</v>
      </c>
      <c r="H252" s="26">
        <f>H253/data_1tier!N23</f>
        <v>16376405.379019303</v>
      </c>
      <c r="I252" s="26">
        <f>I253/data_1tier!T23</f>
        <v>1436642825.7297297</v>
      </c>
      <c r="J252" s="26">
        <f>J253/data_1tier!AD23</f>
        <v>4844697.5088967988</v>
      </c>
      <c r="K252" s="26">
        <f>K253/data_1tier!AJ28</f>
        <v>40052783.90661478</v>
      </c>
      <c r="L252" s="26">
        <f>L253/data_1tier!AK28</f>
        <v>1467134941.6342411</v>
      </c>
      <c r="M252" s="28"/>
      <c r="N252" s="28" t="s">
        <v>142</v>
      </c>
      <c r="O252" s="82">
        <f>[6]Production!$BQ$3</f>
        <v>3.079383985932985E-2</v>
      </c>
      <c r="P252" s="48">
        <f t="shared" si="39"/>
        <v>3.4387642177145308E-2</v>
      </c>
      <c r="Q252" s="66">
        <f t="shared" si="40"/>
        <v>85534174.60225831</v>
      </c>
    </row>
    <row r="253" spans="1:17" ht="32">
      <c r="A253" s="67" t="s">
        <v>348</v>
      </c>
      <c r="B253" s="65">
        <f>data_1tier!AG9*B247</f>
        <v>34715284.424124509</v>
      </c>
      <c r="C253" s="28" t="s">
        <v>7</v>
      </c>
      <c r="D253" s="28"/>
      <c r="E253" s="28"/>
      <c r="F253" s="28">
        <v>2019</v>
      </c>
      <c r="G253" s="26">
        <f>G254/data_1tier!I21</f>
        <v>7276987.3309608549</v>
      </c>
      <c r="H253" s="26">
        <f>H254/data_1tier!N24</f>
        <v>18505338.078291815</v>
      </c>
      <c r="I253" s="26">
        <f>I254/data_1tier!T24</f>
        <v>1368391723.891892</v>
      </c>
      <c r="J253" s="26">
        <f>J254/data_1tier!AD24</f>
        <v>5285124.5551601434</v>
      </c>
      <c r="K253" s="26">
        <f>K254/data_1tier!AJ29</f>
        <v>39257291.118677042</v>
      </c>
      <c r="L253" s="26">
        <f>L254/data_1tier!AK29</f>
        <v>1437996011.6731515</v>
      </c>
      <c r="M253" s="28"/>
      <c r="N253" s="28" t="s">
        <v>19</v>
      </c>
      <c r="O253" s="82">
        <f>[6]Production!$BY$3</f>
        <v>0.18822191219193279</v>
      </c>
      <c r="P253" s="48">
        <f t="shared" si="39"/>
        <v>0.21018839468937561</v>
      </c>
      <c r="Q253" s="66">
        <f t="shared" si="40"/>
        <v>522812548.70908701</v>
      </c>
    </row>
    <row r="254" spans="1:17" ht="32">
      <c r="A254" s="67" t="s">
        <v>349</v>
      </c>
      <c r="B254" s="65">
        <f>data_1tier!AG11*B248</f>
        <v>1271622140.0778208</v>
      </c>
      <c r="C254" s="28" t="s">
        <v>7</v>
      </c>
      <c r="D254" s="28"/>
      <c r="E254" s="28"/>
      <c r="F254" s="28">
        <v>2020</v>
      </c>
      <c r="G254" s="26">
        <f>B249</f>
        <v>12306211.1886121</v>
      </c>
      <c r="H254" s="26">
        <f>B250</f>
        <v>25167259.786476869</v>
      </c>
      <c r="I254" s="26">
        <f>B251</f>
        <v>1137815670.9189191</v>
      </c>
      <c r="J254" s="26">
        <f>B252</f>
        <v>5725551.601423488</v>
      </c>
      <c r="K254" s="26">
        <f>B253</f>
        <v>34715284.424124509</v>
      </c>
      <c r="L254" s="26">
        <f>B254</f>
        <v>1271622140.0778208</v>
      </c>
      <c r="M254" s="28"/>
      <c r="N254" s="28" t="s">
        <v>163</v>
      </c>
      <c r="O254" s="82">
        <f>[6]Production!$CO$3</f>
        <v>9.0526873873771799E-2</v>
      </c>
      <c r="P254" s="48">
        <f t="shared" si="39"/>
        <v>0.1010918339644368</v>
      </c>
      <c r="Q254" s="66">
        <f t="shared" si="40"/>
        <v>251450987.32368103</v>
      </c>
    </row>
    <row r="255" spans="1:17" ht="48">
      <c r="A255" s="67" t="s">
        <v>483</v>
      </c>
      <c r="B255" s="65">
        <f>SUM(B249:B254)</f>
        <v>2487352117.9973769</v>
      </c>
      <c r="C255" s="28" t="s">
        <v>7</v>
      </c>
      <c r="D255" s="28"/>
      <c r="E255" s="28"/>
      <c r="F255" s="28"/>
      <c r="G255" s="28"/>
      <c r="H255" s="28"/>
      <c r="I255" s="28"/>
      <c r="J255" s="28"/>
      <c r="K255" s="28"/>
      <c r="L255" s="28"/>
      <c r="M255" s="28"/>
      <c r="N255" s="28" t="s">
        <v>23</v>
      </c>
      <c r="O255" s="82">
        <f>[6]Production!$DK$3</f>
        <v>3.9838534644638261E-2</v>
      </c>
      <c r="P255" s="48">
        <f t="shared" si="39"/>
        <v>4.4487900193017398E-2</v>
      </c>
      <c r="Q255" s="66">
        <f t="shared" si="40"/>
        <v>110657072.77035774</v>
      </c>
    </row>
    <row r="256" spans="1:17" ht="32">
      <c r="A256" s="67" t="s">
        <v>350</v>
      </c>
      <c r="B256" s="41">
        <f>SUM(G243:G254)</f>
        <v>42962651.67259787</v>
      </c>
      <c r="C256" s="28" t="s">
        <v>7</v>
      </c>
      <c r="D256" s="28"/>
      <c r="E256" s="28"/>
      <c r="F256" s="28"/>
      <c r="G256" s="28"/>
      <c r="H256" s="28"/>
      <c r="I256" s="28"/>
      <c r="J256" s="28"/>
      <c r="K256" s="28"/>
      <c r="L256" s="28"/>
      <c r="M256" s="28"/>
      <c r="N256" s="28" t="s">
        <v>47</v>
      </c>
      <c r="O256" s="82">
        <f>[6]Production!$DV$3</f>
        <v>1.5655562549114471E-2</v>
      </c>
      <c r="P256" s="48">
        <f t="shared" si="39"/>
        <v>1.7482648655710108E-2</v>
      </c>
      <c r="Q256" s="66">
        <f t="shared" si="40"/>
        <v>43485503.161984533</v>
      </c>
    </row>
    <row r="257" spans="1:17" ht="32">
      <c r="A257" s="67" t="s">
        <v>351</v>
      </c>
      <c r="B257" s="41">
        <f>SUM(H243:H254)</f>
        <v>116176329.73353852</v>
      </c>
      <c r="C257" s="28" t="s">
        <v>7</v>
      </c>
      <c r="D257" s="28"/>
      <c r="E257" s="28"/>
      <c r="F257" s="28"/>
      <c r="G257" s="28"/>
      <c r="H257" s="28"/>
      <c r="I257" s="28"/>
      <c r="J257" s="28"/>
      <c r="K257" s="28"/>
      <c r="L257" s="28"/>
      <c r="M257" s="28"/>
      <c r="N257" s="28" t="s">
        <v>463</v>
      </c>
      <c r="O257" s="82">
        <f>[6]Production!$DY$3</f>
        <v>1.2438529209321054E-2</v>
      </c>
      <c r="P257" s="48">
        <f t="shared" si="39"/>
        <v>1.3890170683943119E-2</v>
      </c>
      <c r="Q257" s="66">
        <f t="shared" si="40"/>
        <v>34549745.470050991</v>
      </c>
    </row>
    <row r="258" spans="1:17" ht="32">
      <c r="A258" s="67" t="s">
        <v>352</v>
      </c>
      <c r="B258" s="41">
        <f>SUM(I243:I254)</f>
        <v>15693416679.62162</v>
      </c>
      <c r="C258" s="28" t="s">
        <v>7</v>
      </c>
      <c r="D258" s="28"/>
      <c r="E258" s="28"/>
      <c r="F258" s="28"/>
      <c r="G258" s="28"/>
      <c r="H258" s="28"/>
      <c r="I258" s="28"/>
      <c r="J258" s="28"/>
      <c r="K258" s="28"/>
      <c r="L258" s="28"/>
      <c r="M258" s="28"/>
      <c r="N258" s="28" t="s">
        <v>467</v>
      </c>
      <c r="O258" s="82">
        <f>[6]Production!$DZ$3</f>
        <v>1.783863438017785E-2</v>
      </c>
      <c r="P258" s="48">
        <f t="shared" si="39"/>
        <v>1.9920496397873647E-2</v>
      </c>
      <c r="Q258" s="66">
        <f t="shared" si="40"/>
        <v>49549288.906810135</v>
      </c>
    </row>
    <row r="259" spans="1:17" ht="32">
      <c r="A259" s="67" t="s">
        <v>353</v>
      </c>
      <c r="B259" s="41">
        <f>SUM(J243:J254)</f>
        <v>30647226.120996445</v>
      </c>
      <c r="C259" s="28" t="s">
        <v>7</v>
      </c>
      <c r="D259" s="28"/>
      <c r="E259" s="28"/>
      <c r="F259" s="28"/>
      <c r="G259" s="28"/>
      <c r="H259" s="28"/>
      <c r="I259" s="28"/>
      <c r="J259" s="28"/>
      <c r="K259" s="28"/>
      <c r="L259" s="28"/>
      <c r="M259" s="28"/>
      <c r="N259" s="28" t="s">
        <v>161</v>
      </c>
      <c r="O259" s="82">
        <f>[6]Production!$EC$3</f>
        <v>8.3526237838188702E-2</v>
      </c>
      <c r="P259" s="48">
        <f t="shared" si="39"/>
        <v>9.327418705506238E-2</v>
      </c>
      <c r="Q259" s="66">
        <f t="shared" si="40"/>
        <v>232005746.72589293</v>
      </c>
    </row>
    <row r="260" spans="1:17" ht="32">
      <c r="A260" s="67" t="s">
        <v>354</v>
      </c>
      <c r="B260" s="41">
        <f>SUM(K243:K254)</f>
        <v>412427808.68287933</v>
      </c>
      <c r="C260" s="28" t="s">
        <v>7</v>
      </c>
      <c r="D260" s="28"/>
      <c r="E260" s="28"/>
      <c r="F260" s="28"/>
      <c r="G260" s="28"/>
      <c r="H260" s="28"/>
      <c r="I260" s="28"/>
      <c r="J260" s="28"/>
      <c r="K260" s="28"/>
      <c r="L260" s="28"/>
      <c r="M260" s="28"/>
      <c r="N260" s="28" t="s">
        <v>435</v>
      </c>
      <c r="O260" s="82">
        <f>[6]Production!$EI$3</f>
        <v>1.6125147320707255E-2</v>
      </c>
      <c r="P260" s="48">
        <f t="shared" si="39"/>
        <v>1.8007036428431367E-2</v>
      </c>
      <c r="Q260" s="66">
        <f t="shared" si="40"/>
        <v>44789840.19911468</v>
      </c>
    </row>
    <row r="261" spans="1:17" ht="32">
      <c r="A261" s="67" t="s">
        <v>355</v>
      </c>
      <c r="B261" s="41">
        <f>SUM(L243:L254)</f>
        <v>15107245739.299606</v>
      </c>
      <c r="C261" s="28" t="s">
        <v>7</v>
      </c>
      <c r="D261" s="28"/>
      <c r="E261" s="28"/>
      <c r="F261" s="28"/>
      <c r="G261" s="28"/>
      <c r="H261" s="28"/>
      <c r="I261" s="28"/>
      <c r="J261" s="28"/>
      <c r="K261" s="28"/>
      <c r="L261" s="28"/>
      <c r="M261" s="28"/>
      <c r="N261" s="28" t="s">
        <v>468</v>
      </c>
      <c r="O261" s="82">
        <f>[6]Production!$EL$3</f>
        <v>1.7888240730794577E-2</v>
      </c>
      <c r="P261" s="48">
        <f t="shared" si="39"/>
        <v>1.9975892069297365E-2</v>
      </c>
      <c r="Q261" s="66">
        <f t="shared" si="40"/>
        <v>49687077.447453804</v>
      </c>
    </row>
    <row r="262" spans="1:17" ht="32">
      <c r="A262" s="67" t="s">
        <v>490</v>
      </c>
      <c r="B262" s="41">
        <f>SUM(B256:B261)</f>
        <v>31402876435.131237</v>
      </c>
      <c r="C262" s="28" t="s">
        <v>7</v>
      </c>
      <c r="D262" s="28"/>
      <c r="E262" s="28"/>
      <c r="F262" s="28"/>
      <c r="G262" s="28"/>
      <c r="H262" s="28"/>
      <c r="I262" s="28"/>
      <c r="J262" s="28"/>
      <c r="K262" s="28"/>
      <c r="L262" s="28"/>
      <c r="M262" s="28"/>
      <c r="N262" s="28" t="s">
        <v>147</v>
      </c>
      <c r="O262" s="82">
        <f>[6]Production!$EN$3</f>
        <v>3.753531373926787E-2</v>
      </c>
      <c r="P262" s="48">
        <f t="shared" si="39"/>
        <v>4.1915881350592939E-2</v>
      </c>
      <c r="Q262" s="66">
        <f t="shared" si="40"/>
        <v>104259556.25512409</v>
      </c>
    </row>
    <row r="263" spans="1:17">
      <c r="A263" s="67"/>
      <c r="B263" s="41"/>
      <c r="C263" s="28"/>
      <c r="D263" s="28"/>
      <c r="E263" s="28"/>
      <c r="F263" s="28"/>
      <c r="G263" s="28"/>
      <c r="H263" s="28"/>
      <c r="I263" s="28"/>
      <c r="J263" s="28"/>
      <c r="K263" s="28"/>
      <c r="L263" s="28"/>
      <c r="M263" s="28"/>
      <c r="N263" s="28" t="s">
        <v>20</v>
      </c>
      <c r="O263" s="82">
        <f>[6]Production!$EV$3</f>
        <v>4.8719244489143609E-2</v>
      </c>
      <c r="P263" s="48">
        <f t="shared" si="39"/>
        <v>5.4405035367030986E-2</v>
      </c>
      <c r="Q263" s="66">
        <f t="shared" si="40"/>
        <v>135324479.94990674</v>
      </c>
    </row>
    <row r="264" spans="1:17">
      <c r="A264" s="68"/>
      <c r="B264" s="69"/>
      <c r="C264" s="37"/>
      <c r="D264" s="37"/>
      <c r="E264" s="37"/>
      <c r="F264" s="37"/>
      <c r="G264" s="37"/>
      <c r="H264" s="37"/>
      <c r="I264" s="37"/>
      <c r="J264" s="37"/>
      <c r="K264" s="37"/>
      <c r="L264" s="37"/>
      <c r="M264" s="37"/>
      <c r="N264" s="37" t="s">
        <v>27</v>
      </c>
      <c r="O264" s="131">
        <f>SUM(O243:O263)</f>
        <v>0.89549145884145642</v>
      </c>
      <c r="P264" s="37"/>
      <c r="Q264" s="42"/>
    </row>
    <row r="266" spans="1:17">
      <c r="A266" s="90" t="s">
        <v>357</v>
      </c>
    </row>
    <row r="267" spans="1:17" ht="64">
      <c r="A267" s="60" t="s">
        <v>0</v>
      </c>
      <c r="B267" s="23" t="s">
        <v>1</v>
      </c>
      <c r="C267" s="23" t="s">
        <v>558</v>
      </c>
      <c r="D267" s="23" t="s">
        <v>3</v>
      </c>
      <c r="E267" s="23"/>
      <c r="F267" s="61" t="s">
        <v>8</v>
      </c>
      <c r="G267" s="61" t="s">
        <v>322</v>
      </c>
      <c r="H267" s="61" t="s">
        <v>323</v>
      </c>
      <c r="I267" s="61" t="s">
        <v>324</v>
      </c>
      <c r="J267" s="61" t="s">
        <v>326</v>
      </c>
      <c r="K267" s="61" t="s">
        <v>327</v>
      </c>
      <c r="L267" s="61"/>
      <c r="M267" s="114" t="s">
        <v>425</v>
      </c>
      <c r="N267" s="114" t="s">
        <v>424</v>
      </c>
      <c r="O267" s="114" t="s">
        <v>429</v>
      </c>
      <c r="P267" s="115" t="s">
        <v>430</v>
      </c>
    </row>
    <row r="268" spans="1:17" ht="16" customHeight="1">
      <c r="A268" s="67" t="s">
        <v>358</v>
      </c>
      <c r="B268" s="82">
        <f>'[1]Weight%'!$B$51</f>
        <v>7.5317409081127606E-2</v>
      </c>
      <c r="C268" s="28" t="s">
        <v>33</v>
      </c>
      <c r="D268" s="171" t="s">
        <v>208</v>
      </c>
      <c r="E268" s="28"/>
      <c r="F268" s="28">
        <v>2009</v>
      </c>
      <c r="G268" s="26"/>
      <c r="H268" s="26"/>
      <c r="I268" s="26">
        <f>I269/data_1tier!N14</f>
        <v>29089079.572953738</v>
      </c>
      <c r="J268" s="26"/>
      <c r="K268" s="26"/>
      <c r="L268" s="28"/>
      <c r="M268" s="28" t="s">
        <v>461</v>
      </c>
      <c r="N268" s="82">
        <f>[7]Production!$M$8</f>
        <v>1.1048276081119992E-2</v>
      </c>
      <c r="O268" s="48">
        <f>N268/$N$288</f>
        <v>1.2329594979639839E-2</v>
      </c>
      <c r="P268" s="66">
        <f t="shared" ref="P268:P287" si="41">$B$278*O268</f>
        <v>7856080.7072980925</v>
      </c>
    </row>
    <row r="269" spans="1:17">
      <c r="A269" s="67" t="s">
        <v>359</v>
      </c>
      <c r="B269" s="82">
        <f>'[1]Weight%'!$B$52</f>
        <v>6.2633451957295375E-2</v>
      </c>
      <c r="C269" s="28" t="s">
        <v>33</v>
      </c>
      <c r="D269" s="171"/>
      <c r="E269" s="28"/>
      <c r="F269" s="28">
        <v>2010</v>
      </c>
      <c r="G269" s="26"/>
      <c r="H269" s="26"/>
      <c r="I269" s="26">
        <f>I270/data_1tier!N15</f>
        <v>27479550.177935943</v>
      </c>
      <c r="J269" s="26"/>
      <c r="K269" s="26">
        <f>K270/data_1tier!AD15</f>
        <v>684720</v>
      </c>
      <c r="L269" s="28"/>
      <c r="M269" s="28" t="s">
        <v>148</v>
      </c>
      <c r="N269" s="82">
        <f>[7]Production!$Z$8</f>
        <v>2.754906167806646E-2</v>
      </c>
      <c r="O269" s="48">
        <f t="shared" ref="O269:O287" si="42">N269/$N$288</f>
        <v>3.0744051838107526E-2</v>
      </c>
      <c r="P269" s="66">
        <f t="shared" si="41"/>
        <v>19589268.983155541</v>
      </c>
    </row>
    <row r="270" spans="1:17">
      <c r="A270" s="67" t="s">
        <v>360</v>
      </c>
      <c r="B270" s="82">
        <f>'[1]Weight%'!$B$50</f>
        <v>6.2633451957295375E-2</v>
      </c>
      <c r="C270" s="28" t="s">
        <v>33</v>
      </c>
      <c r="D270" s="171"/>
      <c r="E270" s="28"/>
      <c r="F270" s="28">
        <v>2011</v>
      </c>
      <c r="G270" s="26">
        <f>G271/data_1tier!D13</f>
        <v>5444680.4389929008</v>
      </c>
      <c r="H270" s="26"/>
      <c r="I270" s="26">
        <f>I271/data_1tier!N16</f>
        <v>26938096.512455516</v>
      </c>
      <c r="J270" s="26"/>
      <c r="K270" s="26">
        <f>K271/data_1tier!AD16</f>
        <v>594540</v>
      </c>
      <c r="L270" s="28"/>
      <c r="M270" s="28" t="s">
        <v>17</v>
      </c>
      <c r="N270" s="82">
        <f>[7]Production!$AT$8</f>
        <v>0.42425072881547143</v>
      </c>
      <c r="O270" s="48">
        <f t="shared" si="42"/>
        <v>0.47345301816367313</v>
      </c>
      <c r="P270" s="66">
        <f t="shared" si="41"/>
        <v>301671314.26050591</v>
      </c>
    </row>
    <row r="271" spans="1:17">
      <c r="A271" s="67" t="s">
        <v>361</v>
      </c>
      <c r="B271" s="82">
        <f>'[1]Weight%'!$B$53</f>
        <v>0.02</v>
      </c>
      <c r="C271" s="28" t="s">
        <v>33</v>
      </c>
      <c r="D271" s="171"/>
      <c r="E271" s="28"/>
      <c r="F271" s="28">
        <v>2012</v>
      </c>
      <c r="G271" s="26">
        <f>G272/data_1tier!D14</f>
        <v>8020535.8295674659</v>
      </c>
      <c r="H271" s="26">
        <f>H272/data_1tier!I14</f>
        <v>6085566.4056939492</v>
      </c>
      <c r="I271" s="26">
        <f>I272/data_1tier!N17</f>
        <v>43527142.491103202</v>
      </c>
      <c r="J271" s="26"/>
      <c r="K271" s="26">
        <f>K272/data_1tier!AD17</f>
        <v>1104840</v>
      </c>
      <c r="L271" s="28"/>
      <c r="M271" s="28" t="s">
        <v>22</v>
      </c>
      <c r="N271" s="82">
        <f>[7]Production!$BG$8</f>
        <v>2.1341008608985572E-2</v>
      </c>
      <c r="O271" s="48">
        <f t="shared" si="42"/>
        <v>2.3816022578893169E-2</v>
      </c>
      <c r="P271" s="66">
        <f t="shared" si="41"/>
        <v>15174918.220394276</v>
      </c>
    </row>
    <row r="272" spans="1:17">
      <c r="A272" s="67" t="s">
        <v>362</v>
      </c>
      <c r="B272" s="82">
        <f>'[1]Weight%'!$B$54</f>
        <v>1.2857142857142857E-2</v>
      </c>
      <c r="C272" s="28" t="s">
        <v>33</v>
      </c>
      <c r="D272" s="171"/>
      <c r="E272" s="28"/>
      <c r="F272" s="28">
        <v>2013</v>
      </c>
      <c r="G272" s="26">
        <f>G273/data_1tier!D15</f>
        <v>15369044.544867661</v>
      </c>
      <c r="H272" s="26">
        <f>H273/data_1tier!I15</f>
        <v>9184469.1814946607</v>
      </c>
      <c r="I272" s="26">
        <f>I273/data_1tier!N18</f>
        <v>49659207.971530251</v>
      </c>
      <c r="J272" s="26"/>
      <c r="K272" s="26">
        <f>K273/data_1tier!AD18</f>
        <v>1574640.0000000002</v>
      </c>
      <c r="L272" s="28"/>
      <c r="M272" s="28" t="s">
        <v>24</v>
      </c>
      <c r="N272" s="82">
        <f>[7]Production!$BV$8</f>
        <v>1.6348551217021157E-2</v>
      </c>
      <c r="O272" s="48">
        <f t="shared" si="42"/>
        <v>1.8244567164123135E-2</v>
      </c>
      <c r="P272" s="66">
        <f t="shared" si="41"/>
        <v>11624939.209094675</v>
      </c>
    </row>
    <row r="273" spans="1:16" ht="32">
      <c r="A273" s="67" t="s">
        <v>363</v>
      </c>
      <c r="B273" s="65">
        <f>data_1tier!B7*B268</f>
        <v>273221387.99225307</v>
      </c>
      <c r="C273" s="28" t="s">
        <v>7</v>
      </c>
      <c r="D273" s="172"/>
      <c r="E273" s="28"/>
      <c r="F273" s="28">
        <v>2014</v>
      </c>
      <c r="G273" s="26">
        <f>G274/data_1tier!D16</f>
        <v>26257049.709490001</v>
      </c>
      <c r="H273" s="26">
        <f>H274/data_1tier!I16</f>
        <v>13465190.035587188</v>
      </c>
      <c r="I273" s="26">
        <f>I274/data_1tier!N19</f>
        <v>44477066.476868331</v>
      </c>
      <c r="J273" s="26"/>
      <c r="K273" s="26">
        <f>K274/data_1tier!AD19</f>
        <v>3113460.0000000005</v>
      </c>
      <c r="L273" s="28"/>
      <c r="M273" s="28" t="s">
        <v>26</v>
      </c>
      <c r="N273" s="82">
        <f>[7]Production!$BW$8</f>
        <v>1.8838228110744509E-2</v>
      </c>
      <c r="O273" s="48">
        <f t="shared" si="42"/>
        <v>2.1022983226899956E-2</v>
      </c>
      <c r="P273" s="66">
        <f t="shared" si="41"/>
        <v>13395269.934773201</v>
      </c>
    </row>
    <row r="274" spans="1:16" ht="32">
      <c r="A274" s="67" t="s">
        <v>364</v>
      </c>
      <c r="B274" s="65">
        <f>data_1tier!G7*B269</f>
        <v>98004215.800711751</v>
      </c>
      <c r="C274" s="28" t="s">
        <v>7</v>
      </c>
      <c r="D274" s="28"/>
      <c r="E274" s="28"/>
      <c r="F274" s="28">
        <v>2015</v>
      </c>
      <c r="G274" s="26">
        <f>G275/data_1tier!D17</f>
        <v>44566772.111039393</v>
      </c>
      <c r="H274" s="26">
        <f>H275/data_1tier!I17</f>
        <v>22373470.74733096</v>
      </c>
      <c r="I274" s="26">
        <f>I275/data_1tier!N20</f>
        <v>46195026.903914593</v>
      </c>
      <c r="J274" s="26">
        <f>J275/data_1tier!Y15</f>
        <v>18000000</v>
      </c>
      <c r="K274" s="26">
        <f>K275/data_1tier!AD20</f>
        <v>4149180.0000000009</v>
      </c>
      <c r="L274" s="28"/>
      <c r="M274" s="28" t="s">
        <v>28</v>
      </c>
      <c r="N274" s="82">
        <f>[7]Production!$CE$8</f>
        <v>8.3627983386890245E-2</v>
      </c>
      <c r="O274" s="48">
        <f t="shared" si="42"/>
        <v>9.332670151920032E-2</v>
      </c>
      <c r="P274" s="66">
        <f t="shared" si="41"/>
        <v>59465221.728003122</v>
      </c>
    </row>
    <row r="275" spans="1:16" ht="32">
      <c r="A275" s="67" t="s">
        <v>365</v>
      </c>
      <c r="B275" s="65">
        <f>data_1tier!L7*B270</f>
        <v>200427046.26334521</v>
      </c>
      <c r="C275" s="28" t="s">
        <v>7</v>
      </c>
      <c r="D275" s="28"/>
      <c r="E275" s="28"/>
      <c r="F275" s="28">
        <v>2016</v>
      </c>
      <c r="G275" s="26">
        <f>G276/data_1tier!D18</f>
        <v>63131504.196255662</v>
      </c>
      <c r="H275" s="26">
        <f>H276/data_1tier!I18</f>
        <v>28861995.729537364</v>
      </c>
      <c r="I275" s="26">
        <f>I276/data_1tier!N21</f>
        <v>72721329.306183949</v>
      </c>
      <c r="J275" s="26">
        <f>J276/data_1tier!Y16</f>
        <v>27000000</v>
      </c>
      <c r="K275" s="26">
        <f>K276/data_1tier!AD21</f>
        <v>6120000.0000000009</v>
      </c>
      <c r="L275" s="28"/>
      <c r="M275" s="28" t="s">
        <v>462</v>
      </c>
      <c r="N275" s="82">
        <f>[7]Production!$CT$8</f>
        <v>1.1546017476606048E-2</v>
      </c>
      <c r="O275" s="48">
        <f t="shared" si="42"/>
        <v>1.2885061711814555E-2</v>
      </c>
      <c r="P275" s="66">
        <f t="shared" si="41"/>
        <v>8210008.9170559747</v>
      </c>
    </row>
    <row r="276" spans="1:16" ht="32">
      <c r="A276" s="67" t="s">
        <v>366</v>
      </c>
      <c r="B276" s="65">
        <f>data_1tier!W7*B271</f>
        <v>56160000</v>
      </c>
      <c r="C276" s="28" t="s">
        <v>7</v>
      </c>
      <c r="D276" s="28"/>
      <c r="E276" s="28"/>
      <c r="F276" s="28">
        <v>2017</v>
      </c>
      <c r="G276" s="26">
        <f>G277/data_1tier!D19</f>
        <v>102962769.52872823</v>
      </c>
      <c r="H276" s="26">
        <f>H277/data_1tier!I19</f>
        <v>41802768.398576513</v>
      </c>
      <c r="I276" s="26">
        <f>I277/data_1tier!N22</f>
        <v>106900354.0800904</v>
      </c>
      <c r="J276" s="26">
        <f>J277/data_1tier!Y17</f>
        <v>36000000</v>
      </c>
      <c r="K276" s="26">
        <f>K277/data_1tier!AD22</f>
        <v>6840000.0000000009</v>
      </c>
      <c r="L276" s="28"/>
      <c r="M276" s="28" t="s">
        <v>21</v>
      </c>
      <c r="N276" s="82">
        <f>[7]Production!$CU$8</f>
        <v>1.6717410560265648E-2</v>
      </c>
      <c r="O276" s="48">
        <f t="shared" si="42"/>
        <v>1.8656204805440973E-2</v>
      </c>
      <c r="P276" s="66">
        <f t="shared" si="41"/>
        <v>11887223.455876091</v>
      </c>
    </row>
    <row r="277" spans="1:16" ht="32">
      <c r="A277" s="67" t="s">
        <v>367</v>
      </c>
      <c r="B277" s="65">
        <f>data_1tier!AB7*B272</f>
        <v>9360000</v>
      </c>
      <c r="C277" s="28" t="s">
        <v>7</v>
      </c>
      <c r="D277" s="28"/>
      <c r="E277" s="28"/>
      <c r="F277" s="28">
        <v>2018</v>
      </c>
      <c r="G277" s="26">
        <f>G278/data_1tier!D20</f>
        <v>185991129.76113623</v>
      </c>
      <c r="H277" s="26">
        <f>H278/data_1tier!I20</f>
        <v>64415849.679715306</v>
      </c>
      <c r="I277" s="26">
        <f>I278/data_1tier!N23</f>
        <v>130418431.97771029</v>
      </c>
      <c r="J277" s="26">
        <f>J278/data_1tier!Y18</f>
        <v>54000000</v>
      </c>
      <c r="K277" s="26">
        <f>K278/data_1tier!AD23</f>
        <v>7920000.0000000009</v>
      </c>
      <c r="L277" s="28"/>
      <c r="M277" s="28" t="s">
        <v>142</v>
      </c>
      <c r="N277" s="82">
        <f>[7]Production!$DB$8</f>
        <v>3.3456458395499752E-2</v>
      </c>
      <c r="O277" s="48">
        <f t="shared" si="42"/>
        <v>3.7336556259179414E-2</v>
      </c>
      <c r="P277" s="66">
        <f t="shared" si="41"/>
        <v>23789832.495637856</v>
      </c>
    </row>
    <row r="278" spans="1:16" ht="42" customHeight="1">
      <c r="A278" s="67" t="s">
        <v>484</v>
      </c>
      <c r="B278" s="65">
        <f>SUM(B273:B277)</f>
        <v>637172650.05631006</v>
      </c>
      <c r="C278" s="28" t="s">
        <v>7</v>
      </c>
      <c r="D278" s="28"/>
      <c r="E278" s="28"/>
      <c r="F278" s="28">
        <v>2019</v>
      </c>
      <c r="G278" s="26">
        <f>G279/data_1tier!D21</f>
        <v>209465442.22078761</v>
      </c>
      <c r="H278" s="26">
        <f>H279/data_1tier!I21</f>
        <v>57952478.291814953</v>
      </c>
      <c r="I278" s="26">
        <f>I279/data_1tier!N24</f>
        <v>147372828.13481265</v>
      </c>
      <c r="J278" s="26">
        <f>J279/data_1tier!Y19</f>
        <v>36000000</v>
      </c>
      <c r="K278" s="26">
        <f>K279/data_1tier!AD24</f>
        <v>8640000</v>
      </c>
      <c r="L278" s="28"/>
      <c r="M278" s="28" t="s">
        <v>18</v>
      </c>
      <c r="N278" s="82">
        <f>[7]Production!$DE$8</f>
        <v>2.5883141948715868E-2</v>
      </c>
      <c r="O278" s="48">
        <f t="shared" si="42"/>
        <v>2.8884927810008308E-2</v>
      </c>
      <c r="P278" s="66">
        <f t="shared" si="41"/>
        <v>18404685.999388203</v>
      </c>
    </row>
    <row r="279" spans="1:16" ht="32">
      <c r="A279" s="67" t="s">
        <v>368</v>
      </c>
      <c r="B279" s="41">
        <f>SUM(G268:G279)</f>
        <v>934430316.3331182</v>
      </c>
      <c r="C279" s="28" t="s">
        <v>7</v>
      </c>
      <c r="D279" s="28"/>
      <c r="E279" s="28"/>
      <c r="F279" s="28">
        <v>2020</v>
      </c>
      <c r="G279" s="26">
        <f>B273</f>
        <v>273221387.99225307</v>
      </c>
      <c r="H279" s="26">
        <f>B274</f>
        <v>98004215.800711751</v>
      </c>
      <c r="I279" s="26">
        <f>B275</f>
        <v>200427046.26334521</v>
      </c>
      <c r="J279" s="26">
        <f>B276</f>
        <v>56160000</v>
      </c>
      <c r="K279" s="26">
        <f>B277</f>
        <v>9360000</v>
      </c>
      <c r="L279" s="28"/>
      <c r="M279" s="28" t="s">
        <v>19</v>
      </c>
      <c r="N279" s="82">
        <f>[7]Production!$DJ$8</f>
        <v>1.1772448683030562E-2</v>
      </c>
      <c r="O279" s="48">
        <f t="shared" si="42"/>
        <v>1.3137753176570427E-2</v>
      </c>
      <c r="P279" s="66">
        <f t="shared" si="41"/>
        <v>8371017.0073010847</v>
      </c>
    </row>
    <row r="280" spans="1:16" ht="32">
      <c r="A280" s="67" t="s">
        <v>369</v>
      </c>
      <c r="B280" s="41">
        <f>SUM(H268:H279)</f>
        <v>342146004.27046263</v>
      </c>
      <c r="C280" s="28" t="s">
        <v>7</v>
      </c>
      <c r="D280" s="28"/>
      <c r="E280" s="28"/>
      <c r="F280" s="28"/>
      <c r="G280" s="28"/>
      <c r="H280" s="28"/>
      <c r="I280" s="28"/>
      <c r="J280" s="28"/>
      <c r="K280" s="28"/>
      <c r="L280" s="28"/>
      <c r="M280" s="28" t="s">
        <v>163</v>
      </c>
      <c r="N280" s="82">
        <f>[7]Production!$ED$8</f>
        <v>3.5257211828895095E-2</v>
      </c>
      <c r="O280" s="48">
        <f t="shared" si="42"/>
        <v>3.9346151270106197E-2</v>
      </c>
      <c r="P280" s="66">
        <f t="shared" si="41"/>
        <v>25070291.474290017</v>
      </c>
    </row>
    <row r="281" spans="1:16" ht="32">
      <c r="A281" s="67" t="s">
        <v>370</v>
      </c>
      <c r="B281" s="41">
        <f>SUM(I268:I279)</f>
        <v>925205159.86890411</v>
      </c>
      <c r="C281" s="28" t="s">
        <v>7</v>
      </c>
      <c r="D281" s="28"/>
      <c r="E281" s="28"/>
      <c r="F281" s="28"/>
      <c r="G281" s="28"/>
      <c r="H281" s="28"/>
      <c r="I281" s="28"/>
      <c r="J281" s="28"/>
      <c r="K281" s="28"/>
      <c r="L281" s="28"/>
      <c r="M281" s="28" t="s">
        <v>86</v>
      </c>
      <c r="N281" s="82">
        <f>[7]Production!$EO$8</f>
        <v>1.3789087548070292E-2</v>
      </c>
      <c r="O281" s="48">
        <f t="shared" si="42"/>
        <v>1.5388270835939044E-2</v>
      </c>
      <c r="P281" s="66">
        <f t="shared" si="41"/>
        <v>9804985.3083195109</v>
      </c>
    </row>
    <row r="282" spans="1:16" ht="32">
      <c r="A282" s="67" t="s">
        <v>371</v>
      </c>
      <c r="B282" s="41">
        <f>SUM(J268:J279)</f>
        <v>227160000</v>
      </c>
      <c r="C282" s="28" t="s">
        <v>7</v>
      </c>
      <c r="D282" s="28"/>
      <c r="E282" s="28"/>
      <c r="F282" s="28"/>
      <c r="G282" s="28"/>
      <c r="H282" s="28"/>
      <c r="I282" s="28"/>
      <c r="J282" s="28"/>
      <c r="K282" s="28"/>
      <c r="L282" s="28"/>
      <c r="M282" s="28" t="s">
        <v>427</v>
      </c>
      <c r="N282" s="82">
        <f>[7]Production!$FM$8</f>
        <v>1.441600008277091E-2</v>
      </c>
      <c r="O282" s="48">
        <f t="shared" si="42"/>
        <v>1.6087889272676594E-2</v>
      </c>
      <c r="P282" s="66">
        <f t="shared" si="41"/>
        <v>10250763.041683828</v>
      </c>
    </row>
    <row r="283" spans="1:16" ht="32">
      <c r="A283" s="67" t="s">
        <v>372</v>
      </c>
      <c r="B283" s="41">
        <f>SUM(K268:K279)</f>
        <v>50101380</v>
      </c>
      <c r="C283" s="28" t="s">
        <v>7</v>
      </c>
      <c r="D283" s="28"/>
      <c r="E283" s="28"/>
      <c r="F283" s="28"/>
      <c r="G283" s="28"/>
      <c r="H283" s="28"/>
      <c r="I283" s="28"/>
      <c r="J283" s="28"/>
      <c r="K283" s="28"/>
      <c r="L283" s="28"/>
      <c r="M283" s="28" t="s">
        <v>23</v>
      </c>
      <c r="N283" s="82">
        <f>[7]Production!$FO$8</f>
        <v>1.5334433525785817E-2</v>
      </c>
      <c r="O283" s="48">
        <f t="shared" si="42"/>
        <v>1.7112837625250888E-2</v>
      </c>
      <c r="P283" s="66">
        <f t="shared" si="41"/>
        <v>10903832.09966444</v>
      </c>
    </row>
    <row r="284" spans="1:16" ht="32">
      <c r="A284" s="67" t="s">
        <v>489</v>
      </c>
      <c r="B284" s="65">
        <f>SUM(B279:B283)</f>
        <v>2479042860.4724851</v>
      </c>
      <c r="C284" s="28" t="s">
        <v>7</v>
      </c>
      <c r="D284" s="28"/>
      <c r="E284" s="28"/>
      <c r="F284" s="28"/>
      <c r="G284" s="28"/>
      <c r="H284" s="28"/>
      <c r="I284" s="28"/>
      <c r="J284" s="28"/>
      <c r="K284" s="28"/>
      <c r="L284" s="28"/>
      <c r="M284" s="28" t="s">
        <v>47</v>
      </c>
      <c r="N284" s="82">
        <f>[7]Production!$GK$8</f>
        <v>1.0992501469468169E-2</v>
      </c>
      <c r="O284" s="48">
        <f t="shared" si="42"/>
        <v>1.2267351932239092E-2</v>
      </c>
      <c r="P284" s="66">
        <f t="shared" si="41"/>
        <v>7816421.1398381786</v>
      </c>
    </row>
    <row r="285" spans="1:16">
      <c r="A285" s="30"/>
      <c r="B285" s="28"/>
      <c r="C285" s="28"/>
      <c r="D285" s="28"/>
      <c r="E285" s="28"/>
      <c r="F285" s="28"/>
      <c r="G285" s="28"/>
      <c r="H285" s="28"/>
      <c r="I285" s="28"/>
      <c r="J285" s="28"/>
      <c r="K285" s="28"/>
      <c r="L285" s="28"/>
      <c r="M285" s="28" t="s">
        <v>463</v>
      </c>
      <c r="N285" s="82">
        <f>[7]Production!$GN$8</f>
        <v>2.691154525620441E-2</v>
      </c>
      <c r="O285" s="48">
        <f t="shared" si="42"/>
        <v>3.0032599733117091E-2</v>
      </c>
      <c r="P285" s="66">
        <f t="shared" si="41"/>
        <v>19135951.160030648</v>
      </c>
    </row>
    <row r="286" spans="1:16">
      <c r="A286" s="30"/>
      <c r="B286" s="28"/>
      <c r="C286" s="28"/>
      <c r="D286" s="28"/>
      <c r="E286" s="28"/>
      <c r="F286" s="28"/>
      <c r="G286" s="28"/>
      <c r="H286" s="28"/>
      <c r="I286" s="28"/>
      <c r="J286" s="28"/>
      <c r="K286" s="28"/>
      <c r="L286" s="28"/>
      <c r="M286" s="28" t="s">
        <v>435</v>
      </c>
      <c r="N286" s="82">
        <f>[7]Production!$HC$8</f>
        <v>1.2553188525875031E-2</v>
      </c>
      <c r="O286" s="48">
        <f t="shared" si="42"/>
        <v>1.4009038975011856E-2</v>
      </c>
      <c r="P286" s="66">
        <f t="shared" si="41"/>
        <v>8926176.4884504378</v>
      </c>
    </row>
    <row r="287" spans="1:16">
      <c r="A287" s="30"/>
      <c r="B287" s="28"/>
      <c r="C287" s="28"/>
      <c r="D287" s="28"/>
      <c r="E287" s="28"/>
      <c r="F287" s="28"/>
      <c r="G287" s="28"/>
      <c r="H287" s="28"/>
      <c r="I287" s="28"/>
      <c r="J287" s="28"/>
      <c r="K287" s="28"/>
      <c r="L287" s="28"/>
      <c r="M287" s="28" t="s">
        <v>20</v>
      </c>
      <c r="N287" s="82">
        <f>[7]Production!$HT$8</f>
        <v>6.4444495459445583E-2</v>
      </c>
      <c r="O287" s="48">
        <f t="shared" si="42"/>
        <v>7.1918417122108572E-2</v>
      </c>
      <c r="P287" s="66">
        <f t="shared" si="41"/>
        <v>45824448.425549023</v>
      </c>
    </row>
    <row r="288" spans="1:16">
      <c r="A288" s="39"/>
      <c r="B288" s="37"/>
      <c r="C288" s="37"/>
      <c r="D288" s="37"/>
      <c r="E288" s="37"/>
      <c r="F288" s="37"/>
      <c r="G288" s="37"/>
      <c r="H288" s="37"/>
      <c r="I288" s="37"/>
      <c r="J288" s="37"/>
      <c r="K288" s="37"/>
      <c r="L288" s="37"/>
      <c r="M288" s="37" t="s">
        <v>27</v>
      </c>
      <c r="N288" s="131">
        <f>SUM(N268:N287)</f>
        <v>0.89607777865893246</v>
      </c>
      <c r="O288" s="37"/>
      <c r="P288" s="42"/>
    </row>
    <row r="289" spans="1:17">
      <c r="N289" s="13"/>
    </row>
    <row r="290" spans="1:17">
      <c r="A290" s="91" t="s">
        <v>373</v>
      </c>
    </row>
    <row r="291" spans="1:17" ht="48">
      <c r="A291" s="60" t="s">
        <v>0</v>
      </c>
      <c r="B291" s="23" t="s">
        <v>1</v>
      </c>
      <c r="C291" s="23" t="s">
        <v>558</v>
      </c>
      <c r="D291" s="23" t="s">
        <v>3</v>
      </c>
      <c r="E291" s="23"/>
      <c r="F291" s="61" t="s">
        <v>8</v>
      </c>
      <c r="G291" s="61" t="s">
        <v>380</v>
      </c>
      <c r="H291" s="61" t="s">
        <v>381</v>
      </c>
      <c r="I291" s="61" t="s">
        <v>382</v>
      </c>
      <c r="J291" s="61" t="s">
        <v>383</v>
      </c>
      <c r="K291" s="61" t="s">
        <v>384</v>
      </c>
      <c r="L291" s="61" t="s">
        <v>385</v>
      </c>
      <c r="M291" s="23"/>
      <c r="N291" s="114" t="s">
        <v>425</v>
      </c>
      <c r="O291" s="114" t="s">
        <v>424</v>
      </c>
      <c r="P291" s="114" t="s">
        <v>429</v>
      </c>
      <c r="Q291" s="115" t="s">
        <v>430</v>
      </c>
    </row>
    <row r="292" spans="1:17" ht="16" customHeight="1">
      <c r="A292" s="67" t="s">
        <v>374</v>
      </c>
      <c r="B292" s="82">
        <f>'[1]Weight%'!$B$56</f>
        <v>0.16263345195729537</v>
      </c>
      <c r="C292" s="28" t="s">
        <v>33</v>
      </c>
      <c r="D292" s="171" t="s">
        <v>208</v>
      </c>
      <c r="E292" s="28"/>
      <c r="F292" s="28">
        <v>2009</v>
      </c>
      <c r="G292" s="26"/>
      <c r="H292" s="26">
        <f>H293/data_1tier!N14</f>
        <v>75532439.572953731</v>
      </c>
      <c r="I292" s="26">
        <f>I293/data_1tier!T14</f>
        <v>17388293173.840836</v>
      </c>
      <c r="J292" s="26"/>
      <c r="K292" s="26">
        <f>K293/data_1tier!AJ19</f>
        <v>333977923.95451635</v>
      </c>
      <c r="L292" s="26">
        <f>L293/data_1tier!AK19</f>
        <v>26128671128.404659</v>
      </c>
      <c r="M292" s="28"/>
      <c r="N292" s="28" t="s">
        <v>461</v>
      </c>
      <c r="O292" s="82">
        <f>[8]Production!$M$11</f>
        <v>4.7544465561243129E-2</v>
      </c>
      <c r="P292" s="48">
        <f t="shared" ref="P292:P312" si="43">O292/$O$313</f>
        <v>5.1023797544739583E-2</v>
      </c>
      <c r="Q292" s="66">
        <f>P292*$B$304</f>
        <v>3180766726.8043199</v>
      </c>
    </row>
    <row r="293" spans="1:17" ht="27.75" customHeight="1">
      <c r="A293" s="67" t="s">
        <v>375</v>
      </c>
      <c r="B293" s="82">
        <f>'[1]Weight%'!$B$56</f>
        <v>0.16263345195729537</v>
      </c>
      <c r="C293" s="28" t="s">
        <v>33</v>
      </c>
      <c r="D293" s="171"/>
      <c r="E293" s="28"/>
      <c r="F293" s="28">
        <v>2010</v>
      </c>
      <c r="G293" s="26"/>
      <c r="H293" s="26">
        <f>H294/data_1tier!N15</f>
        <v>71353150.177935943</v>
      </c>
      <c r="I293" s="26">
        <f>I294/data_1tier!T15</f>
        <v>21198039009.060051</v>
      </c>
      <c r="J293" s="26">
        <f>J294/data_1tier!AD15</f>
        <v>2143124.5161290327</v>
      </c>
      <c r="K293" s="26">
        <f>K294/data_1tier!AJ20</f>
        <v>461801561.40472394</v>
      </c>
      <c r="L293" s="26">
        <f>L294/data_1tier!AK20</f>
        <v>36128918287.937729</v>
      </c>
      <c r="M293" s="28"/>
      <c r="N293" s="28" t="s">
        <v>148</v>
      </c>
      <c r="O293" s="82">
        <f>[8]Production!$Z$11</f>
        <v>1.151529346196066E-2</v>
      </c>
      <c r="P293" s="48">
        <f t="shared" si="43"/>
        <v>1.2357989417601132E-2</v>
      </c>
      <c r="Q293" s="66">
        <f t="shared" ref="Q293:Q312" si="44">P293*$B$304</f>
        <v>770383300.36565685</v>
      </c>
    </row>
    <row r="294" spans="1:17">
      <c r="A294" s="67" t="s">
        <v>376</v>
      </c>
      <c r="B294" s="82">
        <f>'[1]Weight%'!$B$55</f>
        <v>0.19309309309309308</v>
      </c>
      <c r="C294" s="28" t="s">
        <v>33</v>
      </c>
      <c r="D294" s="171"/>
      <c r="E294" s="28"/>
      <c r="F294" s="28">
        <v>2011</v>
      </c>
      <c r="G294" s="26"/>
      <c r="H294" s="26">
        <f>H295/data_1tier!N16</f>
        <v>69947216.512455508</v>
      </c>
      <c r="I294" s="26">
        <f>I295/data_1tier!T16</f>
        <v>21801438206.010502</v>
      </c>
      <c r="J294" s="26">
        <f>J295/data_1tier!AD16</f>
        <v>1860867.5806451617</v>
      </c>
      <c r="K294" s="26">
        <f>K295/data_1tier!AJ21</f>
        <v>477071312.05428171</v>
      </c>
      <c r="L294" s="26">
        <f>L295/data_1tier!AK21</f>
        <v>37323543035.019447</v>
      </c>
      <c r="M294" s="28"/>
      <c r="N294" s="28" t="s">
        <v>88</v>
      </c>
      <c r="O294" s="82">
        <f>[8]Production!$AM$11</f>
        <v>2.6230974999724137E-2</v>
      </c>
      <c r="P294" s="48">
        <f t="shared" si="43"/>
        <v>2.8150573194750093E-2</v>
      </c>
      <c r="Q294" s="66">
        <f t="shared" si="44"/>
        <v>1754875388.87748</v>
      </c>
    </row>
    <row r="295" spans="1:17" ht="29.25" customHeight="1">
      <c r="A295" s="67" t="s">
        <v>377</v>
      </c>
      <c r="B295" s="82">
        <f>'[1]Weight%'!$B$59</f>
        <v>4.0241935483870971E-2</v>
      </c>
      <c r="C295" s="28" t="s">
        <v>33</v>
      </c>
      <c r="D295" s="171"/>
      <c r="E295" s="28"/>
      <c r="F295" s="28">
        <v>2012</v>
      </c>
      <c r="G295" s="26">
        <f>G296/data_1tier!I14</f>
        <v>15801726.405693952</v>
      </c>
      <c r="H295" s="26">
        <f>H296/data_1tier!N17</f>
        <v>113022182.49110319</v>
      </c>
      <c r="I295" s="26">
        <f>I296/data_1tier!T17</f>
        <v>22960261424.720711</v>
      </c>
      <c r="J295" s="26">
        <f>J296/data_1tier!AD17</f>
        <v>3458070.0000000005</v>
      </c>
      <c r="K295" s="26">
        <f>K296/data_1tier!AJ22</f>
        <v>505038631.63671786</v>
      </c>
      <c r="L295" s="26">
        <f>L296/data_1tier!AK22</f>
        <v>39511558599.221779</v>
      </c>
      <c r="M295" s="28"/>
      <c r="N295" s="28" t="s">
        <v>17</v>
      </c>
      <c r="O295" s="82">
        <f>[8]Production!$AT$11</f>
        <v>7.1753275710466663E-2</v>
      </c>
      <c r="P295" s="48">
        <f t="shared" si="43"/>
        <v>7.7004222674598194E-2</v>
      </c>
      <c r="Q295" s="66">
        <f t="shared" si="44"/>
        <v>4800357501.6545305</v>
      </c>
    </row>
    <row r="296" spans="1:17">
      <c r="A296" s="67" t="s">
        <v>378</v>
      </c>
      <c r="B296" s="82">
        <f>'[1]Weight%'!$B$57</f>
        <v>6.7421790722761596E-2</v>
      </c>
      <c r="C296" s="28" t="s">
        <v>33</v>
      </c>
      <c r="D296" s="171"/>
      <c r="E296" s="28"/>
      <c r="F296" s="28">
        <v>2013</v>
      </c>
      <c r="G296" s="26">
        <f>G297/data_1tier!I15</f>
        <v>23848309.181494664</v>
      </c>
      <c r="H296" s="26">
        <f>H297/data_1tier!N18</f>
        <v>128944647.97153023</v>
      </c>
      <c r="I296" s="26">
        <f>I297/data_1tier!T18</f>
        <v>23930043373.322815</v>
      </c>
      <c r="J296" s="26">
        <f>J297/data_1tier!AD18</f>
        <v>4928510.3225806458</v>
      </c>
      <c r="K296" s="26">
        <f>K297/data_1tier!AJ23</f>
        <v>521641121.15354759</v>
      </c>
      <c r="L296" s="26">
        <f>L297/data_1tier!AK23</f>
        <v>40810449805.447456</v>
      </c>
      <c r="M296" s="28"/>
      <c r="N296" s="28" t="s">
        <v>22</v>
      </c>
      <c r="O296" s="82">
        <f>[8]Production!$BG$11</f>
        <v>1.1055170380036556E-2</v>
      </c>
      <c r="P296" s="48">
        <f t="shared" si="43"/>
        <v>1.1864194257625771E-2</v>
      </c>
      <c r="Q296" s="66">
        <f t="shared" si="44"/>
        <v>739600659.9059881</v>
      </c>
    </row>
    <row r="297" spans="1:17">
      <c r="A297" s="67" t="s">
        <v>379</v>
      </c>
      <c r="B297" s="82">
        <f>'[1]Weight%'!$B$58</f>
        <v>0.24</v>
      </c>
      <c r="C297" s="28" t="s">
        <v>33</v>
      </c>
      <c r="D297" s="171"/>
      <c r="E297" s="28"/>
      <c r="F297" s="28">
        <v>2014</v>
      </c>
      <c r="G297" s="26">
        <f>G298/data_1tier!I16</f>
        <v>34963590.035587192</v>
      </c>
      <c r="H297" s="26">
        <f>H298/data_1tier!N19</f>
        <v>115488746.47686832</v>
      </c>
      <c r="I297" s="26">
        <f>I298/data_1tier!T19</f>
        <v>24671337667.24474</v>
      </c>
      <c r="J297" s="26">
        <f>J298/data_1tier!AD19</f>
        <v>9744906.612903228</v>
      </c>
      <c r="K297" s="26">
        <f>K298/data_1tier!AJ24</f>
        <v>525074906.39651787</v>
      </c>
      <c r="L297" s="26">
        <f>L298/data_1tier!AK24</f>
        <v>41079091050.583641</v>
      </c>
      <c r="M297" s="28"/>
      <c r="N297" s="28" t="s">
        <v>26</v>
      </c>
      <c r="O297" s="82">
        <f>[8]Production!$BW$11</f>
        <v>4.8486145168917978E-2</v>
      </c>
      <c r="P297" s="48">
        <f t="shared" si="43"/>
        <v>5.2034389820555985E-2</v>
      </c>
      <c r="Q297" s="66">
        <f t="shared" si="44"/>
        <v>3243765924.0409369</v>
      </c>
    </row>
    <row r="298" spans="1:17" ht="30" customHeight="1">
      <c r="A298" s="67" t="s">
        <v>380</v>
      </c>
      <c r="B298" s="65">
        <f>data_1tier!G7*B292</f>
        <v>254476855.80071172</v>
      </c>
      <c r="C298" s="28" t="s">
        <v>7</v>
      </c>
      <c r="D298" s="28"/>
      <c r="E298" s="28"/>
      <c r="F298" s="28">
        <v>2015</v>
      </c>
      <c r="G298" s="26">
        <f>G299/data_1tier!I17</f>
        <v>58094750.747330964</v>
      </c>
      <c r="H298" s="26">
        <f>H299/data_1tier!N20</f>
        <v>119949586.90391459</v>
      </c>
      <c r="I298" s="26">
        <f>I299/data_1tier!T20</f>
        <v>24947045965.579575</v>
      </c>
      <c r="J298" s="26">
        <f>J299/data_1tier!AD20</f>
        <v>12986635.967741938</v>
      </c>
      <c r="K298" s="26">
        <f>K299/data_1tier!AJ25</f>
        <v>530962892.56796753</v>
      </c>
      <c r="L298" s="26">
        <f>L299/data_1tier!AK25</f>
        <v>41539736031.128387</v>
      </c>
      <c r="M298" s="28"/>
      <c r="N298" s="28" t="s">
        <v>28</v>
      </c>
      <c r="O298" s="82">
        <f>[8]Production!$CE$11</f>
        <v>0.11970342703715384</v>
      </c>
      <c r="P298" s="48">
        <f t="shared" si="43"/>
        <v>0.12846339430796089</v>
      </c>
      <c r="Q298" s="66">
        <f t="shared" si="44"/>
        <v>8008264964.3790045</v>
      </c>
    </row>
    <row r="299" spans="1:17" ht="27.75" customHeight="1">
      <c r="A299" s="67" t="s">
        <v>381</v>
      </c>
      <c r="B299" s="65">
        <f>data_1tier!L7*B293</f>
        <v>520427046.26334518</v>
      </c>
      <c r="C299" s="28" t="s">
        <v>7</v>
      </c>
      <c r="D299" s="28"/>
      <c r="E299" s="28"/>
      <c r="F299" s="28">
        <v>2016</v>
      </c>
      <c r="G299" s="26">
        <f>G300/data_1tier!I18</f>
        <v>74942795.729537368</v>
      </c>
      <c r="H299" s="26">
        <f>H300/data_1tier!N21</f>
        <v>188827542.57344353</v>
      </c>
      <c r="I299" s="26">
        <f>I300/data_1tier!T21</f>
        <v>26244970876.55405</v>
      </c>
      <c r="J299" s="26">
        <f>J300/data_1tier!AD21</f>
        <v>19155161.290322583</v>
      </c>
      <c r="K299" s="26">
        <f>K300/data_1tier!AJ26</f>
        <v>546004535.8862319</v>
      </c>
      <c r="L299" s="26">
        <f>L300/data_1tier!AK26</f>
        <v>42716514863.813217</v>
      </c>
      <c r="M299" s="28"/>
      <c r="N299" s="28" t="s">
        <v>21</v>
      </c>
      <c r="O299" s="82">
        <f>[8]Production!$CU$11</f>
        <v>5.1989813963129392E-2</v>
      </c>
      <c r="P299" s="48">
        <f t="shared" si="43"/>
        <v>5.5794459160054322E-2</v>
      </c>
      <c r="Q299" s="66">
        <f t="shared" si="44"/>
        <v>3478164460.0390959</v>
      </c>
    </row>
    <row r="300" spans="1:17" ht="32">
      <c r="A300" s="67" t="s">
        <v>382</v>
      </c>
      <c r="B300" s="65">
        <f>data_1tier!R7*B294</f>
        <v>20322652122.246246</v>
      </c>
      <c r="C300" s="28" t="s">
        <v>7</v>
      </c>
      <c r="D300" s="28"/>
      <c r="E300" s="28"/>
      <c r="F300" s="28">
        <v>2017</v>
      </c>
      <c r="G300" s="26">
        <f>G301/data_1tier!I19</f>
        <v>108544688.39857651</v>
      </c>
      <c r="H300" s="26">
        <f>H301/data_1tier!N22</f>
        <v>277576487.58296198</v>
      </c>
      <c r="I300" s="26">
        <f>I301/data_1tier!T22</f>
        <v>26736743447.809307</v>
      </c>
      <c r="J300" s="26">
        <f>J301/data_1tier!AD22</f>
        <v>21408709.677419357</v>
      </c>
      <c r="K300" s="26">
        <f>K301/data_1tier!AJ27</f>
        <v>569277666.80728173</v>
      </c>
      <c r="L300" s="26">
        <f>L301/data_1tier!AK27</f>
        <v>44537281867.704269</v>
      </c>
      <c r="M300" s="28"/>
      <c r="N300" s="28" t="s">
        <v>149</v>
      </c>
      <c r="O300" s="82">
        <f>[8]Production!$CW$11</f>
        <v>1.1262221864009251E-2</v>
      </c>
      <c r="P300" s="48">
        <f t="shared" si="43"/>
        <v>1.2086397891105513E-2</v>
      </c>
      <c r="Q300" s="66">
        <f t="shared" si="44"/>
        <v>753452587.00584102</v>
      </c>
    </row>
    <row r="301" spans="1:17" ht="32">
      <c r="A301" s="67" t="s">
        <v>383</v>
      </c>
      <c r="B301" s="65">
        <f>data_1tier!AB7*B295</f>
        <v>29296129.032258067</v>
      </c>
      <c r="C301" s="28" t="s">
        <v>7</v>
      </c>
      <c r="D301" s="28"/>
      <c r="E301" s="28"/>
      <c r="F301" s="28">
        <v>2018</v>
      </c>
      <c r="G301" s="26">
        <f>G302/data_1tier!I20</f>
        <v>167261609.67971531</v>
      </c>
      <c r="H301" s="26">
        <f>H302/data_1tier!N23</f>
        <v>338643314.85121363</v>
      </c>
      <c r="I301" s="26">
        <f>I302/data_1tier!T23</f>
        <v>25660037137.33934</v>
      </c>
      <c r="J301" s="26">
        <f>J302/data_1tier!AD23</f>
        <v>24789032.25806452</v>
      </c>
      <c r="K301" s="26">
        <f>K302/data_1tier!AJ28</f>
        <v>600095647.64795005</v>
      </c>
      <c r="L301" s="26">
        <f>L302/data_1tier!AK28</f>
        <v>46948318132.295715</v>
      </c>
      <c r="M301" s="28"/>
      <c r="N301" s="28" t="s">
        <v>142</v>
      </c>
      <c r="O301" s="82">
        <f>[8]Production!$DB$11</f>
        <v>3.0829706904831486E-2</v>
      </c>
      <c r="P301" s="48">
        <f t="shared" si="43"/>
        <v>3.3085843008362377E-2</v>
      </c>
      <c r="Q301" s="66">
        <f t="shared" si="44"/>
        <v>2062534613.9121349</v>
      </c>
    </row>
    <row r="302" spans="1:17" ht="32">
      <c r="A302" s="67" t="s">
        <v>384</v>
      </c>
      <c r="B302" s="65">
        <f>data_1tier!AG9*B296</f>
        <v>520125920.29432631</v>
      </c>
      <c r="C302" s="28" t="s">
        <v>7</v>
      </c>
      <c r="D302" s="28"/>
      <c r="E302" s="28"/>
      <c r="F302" s="28">
        <v>2019</v>
      </c>
      <c r="G302" s="26">
        <f>G303/data_1tier!I21</f>
        <v>150478878.29181495</v>
      </c>
      <c r="H302" s="26">
        <f>H303/data_1tier!N24</f>
        <v>382666945.78187144</v>
      </c>
      <c r="I302" s="26">
        <f>I303/data_1tier!T24</f>
        <v>24440996623.957958</v>
      </c>
      <c r="J302" s="26">
        <f>J303/data_1tier!AD24</f>
        <v>27042580.645161293</v>
      </c>
      <c r="K302" s="26">
        <f>K303/data_1tier!AJ29</f>
        <v>588177081.36577141</v>
      </c>
      <c r="L302" s="26">
        <f>L303/data_1tier!AK29</f>
        <v>46015872373.540848</v>
      </c>
      <c r="M302" s="28"/>
      <c r="N302" s="28" t="s">
        <v>18</v>
      </c>
      <c r="O302" s="82">
        <f>[8]Production!$DE$11</f>
        <v>8.874891307162297E-2</v>
      </c>
      <c r="P302" s="48">
        <f t="shared" si="43"/>
        <v>9.5243610784711968E-2</v>
      </c>
      <c r="Q302" s="66">
        <f t="shared" si="44"/>
        <v>5937380647.904088</v>
      </c>
    </row>
    <row r="303" spans="1:17" ht="32">
      <c r="A303" s="67" t="s">
        <v>385</v>
      </c>
      <c r="B303" s="65">
        <f>data_1tier!AG11*B297</f>
        <v>40691908482.490265</v>
      </c>
      <c r="C303" s="28" t="s">
        <v>7</v>
      </c>
      <c r="D303" s="28"/>
      <c r="E303" s="28"/>
      <c r="F303" s="28">
        <v>2020</v>
      </c>
      <c r="G303" s="26">
        <f>B298</f>
        <v>254476855.80071172</v>
      </c>
      <c r="H303" s="26">
        <f>B299</f>
        <v>520427046.26334518</v>
      </c>
      <c r="I303" s="26">
        <f>B300</f>
        <v>20322652122.246246</v>
      </c>
      <c r="J303" s="26">
        <f>B301</f>
        <v>29296129.032258067</v>
      </c>
      <c r="K303" s="26">
        <f>B302</f>
        <v>520125920.29432631</v>
      </c>
      <c r="L303" s="26">
        <f>B303</f>
        <v>40691908482.490265</v>
      </c>
      <c r="M303" s="28"/>
      <c r="N303" s="28" t="s">
        <v>19</v>
      </c>
      <c r="O303" s="82">
        <f>[8]Production!$DJ$11</f>
        <v>3.6436081512537931E-2</v>
      </c>
      <c r="P303" s="48">
        <f t="shared" si="43"/>
        <v>3.91024954108403E-2</v>
      </c>
      <c r="Q303" s="66">
        <f t="shared" si="44"/>
        <v>2437606025.4778562</v>
      </c>
    </row>
    <row r="304" spans="1:17" ht="32">
      <c r="A304" s="67" t="s">
        <v>485</v>
      </c>
      <c r="B304" s="65">
        <f>SUM(B298:B303)</f>
        <v>62338886556.127151</v>
      </c>
      <c r="C304" s="28" t="s">
        <v>7</v>
      </c>
      <c r="D304" s="28"/>
      <c r="E304" s="28"/>
      <c r="F304" s="28"/>
      <c r="G304" s="28"/>
      <c r="H304" s="28"/>
      <c r="I304" s="28"/>
      <c r="J304" s="28"/>
      <c r="K304" s="28"/>
      <c r="L304" s="28"/>
      <c r="M304" s="28"/>
      <c r="N304" s="28" t="s">
        <v>163</v>
      </c>
      <c r="O304" s="82">
        <f>[8]Production!$ED$11</f>
        <v>7.4828051190167902E-2</v>
      </c>
      <c r="P304" s="48">
        <f t="shared" si="43"/>
        <v>8.0304012034302236E-2</v>
      </c>
      <c r="Q304" s="66">
        <f t="shared" si="44"/>
        <v>5006062696.2082367</v>
      </c>
    </row>
    <row r="305" spans="1:19" ht="32">
      <c r="A305" s="67" t="s">
        <v>386</v>
      </c>
      <c r="B305" s="41">
        <f>SUM(G292:G303)</f>
        <v>888413204.27046263</v>
      </c>
      <c r="C305" s="28" t="s">
        <v>7</v>
      </c>
      <c r="D305" s="28"/>
      <c r="E305" s="28"/>
      <c r="F305" s="28"/>
      <c r="G305" s="28"/>
      <c r="H305" s="28"/>
      <c r="I305" s="28"/>
      <c r="J305" s="28"/>
      <c r="K305" s="28"/>
      <c r="L305" s="28"/>
      <c r="M305" s="28"/>
      <c r="N305" s="28" t="s">
        <v>23</v>
      </c>
      <c r="O305" s="82">
        <f>[8]Production!$FO$11</f>
        <v>4.9614684453193628E-2</v>
      </c>
      <c r="P305" s="48">
        <f t="shared" si="43"/>
        <v>5.3245516274128019E-2</v>
      </c>
      <c r="Q305" s="66">
        <f t="shared" si="44"/>
        <v>3319266198.6352887</v>
      </c>
    </row>
    <row r="306" spans="1:19" ht="32">
      <c r="A306" s="67" t="s">
        <v>387</v>
      </c>
      <c r="B306" s="41">
        <f>SUM(H292:H303)</f>
        <v>2402379307.1595974</v>
      </c>
      <c r="C306" s="28" t="s">
        <v>7</v>
      </c>
      <c r="D306" s="28"/>
      <c r="E306" s="28"/>
      <c r="F306" s="28"/>
      <c r="G306" s="28"/>
      <c r="H306" s="28"/>
      <c r="I306" s="28"/>
      <c r="J306" s="28"/>
      <c r="K306" s="28"/>
      <c r="L306" s="28"/>
      <c r="M306" s="28"/>
      <c r="N306" s="28" t="s">
        <v>47</v>
      </c>
      <c r="O306" s="82">
        <f>[8]Production!$GK$11</f>
        <v>1.0768489225880256E-2</v>
      </c>
      <c r="P306" s="48">
        <f t="shared" si="43"/>
        <v>1.1556533607813203E-2</v>
      </c>
      <c r="Q306" s="66">
        <f t="shared" si="44"/>
        <v>720421437.55953813</v>
      </c>
    </row>
    <row r="307" spans="1:19" ht="32">
      <c r="A307" s="67" t="s">
        <v>388</v>
      </c>
      <c r="B307" s="41">
        <f>SUM(I292:I303)</f>
        <v>280301859027.68616</v>
      </c>
      <c r="C307" s="28" t="s">
        <v>7</v>
      </c>
      <c r="D307" s="28"/>
      <c r="E307" s="28"/>
      <c r="F307" s="28"/>
      <c r="G307" s="28"/>
      <c r="H307" s="28"/>
      <c r="I307" s="28"/>
      <c r="J307" s="28"/>
      <c r="K307" s="28"/>
      <c r="L307" s="28"/>
      <c r="M307" s="28"/>
      <c r="N307" s="28" t="s">
        <v>161</v>
      </c>
      <c r="O307" s="82">
        <f>[8]Production!$GS$11</f>
        <v>2.7061358796942471E-2</v>
      </c>
      <c r="P307" s="48">
        <f t="shared" si="43"/>
        <v>2.9041724967170869E-2</v>
      </c>
      <c r="Q307" s="66">
        <f t="shared" si="44"/>
        <v>1810428798.1227102</v>
      </c>
    </row>
    <row r="308" spans="1:19" ht="32">
      <c r="A308" s="67" t="s">
        <v>389</v>
      </c>
      <c r="B308" s="41">
        <f>SUM(J292:J303)</f>
        <v>156813727.90322581</v>
      </c>
      <c r="C308" s="28" t="s">
        <v>7</v>
      </c>
      <c r="D308" s="28"/>
      <c r="E308" s="28"/>
      <c r="F308" s="28"/>
      <c r="G308" s="28"/>
      <c r="H308" s="28"/>
      <c r="I308" s="28"/>
      <c r="J308" s="28"/>
      <c r="K308" s="28"/>
      <c r="L308" s="28"/>
      <c r="M308" s="28"/>
      <c r="N308" s="28" t="s">
        <v>434</v>
      </c>
      <c r="O308" s="82">
        <f>[8]Production!$GY$11</f>
        <v>3.6375021533697163E-2</v>
      </c>
      <c r="P308" s="48">
        <f t="shared" si="43"/>
        <v>3.9036967026796432E-2</v>
      </c>
      <c r="Q308" s="66">
        <f t="shared" si="44"/>
        <v>2433521058.9787388</v>
      </c>
    </row>
    <row r="309" spans="1:19" ht="32">
      <c r="A309" s="67" t="s">
        <v>390</v>
      </c>
      <c r="B309" s="41">
        <f>SUM(K292:K303)</f>
        <v>6179249201.1698341</v>
      </c>
      <c r="C309" s="28" t="s">
        <v>7</v>
      </c>
      <c r="D309" s="28"/>
      <c r="E309" s="28"/>
      <c r="F309" s="28"/>
      <c r="G309" s="28"/>
      <c r="H309" s="28"/>
      <c r="I309" s="28"/>
      <c r="J309" s="28"/>
      <c r="K309" s="28"/>
      <c r="L309" s="28"/>
      <c r="M309" s="28"/>
      <c r="N309" s="28" t="s">
        <v>435</v>
      </c>
      <c r="O309" s="82">
        <f>[8]Production!$HC$11</f>
        <v>2.3044438648774819E-2</v>
      </c>
      <c r="P309" s="48">
        <f t="shared" si="43"/>
        <v>2.4730844237436305E-2</v>
      </c>
      <c r="Q309" s="66">
        <f t="shared" si="44"/>
        <v>1541693293.3547928</v>
      </c>
    </row>
    <row r="310" spans="1:19" ht="32">
      <c r="A310" s="67" t="s">
        <v>391</v>
      </c>
      <c r="B310" s="41">
        <f>SUM(L292:L303)</f>
        <v>483431863657.5874</v>
      </c>
      <c r="C310" s="28" t="s">
        <v>7</v>
      </c>
      <c r="D310" s="28"/>
      <c r="E310" s="28"/>
      <c r="F310" s="28"/>
      <c r="G310" s="28"/>
      <c r="H310" s="28"/>
      <c r="I310" s="28"/>
      <c r="J310" s="28"/>
      <c r="K310" s="28"/>
      <c r="L310" s="28"/>
      <c r="M310" s="28"/>
      <c r="N310" s="28" t="s">
        <v>147</v>
      </c>
      <c r="O310" s="82">
        <f>[8]Production!$HJ$11</f>
        <v>1.1124335824119943E-2</v>
      </c>
      <c r="P310" s="48">
        <f t="shared" si="43"/>
        <v>1.1938421269631129E-2</v>
      </c>
      <c r="Q310" s="66">
        <f t="shared" si="44"/>
        <v>744227889.18679047</v>
      </c>
    </row>
    <row r="311" spans="1:19" ht="32">
      <c r="A311" s="67" t="s">
        <v>488</v>
      </c>
      <c r="B311" s="65">
        <f>SUM(B305:B310)</f>
        <v>773360578125.77661</v>
      </c>
      <c r="C311" s="28" t="s">
        <v>7</v>
      </c>
      <c r="D311" s="28"/>
      <c r="E311" s="28"/>
      <c r="F311" s="28"/>
      <c r="G311" s="28"/>
      <c r="H311" s="28"/>
      <c r="I311" s="28"/>
      <c r="J311" s="28"/>
      <c r="K311" s="28"/>
      <c r="L311" s="28"/>
      <c r="M311" s="28"/>
      <c r="N311" s="28" t="s">
        <v>25</v>
      </c>
      <c r="O311" s="82">
        <f>[8]Production!$HR$11</f>
        <v>4.5677367239341328E-2</v>
      </c>
      <c r="P311" s="48">
        <f t="shared" si="43"/>
        <v>4.9020063868311446E-2</v>
      </c>
      <c r="Q311" s="66">
        <f t="shared" si="44"/>
        <v>3055856200.4607749</v>
      </c>
    </row>
    <row r="312" spans="1:19">
      <c r="A312" s="67"/>
      <c r="B312" s="65"/>
      <c r="C312" s="28"/>
      <c r="D312" s="28"/>
      <c r="E312" s="28"/>
      <c r="F312" s="28"/>
      <c r="G312" s="28"/>
      <c r="H312" s="28"/>
      <c r="I312" s="28"/>
      <c r="J312" s="28"/>
      <c r="K312" s="28"/>
      <c r="L312" s="28"/>
      <c r="M312" s="28"/>
      <c r="N312" s="28" t="s">
        <v>20</v>
      </c>
      <c r="O312" s="82">
        <f>[8]Production!$HT$11</f>
        <v>9.7760386590439022E-2</v>
      </c>
      <c r="P312" s="48">
        <f t="shared" si="43"/>
        <v>0.10491454924150403</v>
      </c>
      <c r="Q312" s="66">
        <f t="shared" si="44"/>
        <v>6540256183.253336</v>
      </c>
    </row>
    <row r="313" spans="1:19">
      <c r="A313" s="68"/>
      <c r="B313" s="112"/>
      <c r="C313" s="37"/>
      <c r="D313" s="37"/>
      <c r="E313" s="37"/>
      <c r="F313" s="37"/>
      <c r="G313" s="37"/>
      <c r="H313" s="37"/>
      <c r="I313" s="37"/>
      <c r="J313" s="37"/>
      <c r="K313" s="37"/>
      <c r="L313" s="37"/>
      <c r="M313" s="37"/>
      <c r="N313" s="37" t="s">
        <v>27</v>
      </c>
      <c r="O313" s="131">
        <f>SUM(O292:O312)</f>
        <v>0.93180962313819071</v>
      </c>
      <c r="P313" s="37"/>
      <c r="Q313" s="42"/>
    </row>
    <row r="314" spans="1:19">
      <c r="A314" s="32"/>
      <c r="B314" s="11"/>
    </row>
    <row r="315" spans="1:19">
      <c r="A315" s="90" t="s">
        <v>392</v>
      </c>
    </row>
    <row r="316" spans="1:19" ht="64">
      <c r="A316" s="60" t="s">
        <v>0</v>
      </c>
      <c r="B316" s="23" t="s">
        <v>1</v>
      </c>
      <c r="C316" s="23" t="s">
        <v>558</v>
      </c>
      <c r="D316" s="23" t="s">
        <v>3</v>
      </c>
      <c r="E316" s="23"/>
      <c r="F316" s="61" t="s">
        <v>8</v>
      </c>
      <c r="G316" s="61" t="s">
        <v>401</v>
      </c>
      <c r="H316" s="61" t="s">
        <v>402</v>
      </c>
      <c r="I316" s="61" t="s">
        <v>403</v>
      </c>
      <c r="J316" s="61" t="s">
        <v>404</v>
      </c>
      <c r="K316" s="61" t="s">
        <v>405</v>
      </c>
      <c r="L316" s="61" t="s">
        <v>406</v>
      </c>
      <c r="M316" s="61" t="s">
        <v>407</v>
      </c>
      <c r="N316" s="61" t="s">
        <v>408</v>
      </c>
      <c r="O316" s="23"/>
      <c r="P316" s="114" t="s">
        <v>425</v>
      </c>
      <c r="Q316" s="114" t="s">
        <v>424</v>
      </c>
      <c r="R316" s="114" t="s">
        <v>429</v>
      </c>
      <c r="S316" s="115" t="s">
        <v>430</v>
      </c>
    </row>
    <row r="317" spans="1:19" ht="16" customHeight="1">
      <c r="A317" s="67" t="s">
        <v>393</v>
      </c>
      <c r="B317" s="82">
        <f>'[1]Weight%'!$B$91</f>
        <v>2.6426426426426428E-2</v>
      </c>
      <c r="C317" s="28" t="s">
        <v>33</v>
      </c>
      <c r="D317" s="171" t="s">
        <v>208</v>
      </c>
      <c r="E317" s="28"/>
      <c r="F317" s="28">
        <v>2009</v>
      </c>
      <c r="G317" s="26"/>
      <c r="H317" s="26"/>
      <c r="I317" s="26">
        <f>I318/data_1tier!N14</f>
        <v>9026598.184220491</v>
      </c>
      <c r="J317" s="26">
        <f>J318/data_1tier!T14</f>
        <v>2677202214.9459453</v>
      </c>
      <c r="K317" s="26"/>
      <c r="L317" s="26"/>
      <c r="M317" s="26">
        <f>M318/data_1tier!AJ19</f>
        <v>27271042.551333837</v>
      </c>
      <c r="N317" s="26">
        <f>N318/data_1tier!AK19</f>
        <v>1224781459.1439683</v>
      </c>
      <c r="O317" s="28"/>
      <c r="P317" s="28" t="s">
        <v>461</v>
      </c>
      <c r="Q317" s="82">
        <f>[9]Production!$M$3</f>
        <v>1.638295377365042E-2</v>
      </c>
      <c r="R317" s="48">
        <f>Q317/$Q$341</f>
        <v>1.7612899583892894E-2</v>
      </c>
      <c r="S317" s="66">
        <f>R317*$B$333</f>
        <v>92998993.251401857</v>
      </c>
    </row>
    <row r="318" spans="1:19">
      <c r="A318" s="67" t="s">
        <v>394</v>
      </c>
      <c r="B318" s="82">
        <f>'[1]Weight%'!$B$89</f>
        <v>1.7424018625305512E-2</v>
      </c>
      <c r="C318" s="28" t="s">
        <v>33</v>
      </c>
      <c r="D318" s="171"/>
      <c r="E318" s="28"/>
      <c r="F318" s="28">
        <v>2010</v>
      </c>
      <c r="G318" s="26"/>
      <c r="H318" s="26"/>
      <c r="I318" s="26">
        <f>I319/data_1tier!N15</f>
        <v>8527147.0043342281</v>
      </c>
      <c r="J318" s="26">
        <f>J319/data_1tier!T15</f>
        <v>3263772724.5675664</v>
      </c>
      <c r="K318" s="26"/>
      <c r="L318" s="26">
        <f>L319/data_1tier!AD15</f>
        <v>339490.05310801713</v>
      </c>
      <c r="M318" s="26">
        <f>M319/data_1tier!AJ20</f>
        <v>37708510.437521473</v>
      </c>
      <c r="N318" s="26">
        <f>N319/data_1tier!AK20</f>
        <v>1693543044.7470808</v>
      </c>
      <c r="O318" s="28"/>
      <c r="P318" s="28" t="s">
        <v>141</v>
      </c>
      <c r="Q318" s="82">
        <f>[9]Production!$S$3</f>
        <v>1.7865372255621459E-2</v>
      </c>
      <c r="R318" s="48">
        <f t="shared" ref="R318:R340" si="45">Q318/$Q$341</f>
        <v>1.9206610231252252E-2</v>
      </c>
      <c r="S318" s="66">
        <f t="shared" ref="S318:S340" si="46">R318*$B$333</f>
        <v>101414046.37950817</v>
      </c>
    </row>
    <row r="319" spans="1:19">
      <c r="A319" s="67" t="s">
        <v>395</v>
      </c>
      <c r="B319" s="82">
        <f>'[1]Weight%'!$B$90</f>
        <v>1.9435713058272467E-2</v>
      </c>
      <c r="C319" s="28" t="s">
        <v>33</v>
      </c>
      <c r="D319" s="171"/>
      <c r="E319" s="28"/>
      <c r="F319" s="28">
        <v>2011</v>
      </c>
      <c r="G319" s="26">
        <f>G320/data_1tier!D13</f>
        <v>1910361.0810810816</v>
      </c>
      <c r="H319" s="26"/>
      <c r="I319" s="26">
        <f>I320/data_1tier!N16</f>
        <v>8359129.152088074</v>
      </c>
      <c r="J319" s="26">
        <f>J320/data_1tier!T16</f>
        <v>3356675555.8243232</v>
      </c>
      <c r="K319" s="26"/>
      <c r="L319" s="26">
        <f>L320/data_1tier!AD16</f>
        <v>294778.03507249756</v>
      </c>
      <c r="M319" s="26">
        <f>M320/data_1tier!AJ21</f>
        <v>38955365.363684379</v>
      </c>
      <c r="N319" s="26">
        <f>N320/data_1tier!AK21</f>
        <v>1749541079.7665365</v>
      </c>
      <c r="O319" s="28"/>
      <c r="P319" s="28" t="s">
        <v>88</v>
      </c>
      <c r="Q319" s="82">
        <f>[9]Production!$AM$3</f>
        <v>2.0097674304905385E-2</v>
      </c>
      <c r="R319" s="48">
        <f t="shared" si="45"/>
        <v>2.1606501751314542E-2</v>
      </c>
      <c r="S319" s="66">
        <f t="shared" si="46"/>
        <v>114085866.49721757</v>
      </c>
    </row>
    <row r="320" spans="1:19" ht="27" customHeight="1">
      <c r="A320" s="67" t="s">
        <v>396</v>
      </c>
      <c r="B320" s="82">
        <f>'[1]Weight%'!$B$88</f>
        <v>2.9729729729729731E-2</v>
      </c>
      <c r="C320" s="28" t="s">
        <v>33</v>
      </c>
      <c r="D320" s="171"/>
      <c r="E320" s="28"/>
      <c r="F320" s="28">
        <v>2012</v>
      </c>
      <c r="G320" s="26">
        <f>G321/data_1tier!D14</f>
        <v>2814144.8648648658</v>
      </c>
      <c r="H320" s="26">
        <f>H321/data_1tier!I14</f>
        <v>1692945.528064484</v>
      </c>
      <c r="I320" s="26">
        <f>I321/data_1tier!N17</f>
        <v>13506856.564131673</v>
      </c>
      <c r="J320" s="26">
        <f>J321/data_1tier!T17</f>
        <v>3535094682.8108096</v>
      </c>
      <c r="K320" s="26"/>
      <c r="L320" s="26">
        <f>L321/data_1tier!AD17</f>
        <v>547789.15509385103</v>
      </c>
      <c r="M320" s="26">
        <f>M321/data_1tier!AJ22</f>
        <v>41239043.138995171</v>
      </c>
      <c r="N320" s="26">
        <f>N321/data_1tier!AK22</f>
        <v>1852104309.3385208</v>
      </c>
      <c r="O320" s="28"/>
      <c r="P320" s="28" t="s">
        <v>17</v>
      </c>
      <c r="Q320" s="82">
        <f>[9]Production!$AT$3</f>
        <v>0.11655956116807722</v>
      </c>
      <c r="R320" s="48">
        <f t="shared" si="45"/>
        <v>0.12531023860287258</v>
      </c>
      <c r="S320" s="66">
        <f t="shared" si="46"/>
        <v>661658574.65158701</v>
      </c>
    </row>
    <row r="321" spans="1:19">
      <c r="A321" s="67" t="s">
        <v>397</v>
      </c>
      <c r="B321" s="82">
        <f>'[1]Weight%'!$B$94</f>
        <v>4.0253017675202169E-3</v>
      </c>
      <c r="C321" s="28" t="s">
        <v>33</v>
      </c>
      <c r="D321" s="171"/>
      <c r="E321" s="28"/>
      <c r="F321" s="28">
        <v>2013</v>
      </c>
      <c r="G321" s="26">
        <f>G322/data_1tier!D15</f>
        <v>5392497.2972972989</v>
      </c>
      <c r="H321" s="26">
        <f>H322/data_1tier!I15</f>
        <v>2555030.212785</v>
      </c>
      <c r="I321" s="26">
        <f>I322/data_1tier!N18</f>
        <v>15409690.615388781</v>
      </c>
      <c r="J321" s="26">
        <f>J322/data_1tier!T18</f>
        <v>3684407922.1756744</v>
      </c>
      <c r="K321" s="26"/>
      <c r="L321" s="26">
        <f>L322/data_1tier!AD18</f>
        <v>780720.02749446221</v>
      </c>
      <c r="M321" s="26">
        <f>M322/data_1tier!AJ23</f>
        <v>42594723.157334343</v>
      </c>
      <c r="N321" s="26">
        <f>N322/data_1tier!AK23</f>
        <v>1912989834.6303494</v>
      </c>
      <c r="O321" s="28"/>
      <c r="P321" s="28" t="s">
        <v>22</v>
      </c>
      <c r="Q321" s="82">
        <f>[9]Production!$BG$3</f>
        <v>7.6239065881085977E-2</v>
      </c>
      <c r="R321" s="48">
        <f t="shared" si="45"/>
        <v>8.1962693070223067E-2</v>
      </c>
      <c r="S321" s="66">
        <f t="shared" si="46"/>
        <v>432776437.71245778</v>
      </c>
    </row>
    <row r="322" spans="1:19">
      <c r="A322" s="67" t="s">
        <v>398</v>
      </c>
      <c r="B322" s="82">
        <f>'[1]Weight%'!$B$93</f>
        <v>6.374681784362647E-3</v>
      </c>
      <c r="C322" s="28" t="s">
        <v>33</v>
      </c>
      <c r="D322" s="171"/>
      <c r="E322" s="28"/>
      <c r="F322" s="28">
        <v>2014</v>
      </c>
      <c r="G322" s="26">
        <f>G323/data_1tier!D16</f>
        <v>9212743.783783786</v>
      </c>
      <c r="H322" s="26">
        <f>H323/data_1tier!I16</f>
        <v>3745885.2201426807</v>
      </c>
      <c r="I322" s="26">
        <f>I323/data_1tier!N19</f>
        <v>13801626.362658657</v>
      </c>
      <c r="J322" s="26">
        <f>J323/data_1tier!T19</f>
        <v>3798541880.3378367</v>
      </c>
      <c r="K322" s="26"/>
      <c r="L322" s="26">
        <f>L323/data_1tier!AD19</f>
        <v>1543680.1915376901</v>
      </c>
      <c r="M322" s="26">
        <f>M323/data_1tier!AJ24</f>
        <v>42875109.664215967</v>
      </c>
      <c r="N322" s="26">
        <f>N323/data_1tier!AK24</f>
        <v>1925582392.9961081</v>
      </c>
      <c r="O322" s="28"/>
      <c r="P322" s="28" t="s">
        <v>431</v>
      </c>
      <c r="Q322" s="82">
        <f>[9]Production!$BI$3</f>
        <v>1.3768364572516069E-2</v>
      </c>
      <c r="R322" s="48">
        <f t="shared" si="45"/>
        <v>1.4802020807760623E-2</v>
      </c>
      <c r="S322" s="66">
        <f t="shared" si="46"/>
        <v>78157093.137970567</v>
      </c>
    </row>
    <row r="323" spans="1:19" ht="26.25" customHeight="1">
      <c r="A323" s="67" t="s">
        <v>399</v>
      </c>
      <c r="B323" s="82">
        <f>'[1]Weight%'!$B$92</f>
        <v>5.5053414965773578E-3</v>
      </c>
      <c r="C323" s="28" t="s">
        <v>33</v>
      </c>
      <c r="D323" s="171"/>
      <c r="E323" s="28"/>
      <c r="F323" s="28">
        <v>2015</v>
      </c>
      <c r="G323" s="26">
        <f>G324/data_1tier!D17</f>
        <v>15637029.189189192</v>
      </c>
      <c r="H323" s="26">
        <f>H324/data_1tier!I17</f>
        <v>6224082.4803975336</v>
      </c>
      <c r="I323" s="26">
        <f>I324/data_1tier!N20</f>
        <v>14334724.6489914</v>
      </c>
      <c r="J323" s="26">
        <f>J324/data_1tier!T20</f>
        <v>3840991525.0270262</v>
      </c>
      <c r="K323" s="26">
        <f>K324/data_1tier!Y15</f>
        <v>3622771.5907681957</v>
      </c>
      <c r="L323" s="26">
        <f>L324/data_1tier!AD20</f>
        <v>2057199.0573588077</v>
      </c>
      <c r="M323" s="26">
        <f>M324/data_1tier!AJ25</f>
        <v>43355894.500297338</v>
      </c>
      <c r="N323" s="26">
        <f>N324/data_1tier!AK25</f>
        <v>1947175126.4591429</v>
      </c>
      <c r="O323" s="28"/>
      <c r="P323" s="28" t="s">
        <v>26</v>
      </c>
      <c r="Q323" s="82">
        <f>[9]Production!$BW$3</f>
        <v>2.8744733370559255E-2</v>
      </c>
      <c r="R323" s="48">
        <f t="shared" si="45"/>
        <v>3.0902736430576359E-2</v>
      </c>
      <c r="S323" s="66">
        <f t="shared" si="46"/>
        <v>163171507.51175815</v>
      </c>
    </row>
    <row r="324" spans="1:19" ht="33" customHeight="1">
      <c r="A324" s="67" t="s">
        <v>400</v>
      </c>
      <c r="B324" s="82">
        <f>'[1]Weight%'!$B$95</f>
        <v>1.125E-2</v>
      </c>
      <c r="C324" s="28" t="s">
        <v>33</v>
      </c>
      <c r="D324" s="171"/>
      <c r="E324" s="28"/>
      <c r="F324" s="28">
        <v>2016</v>
      </c>
      <c r="G324" s="26">
        <f>G325/data_1tier!D18</f>
        <v>22150789.189189192</v>
      </c>
      <c r="H324" s="26">
        <f>H325/data_1tier!I18</f>
        <v>8029127.1746897828</v>
      </c>
      <c r="I324" s="26">
        <f>I325/data_1tier!N21</f>
        <v>22566070.453450453</v>
      </c>
      <c r="J324" s="26">
        <f>J325/data_1tier!T21</f>
        <v>4040827553.3108101</v>
      </c>
      <c r="K324" s="26">
        <f>K325/data_1tier!Y16</f>
        <v>5434157.3861522935</v>
      </c>
      <c r="L324" s="26">
        <f>L325/data_1tier!AD21</f>
        <v>3034348.5293566203</v>
      </c>
      <c r="M324" s="26">
        <f>M325/data_1tier!AJ26</f>
        <v>44584123.270981707</v>
      </c>
      <c r="N324" s="26">
        <f>N325/data_1tier!AK26</f>
        <v>2002336634.2412443</v>
      </c>
      <c r="O324" s="28"/>
      <c r="P324" s="28" t="s">
        <v>28</v>
      </c>
      <c r="Q324" s="82">
        <f>[9]Production!$CE$3</f>
        <v>0.18768918857690053</v>
      </c>
      <c r="R324" s="48">
        <f t="shared" si="45"/>
        <v>0.20177990349359967</v>
      </c>
      <c r="S324" s="66">
        <f t="shared" si="46"/>
        <v>1065430924.299983</v>
      </c>
    </row>
    <row r="325" spans="1:19" ht="32">
      <c r="A325" s="67" t="s">
        <v>401</v>
      </c>
      <c r="B325" s="65">
        <f>data_1tier!B7*B317</f>
        <v>95864488.648648649</v>
      </c>
      <c r="C325" s="28" t="s">
        <v>7</v>
      </c>
      <c r="D325" s="28"/>
      <c r="E325" s="28"/>
      <c r="F325" s="28">
        <v>2017</v>
      </c>
      <c r="G325" s="26">
        <f>G326/data_1tier!D19</f>
        <v>36126283.243243247</v>
      </c>
      <c r="H325" s="26">
        <f>H326/data_1tier!I19</f>
        <v>11629124.571686506</v>
      </c>
      <c r="I325" s="26">
        <f>I326/data_1tier!N22</f>
        <v>33172123.566572167</v>
      </c>
      <c r="J325" s="26">
        <f>J326/data_1tier!T22</f>
        <v>4116543703.4729724</v>
      </c>
      <c r="K325" s="26">
        <f>K326/data_1tier!Y17</f>
        <v>7245543.1815363914</v>
      </c>
      <c r="L325" s="26">
        <f>L326/data_1tier!AD22</f>
        <v>3391330.7092809286</v>
      </c>
      <c r="M325" s="26">
        <f>M326/data_1tier!AJ27</f>
        <v>46484496.014591999</v>
      </c>
      <c r="N325" s="26">
        <f>N326/data_1tier!AK27</f>
        <v>2087685087.5486374</v>
      </c>
      <c r="O325" s="28"/>
      <c r="P325" s="28" t="s">
        <v>21</v>
      </c>
      <c r="Q325" s="82">
        <f>[9]Production!$CU$3</f>
        <v>1.8550501424282134E-2</v>
      </c>
      <c r="R325" s="48">
        <f t="shared" si="45"/>
        <v>1.9943175286390519E-2</v>
      </c>
      <c r="S325" s="66">
        <f t="shared" si="46"/>
        <v>105303230.45540363</v>
      </c>
    </row>
    <row r="326" spans="1:19" ht="32">
      <c r="A326" s="67" t="s">
        <v>402</v>
      </c>
      <c r="B326" s="65">
        <f>data_1tier!G7*B318</f>
        <v>27263821.937107243</v>
      </c>
      <c r="C326" s="28" t="s">
        <v>7</v>
      </c>
      <c r="D326" s="28"/>
      <c r="E326" s="28"/>
      <c r="F326" s="28">
        <v>2018</v>
      </c>
      <c r="G326" s="26">
        <f>G327/data_1tier!D20</f>
        <v>65258231.351351358</v>
      </c>
      <c r="H326" s="26">
        <f>H327/data_1tier!I20</f>
        <v>17919864.377737008</v>
      </c>
      <c r="I326" s="26">
        <f>I327/data_1tier!N23</f>
        <v>40469990.751218043</v>
      </c>
      <c r="J326" s="26">
        <f>J327/data_1tier!T23</f>
        <v>3950767770.7567563</v>
      </c>
      <c r="K326" s="26">
        <f>K327/data_1tier!Y18</f>
        <v>10868314.772304587</v>
      </c>
      <c r="L326" s="26">
        <f>L327/data_1tier!AD23</f>
        <v>3926803.9791673911</v>
      </c>
      <c r="M326" s="26">
        <f>M327/data_1tier!AJ28</f>
        <v>49000945.176562697</v>
      </c>
      <c r="N326" s="26">
        <f>N327/data_1tier!AK28</f>
        <v>2200702412.4513612</v>
      </c>
      <c r="O326" s="28"/>
      <c r="P326" s="28" t="s">
        <v>142</v>
      </c>
      <c r="Q326" s="82">
        <f>[9]Production!$DB$3</f>
        <v>5.6429751425484974E-2</v>
      </c>
      <c r="R326" s="48">
        <f t="shared" si="45"/>
        <v>6.066619970567412E-2</v>
      </c>
      <c r="S326" s="66">
        <f t="shared" si="46"/>
        <v>320327466.24955118</v>
      </c>
    </row>
    <row r="327" spans="1:19" ht="32">
      <c r="A327" s="67" t="s">
        <v>403</v>
      </c>
      <c r="B327" s="65">
        <f>data_1tier!L7*B319</f>
        <v>62194281.786471896</v>
      </c>
      <c r="C327" s="28" t="s">
        <v>7</v>
      </c>
      <c r="D327" s="28"/>
      <c r="E327" s="28"/>
      <c r="F327" s="28">
        <v>2019</v>
      </c>
      <c r="G327" s="26">
        <f>G328/data_1tier!D21</f>
        <v>73494603.243243247</v>
      </c>
      <c r="H327" s="26">
        <f>H328/data_1tier!I21</f>
        <v>16121817.169324681</v>
      </c>
      <c r="I327" s="26">
        <f>I328/data_1tier!N24</f>
        <v>45731089.54887639</v>
      </c>
      <c r="J327" s="26">
        <f>J328/data_1tier!T24</f>
        <v>3763077240.7027025</v>
      </c>
      <c r="K327" s="26">
        <f>K328/data_1tier!Y19</f>
        <v>7245543.1815363904</v>
      </c>
      <c r="L327" s="26">
        <f>L328/data_1tier!AD24</f>
        <v>4283786.1590916989</v>
      </c>
      <c r="M327" s="26">
        <f>M328/data_1tier!AJ29</f>
        <v>48027731.964193448</v>
      </c>
      <c r="N327" s="26">
        <f>N328/data_1tier!AK29</f>
        <v>2156994017.509727</v>
      </c>
      <c r="O327" s="28"/>
      <c r="P327" s="28" t="s">
        <v>18</v>
      </c>
      <c r="Q327" s="82">
        <f>[9]Production!$DE$3</f>
        <v>2.9591622859729192E-2</v>
      </c>
      <c r="R327" s="48">
        <f t="shared" si="45"/>
        <v>3.1813205918404308E-2</v>
      </c>
      <c r="S327" s="66">
        <f t="shared" si="46"/>
        <v>167978935.46255124</v>
      </c>
    </row>
    <row r="328" spans="1:19" ht="32">
      <c r="A328" s="67" t="s">
        <v>404</v>
      </c>
      <c r="B328" s="65">
        <f>data_1tier!R7*B320</f>
        <v>3128993095.0270271</v>
      </c>
      <c r="C328" s="28" t="s">
        <v>7</v>
      </c>
      <c r="D328" s="28"/>
      <c r="E328" s="28"/>
      <c r="F328" s="28">
        <v>2020</v>
      </c>
      <c r="G328" s="26">
        <f>B325</f>
        <v>95864488.648648649</v>
      </c>
      <c r="H328" s="26">
        <f>B326</f>
        <v>27263821.937107243</v>
      </c>
      <c r="I328" s="26">
        <f>B327</f>
        <v>62194281.786471896</v>
      </c>
      <c r="J328" s="26">
        <f>B328</f>
        <v>3128993095.0270271</v>
      </c>
      <c r="K328" s="26">
        <f>B329</f>
        <v>11303047.36319677</v>
      </c>
      <c r="L328" s="26">
        <f>B330</f>
        <v>4640768.3390160073</v>
      </c>
      <c r="M328" s="26">
        <f>B331</f>
        <v>42470999.0901374</v>
      </c>
      <c r="N328" s="26">
        <f>B332</f>
        <v>1907433210.1167312</v>
      </c>
      <c r="O328" s="28"/>
      <c r="P328" s="28" t="s">
        <v>19</v>
      </c>
      <c r="Q328" s="82">
        <f>[9]Production!$DJ$3</f>
        <v>2.3460146951252477E-2</v>
      </c>
      <c r="R328" s="48">
        <f t="shared" si="45"/>
        <v>2.5221411119425517E-2</v>
      </c>
      <c r="S328" s="66">
        <f t="shared" si="46"/>
        <v>133173179.76600058</v>
      </c>
    </row>
    <row r="329" spans="1:19" ht="32">
      <c r="A329" s="67" t="s">
        <v>405</v>
      </c>
      <c r="B329" s="65">
        <f>data_1tier!W7*B321</f>
        <v>11303047.36319677</v>
      </c>
      <c r="C329" s="28" t="s">
        <v>7</v>
      </c>
      <c r="D329" s="28"/>
      <c r="E329" s="28"/>
      <c r="F329" s="28"/>
      <c r="G329" s="28"/>
      <c r="H329" s="28"/>
      <c r="I329" s="28"/>
      <c r="J329" s="28"/>
      <c r="K329" s="28"/>
      <c r="L329" s="28"/>
      <c r="M329" s="28"/>
      <c r="N329" s="28"/>
      <c r="O329" s="28"/>
      <c r="P329" s="28" t="s">
        <v>163</v>
      </c>
      <c r="Q329" s="82">
        <f>[9]Production!$ED$3</f>
        <v>3.870169414780656E-2</v>
      </c>
      <c r="R329" s="48">
        <f t="shared" si="45"/>
        <v>4.1607213337083622E-2</v>
      </c>
      <c r="S329" s="66">
        <f t="shared" si="46"/>
        <v>219692898.03274038</v>
      </c>
    </row>
    <row r="330" spans="1:19" ht="32">
      <c r="A330" s="67" t="s">
        <v>406</v>
      </c>
      <c r="B330" s="65">
        <f>data_1tier!AB7*B322</f>
        <v>4640768.3390160073</v>
      </c>
      <c r="C330" s="28" t="s">
        <v>7</v>
      </c>
      <c r="D330" s="28"/>
      <c r="E330" s="28"/>
      <c r="F330" s="28"/>
      <c r="G330" s="28"/>
      <c r="H330" s="28"/>
      <c r="I330" s="28"/>
      <c r="J330" s="28"/>
      <c r="K330" s="28"/>
      <c r="L330" s="28"/>
      <c r="M330" s="28"/>
      <c r="N330" s="28"/>
      <c r="O330" s="28"/>
      <c r="P330" s="28" t="s">
        <v>86</v>
      </c>
      <c r="Q330" s="82">
        <f>[9]Production!$EO$3</f>
        <v>1.1583698229791935E-2</v>
      </c>
      <c r="R330" s="48">
        <f t="shared" si="45"/>
        <v>1.2453341232005644E-2</v>
      </c>
      <c r="S330" s="66">
        <f t="shared" si="46"/>
        <v>65755680.470229387</v>
      </c>
    </row>
    <row r="331" spans="1:19" ht="32">
      <c r="A331" s="67" t="s">
        <v>407</v>
      </c>
      <c r="B331" s="65">
        <f>data_1tier!AG9*B323</f>
        <v>42470999.0901374</v>
      </c>
      <c r="C331" s="28" t="s">
        <v>7</v>
      </c>
      <c r="D331" s="28"/>
      <c r="E331" s="28"/>
      <c r="F331" s="28"/>
      <c r="G331" s="28"/>
      <c r="H331" s="28"/>
      <c r="I331" s="28"/>
      <c r="J331" s="28"/>
      <c r="K331" s="28"/>
      <c r="L331" s="28"/>
      <c r="M331" s="28"/>
      <c r="N331" s="28"/>
      <c r="O331" s="28"/>
      <c r="P331" s="28" t="s">
        <v>23</v>
      </c>
      <c r="Q331" s="82">
        <f>[9]Production!$FO$3</f>
        <v>0.11447473871011872</v>
      </c>
      <c r="R331" s="48">
        <f t="shared" si="45"/>
        <v>0.12306889866444667</v>
      </c>
      <c r="S331" s="66">
        <f t="shared" si="46"/>
        <v>649823932.84176314</v>
      </c>
    </row>
    <row r="332" spans="1:19" ht="32">
      <c r="A332" s="67" t="s">
        <v>408</v>
      </c>
      <c r="B332" s="65">
        <f>data_1tier!AG11*B324</f>
        <v>1907433210.1167312</v>
      </c>
      <c r="C332" s="28" t="s">
        <v>7</v>
      </c>
      <c r="D332" s="28"/>
      <c r="E332" s="28"/>
      <c r="F332" s="28"/>
      <c r="G332" s="28"/>
      <c r="H332" s="28"/>
      <c r="I332" s="28"/>
      <c r="J332" s="28"/>
      <c r="K332" s="28"/>
      <c r="L332" s="28"/>
      <c r="M332" s="28"/>
      <c r="N332" s="28"/>
      <c r="O332" s="28"/>
      <c r="P332" s="28" t="s">
        <v>143</v>
      </c>
      <c r="Q332" s="82">
        <f>[9]Production!$FP$3</f>
        <v>1.8428563499133965E-2</v>
      </c>
      <c r="R332" s="48">
        <f t="shared" si="45"/>
        <v>1.9812082904590776E-2</v>
      </c>
      <c r="S332" s="66">
        <f t="shared" si="46"/>
        <v>104611041.21806456</v>
      </c>
    </row>
    <row r="333" spans="1:19" ht="48">
      <c r="A333" s="67" t="s">
        <v>486</v>
      </c>
      <c r="B333" s="65">
        <f>SUM(B325:B332)</f>
        <v>5280163712.3083363</v>
      </c>
      <c r="C333" s="28" t="s">
        <v>7</v>
      </c>
      <c r="D333" s="28"/>
      <c r="E333" s="28"/>
      <c r="F333" s="28"/>
      <c r="G333" s="28"/>
      <c r="H333" s="28"/>
      <c r="I333" s="28"/>
      <c r="J333" s="28"/>
      <c r="K333" s="28"/>
      <c r="L333" s="28"/>
      <c r="M333" s="28"/>
      <c r="N333" s="28"/>
      <c r="O333" s="28"/>
      <c r="P333" s="28" t="s">
        <v>432</v>
      </c>
      <c r="Q333" s="82">
        <f>[9]Production!$FT$3</f>
        <v>1.2923004588481536E-2</v>
      </c>
      <c r="R333" s="48">
        <f t="shared" si="45"/>
        <v>1.3893195652251202E-2</v>
      </c>
      <c r="S333" s="66">
        <f t="shared" si="46"/>
        <v>73358347.531016737</v>
      </c>
    </row>
    <row r="334" spans="1:19" ht="32">
      <c r="A334" s="67" t="s">
        <v>409</v>
      </c>
      <c r="B334" s="41">
        <f>SUM(G317:G328)</f>
        <v>327861171.89189196</v>
      </c>
      <c r="C334" s="28" t="s">
        <v>7</v>
      </c>
      <c r="D334" s="28"/>
      <c r="E334" s="28"/>
      <c r="F334" s="28"/>
      <c r="G334" s="28"/>
      <c r="H334" s="28"/>
      <c r="I334" s="28"/>
      <c r="J334" s="28"/>
      <c r="K334" s="28"/>
      <c r="L334" s="28"/>
      <c r="M334" s="28"/>
      <c r="N334" s="28"/>
      <c r="O334" s="28"/>
      <c r="P334" s="28" t="s">
        <v>47</v>
      </c>
      <c r="Q334" s="82">
        <f>[9]Production!$GK$3</f>
        <v>1.910924854622988E-2</v>
      </c>
      <c r="R334" s="48">
        <f t="shared" si="45"/>
        <v>2.0543870196943391E-2</v>
      </c>
      <c r="S334" s="66">
        <f t="shared" si="46"/>
        <v>108474997.92427321</v>
      </c>
    </row>
    <row r="335" spans="1:19" ht="32">
      <c r="A335" s="67" t="s">
        <v>410</v>
      </c>
      <c r="B335" s="41">
        <f>SUM(H317:H328)</f>
        <v>95181698.671934903</v>
      </c>
      <c r="C335" s="28" t="s">
        <v>7</v>
      </c>
      <c r="D335" s="28"/>
      <c r="E335" s="28"/>
      <c r="F335" s="28"/>
      <c r="G335" s="28"/>
      <c r="H335" s="28"/>
      <c r="I335" s="28"/>
      <c r="J335" s="28"/>
      <c r="K335" s="28"/>
      <c r="L335" s="28"/>
      <c r="M335" s="28"/>
      <c r="N335" s="28"/>
      <c r="O335" s="28"/>
      <c r="P335" s="28" t="s">
        <v>161</v>
      </c>
      <c r="Q335" s="82">
        <f>[9]Production!$GS$3</f>
        <v>2.8459774798409127E-2</v>
      </c>
      <c r="R335" s="48">
        <f t="shared" si="45"/>
        <v>3.0596384670924695E-2</v>
      </c>
      <c r="S335" s="66">
        <f t="shared" si="46"/>
        <v>161553920.06724361</v>
      </c>
    </row>
    <row r="336" spans="1:19" ht="32">
      <c r="A336" s="67" t="s">
        <v>411</v>
      </c>
      <c r="B336" s="41">
        <f>SUM(I317:I328)</f>
        <v>287099328.63840228</v>
      </c>
      <c r="C336" s="28" t="s">
        <v>7</v>
      </c>
      <c r="D336" s="28"/>
      <c r="E336" s="28"/>
      <c r="F336" s="28"/>
      <c r="G336" s="28"/>
      <c r="H336" s="28"/>
      <c r="I336" s="28"/>
      <c r="J336" s="28"/>
      <c r="K336" s="28"/>
      <c r="L336" s="28"/>
      <c r="M336" s="28"/>
      <c r="N336" s="28"/>
      <c r="O336" s="28"/>
      <c r="P336" s="28" t="s">
        <v>434</v>
      </c>
      <c r="Q336" s="82">
        <f>[9]Production!$GY$3</f>
        <v>1.2402511138679084E-2</v>
      </c>
      <c r="R336" s="48">
        <f t="shared" si="45"/>
        <v>1.3333626297902596E-2</v>
      </c>
      <c r="S336" s="66">
        <f t="shared" si="46"/>
        <v>70403729.731665432</v>
      </c>
    </row>
    <row r="337" spans="1:19" ht="32">
      <c r="A337" s="67" t="s">
        <v>412</v>
      </c>
      <c r="B337" s="41">
        <f>SUM(J317:J328)</f>
        <v>43156895868.959457</v>
      </c>
      <c r="C337" s="28" t="s">
        <v>7</v>
      </c>
      <c r="D337" s="28"/>
      <c r="E337" s="28"/>
      <c r="F337" s="28"/>
      <c r="G337" s="28"/>
      <c r="H337" s="28"/>
      <c r="I337" s="28"/>
      <c r="J337" s="28"/>
      <c r="K337" s="28"/>
      <c r="L337" s="28"/>
      <c r="M337" s="28"/>
      <c r="N337" s="28"/>
      <c r="O337" s="28"/>
      <c r="P337" s="28" t="s">
        <v>435</v>
      </c>
      <c r="Q337" s="82">
        <f>[9]Production!$HC$3</f>
        <v>1.4172842027309999E-2</v>
      </c>
      <c r="R337" s="48">
        <f t="shared" si="45"/>
        <v>1.5236864297747881E-2</v>
      </c>
      <c r="S337" s="66">
        <f t="shared" si="46"/>
        <v>80453137.95433481</v>
      </c>
    </row>
    <row r="338" spans="1:19" ht="32">
      <c r="A338" s="67" t="s">
        <v>413</v>
      </c>
      <c r="B338" s="41">
        <f>SUM(K317:K328)</f>
        <v>45719377.475494623</v>
      </c>
      <c r="C338" s="28" t="s">
        <v>7</v>
      </c>
      <c r="D338" s="28"/>
      <c r="E338" s="28"/>
      <c r="F338" s="28"/>
      <c r="G338" s="28"/>
      <c r="H338" s="28"/>
      <c r="I338" s="28"/>
      <c r="J338" s="28"/>
      <c r="K338" s="28"/>
      <c r="L338" s="28"/>
      <c r="M338" s="28"/>
      <c r="N338" s="28"/>
      <c r="O338" s="28"/>
      <c r="P338" s="28" t="s">
        <v>147</v>
      </c>
      <c r="Q338" s="82">
        <f>[9]Production!$HJ$3</f>
        <v>2.11819900527867E-2</v>
      </c>
      <c r="R338" s="48">
        <f t="shared" si="45"/>
        <v>2.2772222209818404E-2</v>
      </c>
      <c r="S338" s="66">
        <f t="shared" si="46"/>
        <v>120241061.36090508</v>
      </c>
    </row>
    <row r="339" spans="1:19" ht="32">
      <c r="A339" s="67" t="s">
        <v>414</v>
      </c>
      <c r="B339" s="41">
        <f>SUM(L317:L328)</f>
        <v>24840694.235577971</v>
      </c>
      <c r="C339" s="28" t="s">
        <v>7</v>
      </c>
      <c r="D339" s="28"/>
      <c r="E339" s="28"/>
      <c r="F339" s="28"/>
      <c r="G339" s="28"/>
      <c r="H339" s="28"/>
      <c r="I339" s="28"/>
      <c r="J339" s="28"/>
      <c r="K339" s="28"/>
      <c r="L339" s="28"/>
      <c r="M339" s="28"/>
      <c r="N339" s="28"/>
      <c r="O339" s="28"/>
      <c r="P339" s="28" t="s">
        <v>25</v>
      </c>
      <c r="Q339" s="82">
        <f>[9]Production!$HR$3</f>
        <v>2.0536499667565267E-2</v>
      </c>
      <c r="R339" s="48">
        <f t="shared" si="45"/>
        <v>2.2078271809033E-2</v>
      </c>
      <c r="S339" s="66">
        <f t="shared" si="46"/>
        <v>116576889.63653618</v>
      </c>
    </row>
    <row r="340" spans="1:19" ht="32">
      <c r="A340" s="67" t="s">
        <v>415</v>
      </c>
      <c r="B340" s="41">
        <f>SUM(M317:M328)</f>
        <v>504567984.32984978</v>
      </c>
      <c r="C340" s="28" t="s">
        <v>7</v>
      </c>
      <c r="D340" s="28"/>
      <c r="E340" s="28"/>
      <c r="F340" s="28"/>
      <c r="G340" s="28"/>
      <c r="H340" s="28"/>
      <c r="I340" s="28"/>
      <c r="J340" s="28"/>
      <c r="K340" s="28"/>
      <c r="L340" s="28"/>
      <c r="M340" s="28"/>
      <c r="N340" s="28"/>
      <c r="O340" s="28"/>
      <c r="P340" s="28" t="s">
        <v>20</v>
      </c>
      <c r="Q340" s="82">
        <f>[9]Production!$HT$3</f>
        <v>1.2814395462747616E-2</v>
      </c>
      <c r="R340" s="48">
        <f t="shared" si="45"/>
        <v>1.3776432725865935E-2</v>
      </c>
      <c r="S340" s="66">
        <f t="shared" si="46"/>
        <v>72741820.164174333</v>
      </c>
    </row>
    <row r="341" spans="1:19" ht="32">
      <c r="A341" s="67" t="s">
        <v>416</v>
      </c>
      <c r="B341" s="41">
        <f>SUM(N317:N328)</f>
        <v>22660868608.949409</v>
      </c>
      <c r="C341" s="28" t="s">
        <v>7</v>
      </c>
      <c r="D341" s="28"/>
      <c r="E341" s="28"/>
      <c r="F341" s="28"/>
      <c r="G341" s="28"/>
      <c r="H341" s="28"/>
      <c r="I341" s="28"/>
      <c r="J341" s="28"/>
      <c r="K341" s="28"/>
      <c r="L341" s="28"/>
      <c r="M341" s="28"/>
      <c r="N341" s="28"/>
      <c r="O341" s="28"/>
      <c r="P341" s="28" t="s">
        <v>27</v>
      </c>
      <c r="Q341" s="82">
        <f>SUM(Q317:Q340)</f>
        <v>0.93016789743312522</v>
      </c>
      <c r="R341" s="28"/>
      <c r="S341" s="29"/>
    </row>
    <row r="342" spans="1:19" ht="32">
      <c r="A342" s="68" t="s">
        <v>487</v>
      </c>
      <c r="B342" s="112">
        <f>SUM(B334:B341)</f>
        <v>67103034733.152023</v>
      </c>
      <c r="C342" s="28" t="s">
        <v>7</v>
      </c>
      <c r="D342" s="37"/>
      <c r="E342" s="37"/>
      <c r="F342" s="37"/>
      <c r="G342" s="37"/>
      <c r="H342" s="37"/>
      <c r="I342" s="37"/>
      <c r="J342" s="37"/>
      <c r="K342" s="37"/>
      <c r="L342" s="37"/>
      <c r="M342" s="37"/>
      <c r="N342" s="37"/>
      <c r="O342" s="37"/>
      <c r="P342" s="37"/>
      <c r="Q342" s="37"/>
      <c r="R342" s="37"/>
      <c r="S342" s="42"/>
    </row>
    <row r="344" spans="1:19">
      <c r="A344" s="20" t="s">
        <v>85</v>
      </c>
    </row>
    <row r="345" spans="1:19">
      <c r="A345" t="s">
        <v>1039</v>
      </c>
    </row>
    <row r="346" spans="1:19">
      <c r="A346" t="s">
        <v>1040</v>
      </c>
    </row>
  </sheetData>
  <sortState ref="S7:V18">
    <sortCondition ref="S7"/>
  </sortState>
  <mergeCells count="12">
    <mergeCell ref="D268:D272"/>
    <mergeCell ref="D292:D297"/>
    <mergeCell ref="D317:D324"/>
    <mergeCell ref="D158:D163"/>
    <mergeCell ref="D185:D192"/>
    <mergeCell ref="D214:D221"/>
    <mergeCell ref="D243:D248"/>
    <mergeCell ref="S4:V4"/>
    <mergeCell ref="D5:D9"/>
    <mergeCell ref="D25:D32"/>
    <mergeCell ref="D78:D85"/>
    <mergeCell ref="D131:D13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topLeftCell="A61" workbookViewId="0">
      <selection activeCell="D75" sqref="D75"/>
    </sheetView>
  </sheetViews>
  <sheetFormatPr baseColWidth="10" defaultRowHeight="16"/>
  <cols>
    <col min="1" max="1" width="19.1796875" customWidth="1"/>
    <col min="2" max="2" width="17.7265625" customWidth="1"/>
    <col min="4" max="4" width="19.36328125" customWidth="1"/>
    <col min="6" max="6" width="16.1796875" customWidth="1"/>
    <col min="7" max="7" width="29.453125" customWidth="1"/>
    <col min="8" max="8" width="20.1796875" bestFit="1" customWidth="1"/>
    <col min="9" max="9" width="21" customWidth="1"/>
    <col min="10" max="10" width="20.7265625" customWidth="1"/>
    <col min="13" max="13" width="21" customWidth="1"/>
    <col min="18" max="18" width="14" customWidth="1"/>
  </cols>
  <sheetData>
    <row r="1" spans="1:18">
      <c r="A1" s="20" t="s">
        <v>469</v>
      </c>
    </row>
    <row r="3" spans="1:18">
      <c r="A3" s="20" t="s">
        <v>472</v>
      </c>
    </row>
    <row r="4" spans="1:18" ht="40.5" customHeight="1">
      <c r="A4" s="60" t="s">
        <v>0</v>
      </c>
      <c r="B4" s="23" t="s">
        <v>1</v>
      </c>
      <c r="C4" s="23" t="s">
        <v>558</v>
      </c>
      <c r="D4" s="23" t="s">
        <v>3</v>
      </c>
      <c r="E4" s="23"/>
      <c r="F4" s="62" t="s">
        <v>34</v>
      </c>
      <c r="G4" s="97"/>
      <c r="H4" s="97"/>
      <c r="I4" s="62" t="s">
        <v>35</v>
      </c>
      <c r="J4" s="97"/>
      <c r="K4" s="23"/>
      <c r="L4" s="98" t="s">
        <v>35</v>
      </c>
      <c r="M4" s="98"/>
      <c r="N4" s="98"/>
      <c r="O4" s="155" t="s">
        <v>36</v>
      </c>
      <c r="P4" s="155"/>
      <c r="Q4" s="155"/>
      <c r="R4" s="156"/>
    </row>
    <row r="5" spans="1:18" ht="32">
      <c r="A5" s="99" t="s">
        <v>470</v>
      </c>
      <c r="B5" s="82">
        <v>0.625</v>
      </c>
      <c r="C5" s="28" t="s">
        <v>33</v>
      </c>
      <c r="D5" s="171" t="s">
        <v>208</v>
      </c>
      <c r="E5" s="48"/>
      <c r="F5" s="27" t="s">
        <v>37</v>
      </c>
      <c r="G5" s="27"/>
      <c r="H5" s="27"/>
      <c r="I5" s="6" t="s">
        <v>38</v>
      </c>
      <c r="J5" s="27"/>
      <c r="K5" s="28"/>
      <c r="L5" s="100" t="s">
        <v>12</v>
      </c>
      <c r="M5" s="100"/>
      <c r="N5" s="100"/>
      <c r="O5" s="27"/>
      <c r="P5" s="28"/>
      <c r="Q5" s="28"/>
      <c r="R5" s="29"/>
    </row>
    <row r="6" spans="1:18" ht="48">
      <c r="A6" s="99" t="s">
        <v>471</v>
      </c>
      <c r="B6" s="82">
        <v>0.375</v>
      </c>
      <c r="C6" s="28" t="s">
        <v>33</v>
      </c>
      <c r="D6" s="171"/>
      <c r="E6" s="28"/>
      <c r="F6" s="63" t="s">
        <v>13</v>
      </c>
      <c r="G6" s="63" t="s">
        <v>39</v>
      </c>
      <c r="H6" s="63" t="s">
        <v>40</v>
      </c>
      <c r="I6" s="96" t="s">
        <v>13</v>
      </c>
      <c r="J6" s="63" t="s">
        <v>41</v>
      </c>
      <c r="K6" s="101"/>
      <c r="L6" s="96" t="s">
        <v>13</v>
      </c>
      <c r="M6" s="63" t="s">
        <v>41</v>
      </c>
      <c r="N6" s="102" t="s">
        <v>40</v>
      </c>
      <c r="O6" s="63" t="s">
        <v>13</v>
      </c>
      <c r="P6" s="63" t="s">
        <v>14</v>
      </c>
      <c r="Q6" s="63" t="s">
        <v>40</v>
      </c>
      <c r="R6" s="103" t="s">
        <v>527</v>
      </c>
    </row>
    <row r="7" spans="1:18" ht="48">
      <c r="A7" s="104" t="s">
        <v>474</v>
      </c>
      <c r="B7" s="65">
        <f>data_2tier!B15*(B5+B6)</f>
        <v>1370777851.346278</v>
      </c>
      <c r="C7" s="28" t="s">
        <v>7</v>
      </c>
      <c r="D7" s="28"/>
      <c r="E7" s="28"/>
      <c r="F7" s="27" t="s">
        <v>17</v>
      </c>
      <c r="G7" s="27">
        <f>16704+3576+18730+12847</f>
        <v>51857</v>
      </c>
      <c r="H7" s="35">
        <f t="shared" ref="H7:H17" si="0">G7/$G$18</f>
        <v>0.4159674650666581</v>
      </c>
      <c r="I7" s="6" t="s">
        <v>17</v>
      </c>
      <c r="J7" s="27">
        <f>30434+19246</f>
        <v>49680</v>
      </c>
      <c r="K7" s="105"/>
      <c r="L7" s="106" t="s">
        <v>17</v>
      </c>
      <c r="M7" s="107">
        <v>50670</v>
      </c>
      <c r="N7" s="106">
        <f t="shared" ref="N7:N12" si="1">M7/$M$13</f>
        <v>0.44259459837182491</v>
      </c>
      <c r="O7" s="27" t="s">
        <v>17</v>
      </c>
      <c r="P7" s="65">
        <f>(G7+J7+M7)/3</f>
        <v>50735.666666666664</v>
      </c>
      <c r="Q7" s="35">
        <f>P7/$P$18</f>
        <v>0.40945782556419252</v>
      </c>
      <c r="R7" s="66">
        <f>$B$7*Q7</f>
        <v>561275718.34380293</v>
      </c>
    </row>
    <row r="8" spans="1:18" ht="48">
      <c r="A8" s="104" t="s">
        <v>473</v>
      </c>
      <c r="B8" s="108">
        <f>data_2tier!B21*(B5+B6)</f>
        <v>4992927121.2974663</v>
      </c>
      <c r="C8" s="28" t="s">
        <v>7</v>
      </c>
      <c r="D8" s="28"/>
      <c r="E8" s="28"/>
      <c r="F8" s="27" t="s">
        <v>18</v>
      </c>
      <c r="G8" s="27">
        <f>10778+1200</f>
        <v>11978</v>
      </c>
      <c r="H8" s="35">
        <f t="shared" si="0"/>
        <v>9.608072770442623E-2</v>
      </c>
      <c r="I8" s="6" t="s">
        <v>18</v>
      </c>
      <c r="J8" s="27">
        <v>13623</v>
      </c>
      <c r="K8" s="100" t="s">
        <v>40</v>
      </c>
      <c r="L8" s="106" t="s">
        <v>18</v>
      </c>
      <c r="M8" s="107">
        <v>19414</v>
      </c>
      <c r="N8" s="106">
        <f t="shared" si="1"/>
        <v>0.16957828168128297</v>
      </c>
      <c r="O8" s="27" t="s">
        <v>18</v>
      </c>
      <c r="P8" s="28">
        <f>(G8+J8+M8)/3</f>
        <v>15005</v>
      </c>
      <c r="Q8" s="35">
        <f t="shared" ref="Q8:Q17" si="2">P8/$P$18</f>
        <v>0.12109655940772847</v>
      </c>
      <c r="R8" s="66">
        <f t="shared" ref="R8:R17" si="3">$B$7*Q8</f>
        <v>165996481.51035294</v>
      </c>
    </row>
    <row r="9" spans="1:18">
      <c r="A9" s="30"/>
      <c r="B9" s="28"/>
      <c r="C9" s="28"/>
      <c r="D9" s="28"/>
      <c r="E9" s="28"/>
      <c r="F9" s="27" t="s">
        <v>42</v>
      </c>
      <c r="G9" s="27">
        <v>16059</v>
      </c>
      <c r="H9" s="35">
        <f t="shared" si="0"/>
        <v>0.12881619687805818</v>
      </c>
      <c r="I9" s="6" t="s">
        <v>19</v>
      </c>
      <c r="J9" s="27">
        <v>6750</v>
      </c>
      <c r="K9" s="106">
        <f t="shared" ref="K9:K15" si="4">J7/$J$14</f>
        <v>0.40174259895600301</v>
      </c>
      <c r="L9" s="106" t="s">
        <v>42</v>
      </c>
      <c r="M9" s="107">
        <v>17874</v>
      </c>
      <c r="N9" s="106">
        <f t="shared" si="1"/>
        <v>0.15612662031375563</v>
      </c>
      <c r="O9" s="27" t="s">
        <v>42</v>
      </c>
      <c r="P9" s="28">
        <f>(G9+J9+M9)/3</f>
        <v>13561</v>
      </c>
      <c r="Q9" s="35">
        <f t="shared" si="2"/>
        <v>0.10944288184793108</v>
      </c>
      <c r="R9" s="66">
        <f t="shared" si="3"/>
        <v>150021878.42465153</v>
      </c>
    </row>
    <row r="10" spans="1:18">
      <c r="A10" s="30"/>
      <c r="B10" s="28"/>
      <c r="C10" s="28"/>
      <c r="D10" s="28"/>
      <c r="E10" s="28"/>
      <c r="F10" s="27" t="s">
        <v>20</v>
      </c>
      <c r="G10" s="27">
        <f>3770+1200+35000</f>
        <v>39970</v>
      </c>
      <c r="H10" s="35">
        <f t="shared" si="0"/>
        <v>0.32061668778977426</v>
      </c>
      <c r="I10" s="6" t="s">
        <v>20</v>
      </c>
      <c r="J10" s="27">
        <f>43925+0.15</f>
        <v>43925.15</v>
      </c>
      <c r="K10" s="106">
        <f t="shared" si="4"/>
        <v>0.11016383706879285</v>
      </c>
      <c r="L10" s="106" t="s">
        <v>43</v>
      </c>
      <c r="M10" s="107">
        <v>22016</v>
      </c>
      <c r="N10" s="106">
        <f t="shared" si="1"/>
        <v>0.19230634848537786</v>
      </c>
      <c r="O10" s="27" t="s">
        <v>20</v>
      </c>
      <c r="P10" s="65">
        <f>(G10+J10+M10)/3</f>
        <v>35303.716666666667</v>
      </c>
      <c r="Q10" s="35">
        <f t="shared" si="2"/>
        <v>0.28491560297491597</v>
      </c>
      <c r="R10" s="66">
        <f t="shared" si="3"/>
        <v>390555998.06098449</v>
      </c>
    </row>
    <row r="11" spans="1:18">
      <c r="A11" s="30"/>
      <c r="B11" s="28"/>
      <c r="C11" s="28"/>
      <c r="D11" s="28"/>
      <c r="E11" s="28"/>
      <c r="F11" s="27" t="s">
        <v>28</v>
      </c>
      <c r="G11" s="27">
        <v>498</v>
      </c>
      <c r="H11" s="35">
        <f t="shared" si="0"/>
        <v>3.9946737683089215E-3</v>
      </c>
      <c r="I11" s="6" t="s">
        <v>28</v>
      </c>
      <c r="J11" s="27">
        <v>5000</v>
      </c>
      <c r="K11" s="106">
        <f t="shared" si="4"/>
        <v>5.4584592249456929E-2</v>
      </c>
      <c r="L11" s="106" t="s">
        <v>44</v>
      </c>
      <c r="M11" s="107">
        <v>2400</v>
      </c>
      <c r="N11" s="106">
        <f t="shared" si="1"/>
        <v>2.0963628105237414E-2</v>
      </c>
      <c r="O11" s="27" t="s">
        <v>28</v>
      </c>
      <c r="P11" s="28">
        <v>5000</v>
      </c>
      <c r="Q11" s="35">
        <f t="shared" si="2"/>
        <v>4.0352069112871869E-2</v>
      </c>
      <c r="R11" s="66">
        <f t="shared" si="3"/>
        <v>55313722.595919006</v>
      </c>
    </row>
    <row r="12" spans="1:18">
      <c r="A12" s="30"/>
      <c r="B12" s="28"/>
      <c r="C12" s="28"/>
      <c r="D12" s="28"/>
      <c r="E12" s="28"/>
      <c r="F12" s="27" t="s">
        <v>26</v>
      </c>
      <c r="G12" s="27">
        <v>200</v>
      </c>
      <c r="H12" s="35">
        <f t="shared" si="0"/>
        <v>1.6042866539393258E-3</v>
      </c>
      <c r="I12" s="6" t="s">
        <v>44</v>
      </c>
      <c r="J12" s="27">
        <v>1293</v>
      </c>
      <c r="K12" s="106">
        <f t="shared" si="4"/>
        <v>0.35520539292536785</v>
      </c>
      <c r="L12" s="106" t="s">
        <v>45</v>
      </c>
      <c r="M12" s="107">
        <v>2110</v>
      </c>
      <c r="N12" s="106">
        <f t="shared" si="1"/>
        <v>1.8430523042521227E-2</v>
      </c>
      <c r="O12" s="27" t="s">
        <v>26</v>
      </c>
      <c r="P12" s="28">
        <v>200</v>
      </c>
      <c r="Q12" s="35">
        <f t="shared" si="2"/>
        <v>1.6140827645148748E-3</v>
      </c>
      <c r="R12" s="66">
        <f t="shared" si="3"/>
        <v>2212548.9038367602</v>
      </c>
    </row>
    <row r="13" spans="1:18">
      <c r="A13" s="30"/>
      <c r="B13" s="28"/>
      <c r="C13" s="28"/>
      <c r="D13" s="28"/>
      <c r="E13" s="28"/>
      <c r="F13" s="27" t="s">
        <v>25</v>
      </c>
      <c r="G13" s="27">
        <v>1000</v>
      </c>
      <c r="H13" s="35">
        <f t="shared" si="0"/>
        <v>8.0214332696966293E-3</v>
      </c>
      <c r="I13" s="6" t="s">
        <v>45</v>
      </c>
      <c r="J13" s="27">
        <f>3390+0.12</f>
        <v>3390.12</v>
      </c>
      <c r="K13" s="106">
        <f t="shared" si="4"/>
        <v>4.0433031295894019E-2</v>
      </c>
      <c r="L13" s="106" t="s">
        <v>27</v>
      </c>
      <c r="M13" s="107">
        <f>SUM(M7:M12)</f>
        <v>114484</v>
      </c>
      <c r="N13" s="106"/>
      <c r="O13" s="27" t="s">
        <v>25</v>
      </c>
      <c r="P13" s="28">
        <v>1000</v>
      </c>
      <c r="Q13" s="35">
        <f t="shared" si="2"/>
        <v>8.0704138225743734E-3</v>
      </c>
      <c r="R13" s="66">
        <f t="shared" si="3"/>
        <v>11062744.519183801</v>
      </c>
    </row>
    <row r="14" spans="1:18">
      <c r="A14" s="30"/>
      <c r="B14" s="28"/>
      <c r="C14" s="28"/>
      <c r="D14" s="28"/>
      <c r="E14" s="28"/>
      <c r="F14" s="27" t="s">
        <v>46</v>
      </c>
      <c r="G14" s="27">
        <v>100</v>
      </c>
      <c r="H14" s="35">
        <f t="shared" si="0"/>
        <v>8.0214332696966289E-4</v>
      </c>
      <c r="I14" s="10" t="s">
        <v>27</v>
      </c>
      <c r="J14" s="27">
        <f>SUM(J7:J13)</f>
        <v>123661.26999999999</v>
      </c>
      <c r="K14" s="106">
        <f t="shared" si="4"/>
        <v>1.0455981893118194E-2</v>
      </c>
      <c r="L14" s="28"/>
      <c r="M14" s="107"/>
      <c r="N14" s="100"/>
      <c r="O14" s="27" t="s">
        <v>46</v>
      </c>
      <c r="P14" s="28">
        <v>100</v>
      </c>
      <c r="Q14" s="35">
        <f t="shared" si="2"/>
        <v>8.0704138225743739E-4</v>
      </c>
      <c r="R14" s="66">
        <f t="shared" si="3"/>
        <v>1106274.4519183801</v>
      </c>
    </row>
    <row r="15" spans="1:18">
      <c r="A15" s="30"/>
      <c r="B15" s="28"/>
      <c r="C15" s="28"/>
      <c r="D15" s="28"/>
      <c r="E15" s="28"/>
      <c r="F15" s="27" t="s">
        <v>29</v>
      </c>
      <c r="G15" s="27">
        <v>2440</v>
      </c>
      <c r="H15" s="35">
        <f t="shared" si="0"/>
        <v>1.9572297178059774E-2</v>
      </c>
      <c r="I15" s="6"/>
      <c r="J15" s="27"/>
      <c r="K15" s="106">
        <f t="shared" si="4"/>
        <v>2.7414565611367247E-2</v>
      </c>
      <c r="L15" s="28"/>
      <c r="M15" s="106"/>
      <c r="N15" s="106"/>
      <c r="O15" s="27" t="s">
        <v>29</v>
      </c>
      <c r="P15" s="28">
        <v>2440</v>
      </c>
      <c r="Q15" s="35">
        <f t="shared" si="2"/>
        <v>1.9691809727081473E-2</v>
      </c>
      <c r="R15" s="66">
        <f t="shared" si="3"/>
        <v>26993096.626808476</v>
      </c>
    </row>
    <row r="16" spans="1:18">
      <c r="A16" s="30"/>
      <c r="B16" s="28"/>
      <c r="C16" s="28"/>
      <c r="D16" s="28"/>
      <c r="E16" s="28"/>
      <c r="F16" s="27" t="s">
        <v>47</v>
      </c>
      <c r="G16" s="27">
        <v>164</v>
      </c>
      <c r="H16" s="35">
        <f t="shared" si="0"/>
        <v>1.3155150562302472E-3</v>
      </c>
      <c r="I16" s="6"/>
      <c r="J16" s="27"/>
      <c r="K16" s="100"/>
      <c r="L16" s="100"/>
      <c r="M16" s="106"/>
      <c r="N16" s="106"/>
      <c r="O16" s="27" t="s">
        <v>47</v>
      </c>
      <c r="P16" s="28">
        <v>164</v>
      </c>
      <c r="Q16" s="35">
        <f t="shared" si="2"/>
        <v>1.3235478669021972E-3</v>
      </c>
      <c r="R16" s="66">
        <f t="shared" si="3"/>
        <v>1814290.1011461434</v>
      </c>
    </row>
    <row r="17" spans="1:18">
      <c r="A17" s="30"/>
      <c r="B17" s="28"/>
      <c r="C17" s="28"/>
      <c r="D17" s="28"/>
      <c r="E17" s="28"/>
      <c r="F17" s="27" t="s">
        <v>48</v>
      </c>
      <c r="G17" s="27">
        <v>400</v>
      </c>
      <c r="H17" s="35">
        <f t="shared" si="0"/>
        <v>3.2085733078786515E-3</v>
      </c>
      <c r="I17" s="6"/>
      <c r="J17" s="27"/>
      <c r="K17" s="106"/>
      <c r="L17" s="106"/>
      <c r="M17" s="106"/>
      <c r="N17" s="106"/>
      <c r="O17" s="27" t="s">
        <v>48</v>
      </c>
      <c r="P17" s="28">
        <v>400</v>
      </c>
      <c r="Q17" s="35">
        <f t="shared" si="2"/>
        <v>3.2281655290297495E-3</v>
      </c>
      <c r="R17" s="66">
        <f t="shared" si="3"/>
        <v>4425097.8076735204</v>
      </c>
    </row>
    <row r="18" spans="1:18">
      <c r="A18" s="39"/>
      <c r="B18" s="37"/>
      <c r="C18" s="37"/>
      <c r="D18" s="37"/>
      <c r="E18" s="37"/>
      <c r="F18" s="109" t="s">
        <v>27</v>
      </c>
      <c r="G18" s="109">
        <f>SUM(G7:G17)</f>
        <v>124666</v>
      </c>
      <c r="H18" s="109"/>
      <c r="I18" s="109"/>
      <c r="J18" s="109"/>
      <c r="K18" s="110"/>
      <c r="L18" s="110"/>
      <c r="M18" s="111"/>
      <c r="N18" s="111"/>
      <c r="O18" s="109" t="s">
        <v>27</v>
      </c>
      <c r="P18" s="112">
        <f>SUM(P7:P17)</f>
        <v>123909.38333333333</v>
      </c>
      <c r="Q18" s="113">
        <f>P18/$P$18</f>
        <v>1</v>
      </c>
      <c r="R18" s="42"/>
    </row>
    <row r="19" spans="1:18">
      <c r="L19" s="16"/>
      <c r="M19" s="16"/>
    </row>
    <row r="20" spans="1:18">
      <c r="A20" s="20" t="s">
        <v>475</v>
      </c>
    </row>
    <row r="21" spans="1:18" ht="32">
      <c r="A21" s="60" t="s">
        <v>0</v>
      </c>
      <c r="B21" s="23" t="s">
        <v>1</v>
      </c>
      <c r="C21" s="23" t="s">
        <v>558</v>
      </c>
      <c r="D21" s="23" t="s">
        <v>3</v>
      </c>
      <c r="E21" s="23"/>
      <c r="F21" s="114" t="s">
        <v>425</v>
      </c>
      <c r="G21" s="114" t="s">
        <v>424</v>
      </c>
      <c r="H21" s="114" t="s">
        <v>429</v>
      </c>
      <c r="I21" s="115" t="s">
        <v>527</v>
      </c>
    </row>
    <row r="22" spans="1:18" ht="32">
      <c r="A22" s="99" t="s">
        <v>476</v>
      </c>
      <c r="B22" s="82">
        <f>'[1]Weight%'!$B$112</f>
        <v>0.68</v>
      </c>
      <c r="C22" s="28" t="s">
        <v>33</v>
      </c>
      <c r="D22" s="153" t="s">
        <v>208</v>
      </c>
      <c r="E22" s="28"/>
      <c r="F22" s="28" t="s">
        <v>461</v>
      </c>
      <c r="G22" s="34">
        <f>[10]Production!$M$3</f>
        <v>1.4510021591020878E-2</v>
      </c>
      <c r="H22" s="48">
        <f t="shared" ref="H22:H41" si="5">G22/$G$42</f>
        <v>1.5814548076558903E-2</v>
      </c>
      <c r="I22" s="66">
        <f t="shared" ref="I22:I41" si="6">H22*$B$24</f>
        <v>39336349.653400131</v>
      </c>
    </row>
    <row r="23" spans="1:18" ht="32">
      <c r="A23" s="99" t="s">
        <v>477</v>
      </c>
      <c r="B23" s="82">
        <f>'[1]Weight%'!$B$113</f>
        <v>0.32</v>
      </c>
      <c r="C23" s="28" t="s">
        <v>33</v>
      </c>
      <c r="D23" s="153"/>
      <c r="E23" s="28"/>
      <c r="F23" s="28" t="s">
        <v>148</v>
      </c>
      <c r="G23" s="34">
        <f>[10]Production!$Z$3</f>
        <v>1.0491780887562174E-2</v>
      </c>
      <c r="H23" s="48">
        <f t="shared" si="5"/>
        <v>1.1435046613421342E-2</v>
      </c>
      <c r="I23" s="66">
        <f t="shared" si="6"/>
        <v>28442987.413292307</v>
      </c>
    </row>
    <row r="24" spans="1:18" ht="48">
      <c r="A24" s="104" t="s">
        <v>478</v>
      </c>
      <c r="B24" s="65">
        <f>data_2tier!B255*(B22+B23)</f>
        <v>2487352117.9973769</v>
      </c>
      <c r="C24" s="43" t="s">
        <v>7</v>
      </c>
      <c r="D24" s="28"/>
      <c r="E24" s="28"/>
      <c r="F24" s="28" t="s">
        <v>465</v>
      </c>
      <c r="G24" s="34">
        <f>[10]Production!$AG$3</f>
        <v>1.656199696992295E-2</v>
      </c>
      <c r="H24" s="48">
        <f t="shared" si="5"/>
        <v>1.8051006725362254E-2</v>
      </c>
      <c r="I24" s="66">
        <f t="shared" si="6"/>
        <v>44899209.8103147</v>
      </c>
    </row>
    <row r="25" spans="1:18" ht="48">
      <c r="A25" s="104" t="s">
        <v>497</v>
      </c>
      <c r="B25" s="28">
        <f>data_2tier!B262*(data_3tier!B22+data_3tier!B23)</f>
        <v>31402876435.131237</v>
      </c>
      <c r="C25" s="43" t="s">
        <v>7</v>
      </c>
      <c r="D25" s="28"/>
      <c r="E25" s="28"/>
      <c r="F25" s="28" t="s">
        <v>17</v>
      </c>
      <c r="G25" s="34">
        <f>[10]Production!$AT$3</f>
        <v>0.16663842671051507</v>
      </c>
      <c r="H25" s="48">
        <f t="shared" si="5"/>
        <v>0.18162008885268419</v>
      </c>
      <c r="I25" s="66">
        <f t="shared" si="6"/>
        <v>451753112.67859578</v>
      </c>
    </row>
    <row r="26" spans="1:18">
      <c r="A26" s="30"/>
      <c r="B26" s="28"/>
      <c r="C26" s="28"/>
      <c r="D26" s="28"/>
      <c r="E26" s="28"/>
      <c r="F26" s="28" t="s">
        <v>22</v>
      </c>
      <c r="G26" s="34">
        <f>[10]Production!$BG$3</f>
        <v>0.11533345662546393</v>
      </c>
      <c r="H26" s="48">
        <f t="shared" si="5"/>
        <v>0.12570253484445665</v>
      </c>
      <c r="I26" s="66">
        <f t="shared" si="6"/>
        <v>312666466.28299832</v>
      </c>
    </row>
    <row r="27" spans="1:18">
      <c r="A27" s="30"/>
      <c r="B27" s="28"/>
      <c r="C27" s="28"/>
      <c r="D27" s="28"/>
      <c r="E27" s="28"/>
      <c r="F27" s="28" t="s">
        <v>26</v>
      </c>
      <c r="G27" s="34">
        <f>[10]Production!$BW$3</f>
        <v>1.8766430769870345E-2</v>
      </c>
      <c r="H27" s="48">
        <f t="shared" si="5"/>
        <v>2.0453630601017472E-2</v>
      </c>
      <c r="I27" s="66">
        <f t="shared" si="6"/>
        <v>50875381.39617677</v>
      </c>
    </row>
    <row r="28" spans="1:18">
      <c r="A28" s="30"/>
      <c r="B28" s="28"/>
      <c r="C28" s="28"/>
      <c r="D28" s="28"/>
      <c r="E28" s="28"/>
      <c r="F28" s="28" t="s">
        <v>28</v>
      </c>
      <c r="G28" s="34">
        <f>[10]Production!$CE$3</f>
        <v>5.5327596977651064E-2</v>
      </c>
      <c r="H28" s="48">
        <f t="shared" si="5"/>
        <v>6.0301836001746226E-2</v>
      </c>
      <c r="I28" s="66">
        <f t="shared" si="6"/>
        <v>149991899.49807394</v>
      </c>
    </row>
    <row r="29" spans="1:18">
      <c r="A29" s="30"/>
      <c r="B29" s="28"/>
      <c r="C29" s="28"/>
      <c r="D29" s="28"/>
      <c r="E29" s="28"/>
      <c r="F29" s="28" t="s">
        <v>149</v>
      </c>
      <c r="G29" s="34">
        <f>[10]Production!$CW$3</f>
        <v>1.0616156237892265E-2</v>
      </c>
      <c r="H29" s="48">
        <f t="shared" si="5"/>
        <v>1.1570603955289893E-2</v>
      </c>
      <c r="I29" s="66">
        <f t="shared" si="6"/>
        <v>28780166.254699141</v>
      </c>
    </row>
    <row r="30" spans="1:18">
      <c r="A30" s="30"/>
      <c r="B30" s="28"/>
      <c r="C30" s="28"/>
      <c r="D30" s="28"/>
      <c r="E30" s="28"/>
      <c r="F30" s="28" t="s">
        <v>142</v>
      </c>
      <c r="G30" s="34">
        <f>[10]Production!$DB$3</f>
        <v>7.6763232742676851E-2</v>
      </c>
      <c r="H30" s="48">
        <f t="shared" si="5"/>
        <v>8.3664647023845823E-2</v>
      </c>
      <c r="I30" s="66">
        <f t="shared" si="6"/>
        <v>208103436.97626585</v>
      </c>
    </row>
    <row r="31" spans="1:18">
      <c r="A31" s="30"/>
      <c r="B31" s="28"/>
      <c r="C31" s="28"/>
      <c r="D31" s="28"/>
      <c r="E31" s="28"/>
      <c r="F31" s="28" t="s">
        <v>18</v>
      </c>
      <c r="G31" s="34">
        <f>[10]Production!$DE$3</f>
        <v>7.1417270000494429E-2</v>
      </c>
      <c r="H31" s="48">
        <f t="shared" si="5"/>
        <v>7.7838054398094381E-2</v>
      </c>
      <c r="I31" s="66">
        <f t="shared" si="6"/>
        <v>193610649.46789509</v>
      </c>
    </row>
    <row r="32" spans="1:18">
      <c r="A32" s="30"/>
      <c r="B32" s="28"/>
      <c r="C32" s="28"/>
      <c r="D32" s="28"/>
      <c r="E32" s="28"/>
      <c r="F32" s="28" t="s">
        <v>19</v>
      </c>
      <c r="G32" s="34">
        <f>[10]Production!$DJ$3</f>
        <v>8.3680493367773182E-2</v>
      </c>
      <c r="H32" s="48">
        <f t="shared" si="5"/>
        <v>9.120380539293943E-2</v>
      </c>
      <c r="I32" s="66">
        <f t="shared" si="6"/>
        <v>226855978.51354846</v>
      </c>
    </row>
    <row r="33" spans="1:9">
      <c r="A33" s="30"/>
      <c r="B33" s="28"/>
      <c r="C33" s="28"/>
      <c r="D33" s="28"/>
      <c r="E33" s="28"/>
      <c r="F33" s="28" t="s">
        <v>498</v>
      </c>
      <c r="G33" s="34">
        <f>[10]Production!$DT$3</f>
        <v>1.5884047215673196E-2</v>
      </c>
      <c r="H33" s="48">
        <f t="shared" si="5"/>
        <v>1.731210575854986E-2</v>
      </c>
      <c r="I33" s="66">
        <f t="shared" si="6"/>
        <v>43061302.925523579</v>
      </c>
    </row>
    <row r="34" spans="1:9">
      <c r="A34" s="30"/>
      <c r="B34" s="28"/>
      <c r="C34" s="28"/>
      <c r="D34" s="28"/>
      <c r="E34" s="28"/>
      <c r="F34" s="28" t="s">
        <v>163</v>
      </c>
      <c r="G34" s="34">
        <f>[10]Production!$ED$3</f>
        <v>5.5079054214846455E-2</v>
      </c>
      <c r="H34" s="48">
        <f t="shared" si="5"/>
        <v>6.0030947950560513E-2</v>
      </c>
      <c r="I34" s="66">
        <f t="shared" si="6"/>
        <v>149318105.53021699</v>
      </c>
    </row>
    <row r="35" spans="1:9">
      <c r="A35" s="30"/>
      <c r="B35" s="28"/>
      <c r="C35" s="28"/>
      <c r="D35" s="28"/>
      <c r="E35" s="28"/>
      <c r="F35" s="28" t="s">
        <v>23</v>
      </c>
      <c r="G35" s="34">
        <f>[10]Production!$FO$3</f>
        <v>2.3278854060451375E-2</v>
      </c>
      <c r="H35" s="48">
        <f t="shared" si="5"/>
        <v>2.5371744238755833E-2</v>
      </c>
      <c r="I35" s="66">
        <f t="shared" si="6"/>
        <v>63108461.769557066</v>
      </c>
    </row>
    <row r="36" spans="1:9">
      <c r="A36" s="30"/>
      <c r="B36" s="28"/>
      <c r="C36" s="28"/>
      <c r="D36" s="28"/>
      <c r="E36" s="28"/>
      <c r="F36" s="28" t="s">
        <v>47</v>
      </c>
      <c r="G36" s="34">
        <f>[10]Production!$GK$3</f>
        <v>1.0629559801793139E-2</v>
      </c>
      <c r="H36" s="48">
        <f t="shared" si="5"/>
        <v>1.1585212569369336E-2</v>
      </c>
      <c r="I36" s="66">
        <f t="shared" si="6"/>
        <v>28816503.02187065</v>
      </c>
    </row>
    <row r="37" spans="1:9">
      <c r="A37" s="30"/>
      <c r="B37" s="28"/>
      <c r="C37" s="28"/>
      <c r="D37" s="28"/>
      <c r="E37" s="28"/>
      <c r="F37" s="28" t="s">
        <v>435</v>
      </c>
      <c r="G37" s="34">
        <f>[10]Production!$HC$3</f>
        <v>1.9085729862159017E-2</v>
      </c>
      <c r="H37" s="48">
        <f t="shared" si="5"/>
        <v>2.0801636344091323E-2</v>
      </c>
      <c r="I37" s="66">
        <f t="shared" si="6"/>
        <v>51740994.218286768</v>
      </c>
    </row>
    <row r="38" spans="1:9">
      <c r="A38" s="30"/>
      <c r="B38" s="28"/>
      <c r="C38" s="28"/>
      <c r="D38" s="28"/>
      <c r="E38" s="28"/>
      <c r="F38" s="28" t="s">
        <v>468</v>
      </c>
      <c r="G38" s="34">
        <f>[10]Production!$HH$3</f>
        <v>1.1272499082927502E-2</v>
      </c>
      <c r="H38" s="48">
        <f t="shared" si="5"/>
        <v>1.2285955439255874E-2</v>
      </c>
      <c r="I38" s="66">
        <f t="shared" si="6"/>
        <v>30559497.283454493</v>
      </c>
    </row>
    <row r="39" spans="1:9">
      <c r="A39" s="30"/>
      <c r="B39" s="28"/>
      <c r="C39" s="28"/>
      <c r="D39" s="28"/>
      <c r="E39" s="28"/>
      <c r="F39" s="28" t="s">
        <v>147</v>
      </c>
      <c r="G39" s="34">
        <f>[10]Production!$HJ$3</f>
        <v>2.2930797517174934E-2</v>
      </c>
      <c r="H39" s="48">
        <f t="shared" si="5"/>
        <v>2.4992395600128555E-2</v>
      </c>
      <c r="I39" s="66">
        <f t="shared" si="6"/>
        <v>62164888.129808083</v>
      </c>
    </row>
    <row r="40" spans="1:9">
      <c r="A40" s="30"/>
      <c r="B40" s="28"/>
      <c r="C40" s="28"/>
      <c r="D40" s="28"/>
      <c r="E40" s="28"/>
      <c r="F40" s="28" t="s">
        <v>25</v>
      </c>
      <c r="G40" s="34">
        <f>[10]Production!$HR$3</f>
        <v>5.0588418991460181E-2</v>
      </c>
      <c r="H40" s="48">
        <f t="shared" si="5"/>
        <v>5.5136581240694406E-2</v>
      </c>
      <c r="I40" s="66">
        <f t="shared" si="6"/>
        <v>137144092.12817568</v>
      </c>
    </row>
    <row r="41" spans="1:9">
      <c r="A41" s="30"/>
      <c r="B41" s="28"/>
      <c r="C41" s="28"/>
      <c r="D41" s="28"/>
      <c r="E41" s="28"/>
      <c r="F41" s="28" t="s">
        <v>20</v>
      </c>
      <c r="G41" s="34">
        <f>[10]Production!$HT$3</f>
        <v>6.8655161876477036E-2</v>
      </c>
      <c r="H41" s="48">
        <f t="shared" si="5"/>
        <v>7.4827618373177779E-2</v>
      </c>
      <c r="I41" s="66">
        <f t="shared" si="6"/>
        <v>186122635.04522318</v>
      </c>
    </row>
    <row r="42" spans="1:9">
      <c r="A42" s="39"/>
      <c r="B42" s="37"/>
      <c r="C42" s="37"/>
      <c r="D42" s="37"/>
      <c r="E42" s="37"/>
      <c r="F42" s="37" t="s">
        <v>27</v>
      </c>
      <c r="G42" s="40">
        <f>SUM(G22:G41)</f>
        <v>0.91751098550380594</v>
      </c>
      <c r="H42" s="37"/>
      <c r="I42" s="42"/>
    </row>
    <row r="44" spans="1:9">
      <c r="A44" s="20" t="s">
        <v>499</v>
      </c>
    </row>
    <row r="45" spans="1:9" ht="32">
      <c r="A45" s="60" t="s">
        <v>0</v>
      </c>
      <c r="B45" s="23" t="s">
        <v>1</v>
      </c>
      <c r="C45" s="23" t="s">
        <v>558</v>
      </c>
      <c r="D45" s="23" t="s">
        <v>3</v>
      </c>
      <c r="E45" s="23"/>
      <c r="F45" s="114" t="s">
        <v>425</v>
      </c>
      <c r="G45" s="114" t="s">
        <v>424</v>
      </c>
      <c r="H45" s="114" t="s">
        <v>429</v>
      </c>
      <c r="I45" s="115" t="s">
        <v>527</v>
      </c>
    </row>
    <row r="46" spans="1:9" ht="32">
      <c r="A46" s="67" t="s">
        <v>1041</v>
      </c>
      <c r="B46" s="48">
        <f>'[1]Weight%'!$B$115*'[1]Weight%'!$B$63/('[1]Weight%'!$B$63+'[1]Weight%'!$B$31)</f>
        <v>9.7452934662236979E-2</v>
      </c>
      <c r="C46" s="28" t="s">
        <v>33</v>
      </c>
      <c r="D46" s="171" t="s">
        <v>208</v>
      </c>
      <c r="E46" s="28"/>
      <c r="F46" s="28" t="s">
        <v>141</v>
      </c>
      <c r="G46" s="34">
        <f>[11]Production!$S$5</f>
        <v>4.8937562302121068E-2</v>
      </c>
      <c r="H46" s="48">
        <f t="shared" ref="H46:H62" si="7">G46/$G$63</f>
        <v>5.5612992915673322E-2</v>
      </c>
      <c r="I46" s="66">
        <f t="shared" ref="I46:I62" si="8">H46*$B$62</f>
        <v>451523385.72524619</v>
      </c>
    </row>
    <row r="47" spans="1:9" ht="32">
      <c r="A47" s="67" t="s">
        <v>500</v>
      </c>
      <c r="B47" s="48">
        <f>'[1]Weight%'!$B$115*'[1]Weight%'!$B$61/('[1]Weight%'!$B$61+'[1]Weight%'!$B$29)</f>
        <v>9.7452934662236992E-2</v>
      </c>
      <c r="C47" s="28" t="s">
        <v>33</v>
      </c>
      <c r="D47" s="171"/>
      <c r="E47" s="28"/>
      <c r="F47" s="28" t="s">
        <v>17</v>
      </c>
      <c r="G47" s="34">
        <f>[11]Production!$AT$5</f>
        <v>0.27304069755420918</v>
      </c>
      <c r="H47" s="48">
        <f t="shared" si="7"/>
        <v>0.31028538538615769</v>
      </c>
      <c r="I47" s="66">
        <f t="shared" si="8"/>
        <v>2519215392.0408101</v>
      </c>
    </row>
    <row r="48" spans="1:9" ht="32">
      <c r="A48" s="67" t="s">
        <v>501</v>
      </c>
      <c r="B48" s="48">
        <f>'[1]Weight%'!$B$115*'[1]Weight%'!$B$62/('[1]Weight%'!$B$62+'[1]Weight%'!$B$30)</f>
        <v>9.7452934662236979E-2</v>
      </c>
      <c r="C48" s="28" t="s">
        <v>33</v>
      </c>
      <c r="D48" s="171"/>
      <c r="E48" s="28"/>
      <c r="F48" s="28" t="s">
        <v>22</v>
      </c>
      <c r="G48" s="34">
        <f>[11]Production!$BG$5</f>
        <v>4.7035149403318349E-2</v>
      </c>
      <c r="H48" s="48">
        <f t="shared" si="7"/>
        <v>5.3451077403604268E-2</v>
      </c>
      <c r="I48" s="66">
        <f t="shared" si="8"/>
        <v>433970735.51738012</v>
      </c>
    </row>
    <row r="49" spans="1:9" ht="32">
      <c r="A49" s="67" t="s">
        <v>502</v>
      </c>
      <c r="B49" s="48">
        <f>'[1]Weight%'!$B$115*'[1]Weight%'!$B$60/('[1]Weight%'!$B$60+'[1]Weight%'!$B$28)</f>
        <v>9.7452934662236979E-2</v>
      </c>
      <c r="C49" s="28" t="s">
        <v>33</v>
      </c>
      <c r="D49" s="171"/>
      <c r="E49" s="28"/>
      <c r="F49" s="28" t="s">
        <v>24</v>
      </c>
      <c r="G49" s="34">
        <f>[11]Production!$BV$5</f>
        <v>1.1855540481486319E-2</v>
      </c>
      <c r="H49" s="48">
        <f t="shared" si="7"/>
        <v>1.3472720294852128E-2</v>
      </c>
      <c r="I49" s="66">
        <f t="shared" si="8"/>
        <v>109385378.55146505</v>
      </c>
    </row>
    <row r="50" spans="1:9" ht="32">
      <c r="A50" s="67" t="s">
        <v>503</v>
      </c>
      <c r="B50" s="48">
        <f>'[1]Weight%'!$B$115*'[1]Weight%'!$B$65/('[1]Weight%'!$B$65+'[1]Weight%'!$B$33)</f>
        <v>9.1566117474122605E-2</v>
      </c>
      <c r="C50" s="28" t="s">
        <v>33</v>
      </c>
      <c r="D50" s="171"/>
      <c r="E50" s="28"/>
      <c r="F50" s="28" t="s">
        <v>26</v>
      </c>
      <c r="G50" s="34">
        <f>[11]Production!$BW$5</f>
        <v>2.5406766028742676E-2</v>
      </c>
      <c r="H50" s="48">
        <f t="shared" si="7"/>
        <v>2.8872429125988478E-2</v>
      </c>
      <c r="I50" s="66">
        <f t="shared" si="8"/>
        <v>234416028.87379313</v>
      </c>
    </row>
    <row r="51" spans="1:9" ht="32">
      <c r="A51" s="67" t="s">
        <v>504</v>
      </c>
      <c r="B51" s="48">
        <f>'[1]Weight%'!$B$115*'[1]Weight%'!$B$66/('[1]Weight%'!$B$66+'[1]Weight%'!$B$34)</f>
        <v>0.15213876231074525</v>
      </c>
      <c r="C51" s="28" t="s">
        <v>33</v>
      </c>
      <c r="D51" s="171"/>
      <c r="E51" s="28"/>
      <c r="F51" s="28" t="s">
        <v>28</v>
      </c>
      <c r="G51" s="34">
        <f>[11]Production!$CE$5</f>
        <v>7.1588972393490435E-2</v>
      </c>
      <c r="H51" s="48">
        <f t="shared" si="7"/>
        <v>8.1354216010611519E-2</v>
      </c>
      <c r="I51" s="66">
        <f t="shared" si="8"/>
        <v>660517068.5892334</v>
      </c>
    </row>
    <row r="52" spans="1:9" ht="32">
      <c r="A52" s="67" t="s">
        <v>505</v>
      </c>
      <c r="B52" s="48">
        <f>'[1]Weight%'!$B$115*'[1]Weight%'!$B$64/('[1]Weight%'!$B$64+'[1]Weight%'!$B$32)</f>
        <v>0.12247071352502661</v>
      </c>
      <c r="C52" s="28" t="s">
        <v>33</v>
      </c>
      <c r="D52" s="171"/>
      <c r="E52" s="28"/>
      <c r="F52" s="28" t="s">
        <v>21</v>
      </c>
      <c r="G52" s="34">
        <f>[11]Production!$CU$5</f>
        <v>4.5942560070237302E-2</v>
      </c>
      <c r="H52" s="48">
        <f t="shared" si="7"/>
        <v>5.220945113572327E-2</v>
      </c>
      <c r="I52" s="66">
        <f t="shared" si="8"/>
        <v>423889938.44305056</v>
      </c>
    </row>
    <row r="53" spans="1:9" ht="32">
      <c r="A53" s="67" t="s">
        <v>506</v>
      </c>
      <c r="B53" s="48">
        <f>'[1]Weight%'!$B$115*'[1]Weight%'!$B$67/('[1]Weight%'!$B$67+'[1]Weight%'!$B$35)</f>
        <v>0.12210351047592617</v>
      </c>
      <c r="C53" s="28" t="s">
        <v>33</v>
      </c>
      <c r="D53" s="171"/>
      <c r="E53" s="28"/>
      <c r="F53" s="28" t="s">
        <v>142</v>
      </c>
      <c r="G53" s="34">
        <f>[11]Production!$DB$5</f>
        <v>6.2633203111276431E-2</v>
      </c>
      <c r="H53" s="48">
        <f t="shared" si="7"/>
        <v>7.1176816274773319E-2</v>
      </c>
      <c r="I53" s="66">
        <f t="shared" si="8"/>
        <v>577886486.31553972</v>
      </c>
    </row>
    <row r="54" spans="1:9" ht="48">
      <c r="A54" s="104" t="s">
        <v>509</v>
      </c>
      <c r="B54" s="28">
        <f>data_2tier!B33*data_3tier!B46</f>
        <v>79887073.873873875</v>
      </c>
      <c r="C54" s="43" t="s">
        <v>7</v>
      </c>
      <c r="D54" s="28"/>
      <c r="E54" s="28"/>
      <c r="F54" s="28" t="s">
        <v>18</v>
      </c>
      <c r="G54" s="34">
        <f>[11]Production!$DE$5</f>
        <v>1.1030953330698624E-2</v>
      </c>
      <c r="H54" s="48">
        <f t="shared" si="7"/>
        <v>1.2535653607876514E-2</v>
      </c>
      <c r="I54" s="66">
        <f t="shared" si="8"/>
        <v>101777308.90854667</v>
      </c>
    </row>
    <row r="55" spans="1:9" ht="48">
      <c r="A55" s="104" t="s">
        <v>510</v>
      </c>
      <c r="B55" s="28">
        <f>data_2tier!B34*data_3tier!B47</f>
        <v>37487755.163522452</v>
      </c>
      <c r="C55" s="43" t="s">
        <v>7</v>
      </c>
      <c r="D55" s="28"/>
      <c r="E55" s="28"/>
      <c r="F55" s="28" t="s">
        <v>163</v>
      </c>
      <c r="G55" s="34">
        <f>[11]Production!$ED$5</f>
        <v>2.6676449226184305E-2</v>
      </c>
      <c r="H55" s="48">
        <f t="shared" si="7"/>
        <v>3.0315306117460739E-2</v>
      </c>
      <c r="I55" s="66">
        <f t="shared" si="8"/>
        <v>246130785.98752153</v>
      </c>
    </row>
    <row r="56" spans="1:9" ht="48">
      <c r="A56" s="104" t="s">
        <v>511</v>
      </c>
      <c r="B56" s="28">
        <f>data_2tier!B35*data_3tier!B48</f>
        <v>85517137.45639883</v>
      </c>
      <c r="C56" s="43" t="s">
        <v>7</v>
      </c>
      <c r="D56" s="28"/>
      <c r="E56" s="28"/>
      <c r="F56" s="28" t="s">
        <v>525</v>
      </c>
      <c r="G56" s="34">
        <f>[11]Production!$EI$5</f>
        <v>1.9251146792874901E-2</v>
      </c>
      <c r="H56" s="48">
        <f t="shared" si="7"/>
        <v>2.1877139764363299E-2</v>
      </c>
      <c r="I56" s="66">
        <f t="shared" si="8"/>
        <v>177621086.34160236</v>
      </c>
    </row>
    <row r="57" spans="1:9" ht="48">
      <c r="A57" s="104" t="s">
        <v>512</v>
      </c>
      <c r="B57" s="28">
        <f>data_2tier!B36*data_3tier!B49</f>
        <v>2781327195.5795794</v>
      </c>
      <c r="C57" s="43" t="s">
        <v>7</v>
      </c>
      <c r="D57" s="28"/>
      <c r="E57" s="28"/>
      <c r="F57" s="28" t="s">
        <v>23</v>
      </c>
      <c r="G57" s="34">
        <f>[11]Production!$FO$5</f>
        <v>0.11786483670087849</v>
      </c>
      <c r="H57" s="48">
        <f t="shared" si="7"/>
        <v>0.1339424364455695</v>
      </c>
      <c r="I57" s="66">
        <f t="shared" si="8"/>
        <v>1087482245.1633904</v>
      </c>
    </row>
    <row r="58" spans="1:9" ht="48">
      <c r="A58" s="104" t="s">
        <v>513</v>
      </c>
      <c r="B58" s="28">
        <f>data_2tier!B37*data_3tier!B50</f>
        <v>126588575.81190193</v>
      </c>
      <c r="C58" s="43" t="s">
        <v>7</v>
      </c>
      <c r="D58" s="28"/>
      <c r="E58" s="28"/>
      <c r="F58" s="28" t="s">
        <v>432</v>
      </c>
      <c r="G58" s="34">
        <f>[11]Production!$FT$5</f>
        <v>1.0363669924639878E-2</v>
      </c>
      <c r="H58" s="48">
        <f t="shared" si="7"/>
        <v>1.1777348012170881E-2</v>
      </c>
      <c r="I58" s="66">
        <f t="shared" si="8"/>
        <v>95620605.375137106</v>
      </c>
    </row>
    <row r="59" spans="1:9" ht="48">
      <c r="A59" s="104" t="s">
        <v>514</v>
      </c>
      <c r="B59" s="28">
        <f>data_2tier!B38*data_3tier!B51</f>
        <v>51974324.784467004</v>
      </c>
      <c r="C59" s="43" t="s">
        <v>7</v>
      </c>
      <c r="D59" s="28"/>
      <c r="E59" s="28"/>
      <c r="F59" s="28" t="s">
        <v>29</v>
      </c>
      <c r="G59" s="34">
        <f>[11]Production!$FU$5</f>
        <v>1.7561573755028433E-2</v>
      </c>
      <c r="H59" s="48">
        <f t="shared" si="7"/>
        <v>1.9957096979964211E-2</v>
      </c>
      <c r="I59" s="66">
        <f t="shared" si="8"/>
        <v>162032207.31716713</v>
      </c>
    </row>
    <row r="60" spans="1:9" ht="48">
      <c r="A60" s="104" t="s">
        <v>515</v>
      </c>
      <c r="B60" s="28">
        <f>data_2tier!B39*data_3tier!B52</f>
        <v>475654318.28895026</v>
      </c>
      <c r="C60" s="43" t="s">
        <v>7</v>
      </c>
      <c r="D60" s="28"/>
      <c r="E60" s="28"/>
      <c r="F60" s="28" t="s">
        <v>161</v>
      </c>
      <c r="G60" s="34">
        <f>[11]Production!$GS$5</f>
        <v>3.3255786417339443E-2</v>
      </c>
      <c r="H60" s="48">
        <f t="shared" si="7"/>
        <v>3.7792111568918173E-2</v>
      </c>
      <c r="I60" s="66">
        <f t="shared" si="8"/>
        <v>306835170.60803705</v>
      </c>
    </row>
    <row r="61" spans="1:9" ht="48">
      <c r="A61" s="104" t="s">
        <v>516</v>
      </c>
      <c r="B61" s="28">
        <f>data_2tier!B40*data_3tier!B53</f>
        <v>4480590523.5975266</v>
      </c>
      <c r="C61" s="43" t="s">
        <v>7</v>
      </c>
      <c r="D61" s="28"/>
      <c r="E61" s="28"/>
      <c r="F61" s="28" t="s">
        <v>147</v>
      </c>
      <c r="G61" s="34">
        <f>[11]Production!$HJ$5</f>
        <v>2.6178689243712291E-2</v>
      </c>
      <c r="H61" s="48">
        <f t="shared" si="7"/>
        <v>2.9749648142753608E-2</v>
      </c>
      <c r="I61" s="66">
        <f t="shared" si="8"/>
        <v>241538193.67209756</v>
      </c>
    </row>
    <row r="62" spans="1:9" ht="48">
      <c r="A62" s="104" t="s">
        <v>507</v>
      </c>
      <c r="B62" s="28">
        <f>SUM(B54:B61)</f>
        <v>8119026904.556221</v>
      </c>
      <c r="C62" s="43" t="s">
        <v>7</v>
      </c>
      <c r="D62" s="28"/>
      <c r="E62" s="28"/>
      <c r="F62" s="28" t="s">
        <v>20</v>
      </c>
      <c r="G62" s="34">
        <f>[11]Production!$HT$5</f>
        <v>3.1342791709092425E-2</v>
      </c>
      <c r="H62" s="48">
        <f t="shared" si="7"/>
        <v>3.5618170813539539E-2</v>
      </c>
      <c r="I62" s="66">
        <f t="shared" si="8"/>
        <v>289184887.12620664</v>
      </c>
    </row>
    <row r="63" spans="1:9" ht="32">
      <c r="A63" s="104" t="s">
        <v>517</v>
      </c>
      <c r="B63" s="28">
        <f>B46*data_2tier!B42</f>
        <v>273217643.24324322</v>
      </c>
      <c r="C63" s="43" t="s">
        <v>7</v>
      </c>
      <c r="D63" s="28"/>
      <c r="E63" s="28"/>
      <c r="F63" s="28" t="s">
        <v>27</v>
      </c>
      <c r="G63" s="34">
        <f>SUM(G46:G62)</f>
        <v>0.87996634844533017</v>
      </c>
      <c r="H63" s="28"/>
      <c r="I63" s="29"/>
    </row>
    <row r="64" spans="1:9" ht="32">
      <c r="A64" s="104" t="s">
        <v>518</v>
      </c>
      <c r="B64" s="28">
        <f>B47*data_2tier!B43</f>
        <v>130874835.6739105</v>
      </c>
      <c r="C64" s="43" t="s">
        <v>7</v>
      </c>
      <c r="D64" s="28"/>
      <c r="E64" s="28"/>
      <c r="F64" s="28"/>
      <c r="G64" s="28"/>
      <c r="H64" s="28"/>
      <c r="I64" s="29"/>
    </row>
    <row r="65" spans="1:9" ht="32">
      <c r="A65" s="104" t="s">
        <v>519</v>
      </c>
      <c r="B65" s="28">
        <f>B48*data_2tier!B44</f>
        <v>394761576.87780303</v>
      </c>
      <c r="C65" s="43" t="s">
        <v>7</v>
      </c>
      <c r="D65" s="28"/>
      <c r="E65" s="28"/>
      <c r="F65" s="28"/>
      <c r="G65" s="28"/>
      <c r="H65" s="28"/>
      <c r="I65" s="29"/>
    </row>
    <row r="66" spans="1:9" ht="32">
      <c r="A66" s="104" t="s">
        <v>520</v>
      </c>
      <c r="B66" s="28">
        <f>B49*data_2tier!B45</f>
        <v>38361685216.852837</v>
      </c>
      <c r="C66" s="43" t="s">
        <v>7</v>
      </c>
      <c r="D66" s="28"/>
      <c r="E66" s="28"/>
      <c r="F66" s="28"/>
      <c r="G66" s="28"/>
      <c r="H66" s="28"/>
      <c r="I66" s="29"/>
    </row>
    <row r="67" spans="1:9" ht="32">
      <c r="A67" s="104" t="s">
        <v>521</v>
      </c>
      <c r="B67" s="28">
        <f>B50*data_2tier!B46</f>
        <v>512034559.85455203</v>
      </c>
      <c r="C67" s="43" t="s">
        <v>7</v>
      </c>
      <c r="D67" s="28"/>
      <c r="E67" s="28"/>
      <c r="F67" s="28"/>
      <c r="G67" s="28"/>
      <c r="H67" s="28"/>
      <c r="I67" s="29"/>
    </row>
    <row r="68" spans="1:9" ht="32">
      <c r="A68" s="104" t="s">
        <v>522</v>
      </c>
      <c r="B68" s="28">
        <f>B51*data_2tier!B47</f>
        <v>278203567.97756404</v>
      </c>
      <c r="C68" s="43" t="s">
        <v>7</v>
      </c>
      <c r="D68" s="28"/>
      <c r="E68" s="28"/>
      <c r="F68" s="28"/>
      <c r="G68" s="28"/>
      <c r="H68" s="28"/>
      <c r="I68" s="29"/>
    </row>
    <row r="69" spans="1:9" ht="32">
      <c r="A69" s="104" t="s">
        <v>523</v>
      </c>
      <c r="B69" s="28">
        <f>B52*data_2tier!B48</f>
        <v>5650913464.6794109</v>
      </c>
      <c r="C69" s="43" t="s">
        <v>7</v>
      </c>
      <c r="D69" s="28"/>
      <c r="E69" s="28"/>
      <c r="F69" s="28"/>
      <c r="G69" s="28"/>
      <c r="H69" s="28"/>
      <c r="I69" s="29"/>
    </row>
    <row r="70" spans="1:9" ht="32">
      <c r="A70" s="104" t="s">
        <v>524</v>
      </c>
      <c r="B70" s="28">
        <f>B53*data_2tier!B49</f>
        <v>53230735738.072685</v>
      </c>
      <c r="C70" s="43" t="s">
        <v>7</v>
      </c>
      <c r="D70" s="28"/>
      <c r="E70" s="28"/>
      <c r="F70" s="28"/>
      <c r="G70" s="28"/>
      <c r="H70" s="28"/>
      <c r="I70" s="29"/>
    </row>
    <row r="71" spans="1:9" ht="48">
      <c r="A71" s="116" t="s">
        <v>508</v>
      </c>
      <c r="B71" s="112">
        <f>SUM(B63:B70)</f>
        <v>98832426603.23201</v>
      </c>
      <c r="C71" s="132" t="s">
        <v>7</v>
      </c>
      <c r="D71" s="37"/>
      <c r="E71" s="37"/>
      <c r="F71" s="37"/>
      <c r="G71" s="37"/>
      <c r="H71" s="37"/>
      <c r="I71" s="42"/>
    </row>
    <row r="72" spans="1:9">
      <c r="A72" s="104"/>
    </row>
    <row r="73" spans="1:9">
      <c r="A73" s="84" t="s">
        <v>526</v>
      </c>
    </row>
    <row r="74" spans="1:9" ht="32">
      <c r="A74" s="60" t="s">
        <v>0</v>
      </c>
      <c r="B74" s="23" t="s">
        <v>1</v>
      </c>
      <c r="C74" s="23" t="s">
        <v>558</v>
      </c>
      <c r="D74" s="23" t="s">
        <v>3</v>
      </c>
      <c r="E74" s="23"/>
      <c r="F74" s="114" t="s">
        <v>425</v>
      </c>
      <c r="G74" s="114" t="s">
        <v>424</v>
      </c>
      <c r="H74" s="114" t="s">
        <v>429</v>
      </c>
      <c r="I74" s="115" t="s">
        <v>527</v>
      </c>
    </row>
    <row r="75" spans="1:9" ht="48">
      <c r="A75" s="67" t="s">
        <v>1042</v>
      </c>
      <c r="B75" s="48">
        <f>'[1]Weight%'!$B$116</f>
        <v>0.13439999999999999</v>
      </c>
      <c r="C75" s="28" t="s">
        <v>33</v>
      </c>
      <c r="D75" s="32" t="s">
        <v>208</v>
      </c>
      <c r="E75" s="28"/>
      <c r="F75" s="28" t="s">
        <v>546</v>
      </c>
      <c r="G75" s="34">
        <f>[12]Production!$O$5</f>
        <v>8.4778155225710236E-2</v>
      </c>
      <c r="H75" s="48">
        <f t="shared" ref="H75:H94" si="9">G75/$G$95</f>
        <v>9.2351220814696253E-2</v>
      </c>
      <c r="I75" s="66">
        <f t="shared" ref="I75:I94" si="10">H75*$B$84</f>
        <v>113700042.26614773</v>
      </c>
    </row>
    <row r="76" spans="1:9" ht="48">
      <c r="A76" s="104" t="s">
        <v>528</v>
      </c>
      <c r="B76" s="65">
        <f>$B$75*data_2tier!B137</f>
        <v>15322979.865600001</v>
      </c>
      <c r="C76" s="43" t="s">
        <v>7</v>
      </c>
      <c r="D76" s="28"/>
      <c r="E76" s="28"/>
      <c r="F76" s="28" t="s">
        <v>141</v>
      </c>
      <c r="G76" s="34">
        <f>[12]Production!$S$5</f>
        <v>2.2639594509728227E-2</v>
      </c>
      <c r="H76" s="48">
        <f t="shared" si="9"/>
        <v>2.4661944886116515E-2</v>
      </c>
      <c r="I76" s="66">
        <f t="shared" si="10"/>
        <v>30363043.944413465</v>
      </c>
    </row>
    <row r="77" spans="1:9" ht="48">
      <c r="A77" s="104" t="s">
        <v>529</v>
      </c>
      <c r="B77" s="65">
        <f>$B$75*data_2tier!B138</f>
        <v>5056348.4164559087</v>
      </c>
      <c r="C77" s="43" t="s">
        <v>7</v>
      </c>
      <c r="D77" s="28"/>
      <c r="E77" s="28"/>
      <c r="F77" s="28" t="s">
        <v>88</v>
      </c>
      <c r="G77" s="34">
        <f>[12]Production!$AM$5</f>
        <v>0.13876444299487878</v>
      </c>
      <c r="H77" s="48">
        <f t="shared" si="9"/>
        <v>0.15115999731452073</v>
      </c>
      <c r="I77" s="66">
        <f t="shared" si="10"/>
        <v>186103637.09319541</v>
      </c>
    </row>
    <row r="78" spans="1:9" ht="48">
      <c r="A78" s="104" t="s">
        <v>530</v>
      </c>
      <c r="B78" s="65">
        <f>$B$75*data_2tier!B139</f>
        <v>11534551.500119075</v>
      </c>
      <c r="C78" s="43" t="s">
        <v>7</v>
      </c>
      <c r="D78" s="28"/>
      <c r="E78" s="28"/>
      <c r="F78" s="28" t="s">
        <v>17</v>
      </c>
      <c r="G78" s="34">
        <f>[12]Production!$AT$5</f>
        <v>9.4554877723962066E-2</v>
      </c>
      <c r="H78" s="48">
        <f t="shared" si="9"/>
        <v>0.1030012786730707</v>
      </c>
      <c r="I78" s="66">
        <f t="shared" si="10"/>
        <v>126812072.81595284</v>
      </c>
    </row>
    <row r="79" spans="1:9" ht="48">
      <c r="A79" s="104" t="s">
        <v>531</v>
      </c>
      <c r="B79" s="65">
        <f>$B$75*data_2tier!B140</f>
        <v>444567338.94144005</v>
      </c>
      <c r="C79" s="43" t="s">
        <v>7</v>
      </c>
      <c r="D79" s="28"/>
      <c r="E79" s="28"/>
      <c r="F79" s="28" t="s">
        <v>26</v>
      </c>
      <c r="G79" s="34">
        <f>[12]Production!$BW$5</f>
        <v>6.0798155989315948E-2</v>
      </c>
      <c r="H79" s="48">
        <f t="shared" si="9"/>
        <v>6.6229135488346857E-2</v>
      </c>
      <c r="I79" s="66">
        <f t="shared" si="10"/>
        <v>81539317.378218576</v>
      </c>
    </row>
    <row r="80" spans="1:9" ht="48">
      <c r="A80" s="104" t="s">
        <v>532</v>
      </c>
      <c r="B80" s="65">
        <f>$B$75*data_2tier!B141</f>
        <v>9548814.4124286287</v>
      </c>
      <c r="C80" s="43" t="s">
        <v>7</v>
      </c>
      <c r="D80" s="28"/>
      <c r="E80" s="28"/>
      <c r="F80" s="28" t="s">
        <v>28</v>
      </c>
      <c r="G80" s="34">
        <f>[12]Production!$CE$5</f>
        <v>2.2464032224676554E-2</v>
      </c>
      <c r="H80" s="48">
        <f t="shared" si="9"/>
        <v>2.4470699968007905E-2</v>
      </c>
      <c r="I80" s="66">
        <f t="shared" si="10"/>
        <v>30127588.959841408</v>
      </c>
    </row>
    <row r="81" spans="1:9" ht="48">
      <c r="A81" s="104" t="s">
        <v>533</v>
      </c>
      <c r="B81" s="65">
        <f>$B$75*data_2tier!B142</f>
        <v>3049294.1832894515</v>
      </c>
      <c r="C81" s="43" t="s">
        <v>7</v>
      </c>
      <c r="D81" s="28"/>
      <c r="E81" s="28"/>
      <c r="F81" s="28" t="s">
        <v>21</v>
      </c>
      <c r="G81" s="34">
        <f>[12]Production!$CU$5</f>
        <v>3.6875057666796822E-2</v>
      </c>
      <c r="H81" s="48">
        <f t="shared" si="9"/>
        <v>4.0169033922411369E-2</v>
      </c>
      <c r="I81" s="66">
        <f t="shared" si="10"/>
        <v>49454905.029709071</v>
      </c>
    </row>
    <row r="82" spans="1:9" ht="48">
      <c r="A82" s="104" t="s">
        <v>534</v>
      </c>
      <c r="B82" s="65">
        <f>$B$75*data_2tier!B143</f>
        <v>25912972.244862497</v>
      </c>
      <c r="C82" s="43" t="s">
        <v>7</v>
      </c>
      <c r="D82" s="28"/>
      <c r="E82" s="28"/>
      <c r="F82" s="28" t="s">
        <v>142</v>
      </c>
      <c r="G82" s="34">
        <f>[12]Production!$DB$5</f>
        <v>3.3933921054220668E-2</v>
      </c>
      <c r="H82" s="48">
        <f t="shared" si="9"/>
        <v>3.6965171370424203E-2</v>
      </c>
      <c r="I82" s="66">
        <f t="shared" si="10"/>
        <v>45510405.927669056</v>
      </c>
    </row>
    <row r="83" spans="1:9" ht="48">
      <c r="A83" s="104" t="s">
        <v>535</v>
      </c>
      <c r="B83" s="65">
        <f>$B$75*data_2tier!B144</f>
        <v>716177589.29182875</v>
      </c>
      <c r="C83" s="43" t="s">
        <v>7</v>
      </c>
      <c r="D83" s="28"/>
      <c r="E83" s="28"/>
      <c r="F83" s="28" t="s">
        <v>18</v>
      </c>
      <c r="G83" s="34">
        <f>[12]Production!$DE$5</f>
        <v>2.9768132234784916E-2</v>
      </c>
      <c r="H83" s="48">
        <f t="shared" si="9"/>
        <v>3.2427260842566516E-2</v>
      </c>
      <c r="I83" s="66">
        <f t="shared" si="10"/>
        <v>39923467.127447926</v>
      </c>
    </row>
    <row r="84" spans="1:9" ht="48">
      <c r="A84" s="104" t="s">
        <v>536</v>
      </c>
      <c r="B84" s="108">
        <f>SUM(B76:B83)</f>
        <v>1231169888.8560243</v>
      </c>
      <c r="C84" s="43" t="s">
        <v>7</v>
      </c>
      <c r="D84" s="28"/>
      <c r="E84" s="28"/>
      <c r="F84" s="28" t="s">
        <v>426</v>
      </c>
      <c r="G84" s="34">
        <f>[12]Production!$DX$5</f>
        <v>6.9505774637131104E-2</v>
      </c>
      <c r="H84" s="48">
        <f t="shared" si="9"/>
        <v>7.5714588555514703E-2</v>
      </c>
      <c r="I84" s="66">
        <f t="shared" si="10"/>
        <v>93217521.576672643</v>
      </c>
    </row>
    <row r="85" spans="1:9" ht="32">
      <c r="A85" s="104" t="s">
        <v>537</v>
      </c>
      <c r="B85" s="65">
        <f>$B$75*data_2tier!B173</f>
        <v>55080676.877837837</v>
      </c>
      <c r="C85" s="43" t="s">
        <v>7</v>
      </c>
      <c r="D85" s="28"/>
      <c r="E85" s="28"/>
      <c r="F85" s="28" t="s">
        <v>86</v>
      </c>
      <c r="G85" s="34">
        <f>[12]Production!$EO$5</f>
        <v>5.1223085208196892E-2</v>
      </c>
      <c r="H85" s="48">
        <f t="shared" si="9"/>
        <v>5.5798742497732409E-2</v>
      </c>
      <c r="I85" s="66">
        <f t="shared" si="10"/>
        <v>68697731.599239126</v>
      </c>
    </row>
    <row r="86" spans="1:9" ht="48">
      <c r="A86" s="104" t="s">
        <v>538</v>
      </c>
      <c r="B86" s="65">
        <f>$B$75*data_2tier!B174</f>
        <v>18553571.29878068</v>
      </c>
      <c r="C86" s="43" t="s">
        <v>7</v>
      </c>
      <c r="D86" s="28"/>
      <c r="E86" s="28"/>
      <c r="F86" s="28" t="s">
        <v>23</v>
      </c>
      <c r="G86" s="34">
        <f>[12]Production!$FO$5</f>
        <v>1.7039037309580767E-2</v>
      </c>
      <c r="H86" s="48">
        <f t="shared" si="9"/>
        <v>1.8561100944665652E-2</v>
      </c>
      <c r="I86" s="66">
        <f t="shared" si="10"/>
        <v>22851868.587089457</v>
      </c>
    </row>
    <row r="87" spans="1:9" ht="32">
      <c r="A87" s="104" t="s">
        <v>539</v>
      </c>
      <c r="B87" s="65">
        <f>$B$75*data_2tier!B175</f>
        <v>55963677.240982942</v>
      </c>
      <c r="C87" s="43" t="s">
        <v>7</v>
      </c>
      <c r="D87" s="28"/>
      <c r="E87" s="28"/>
      <c r="F87" s="28" t="s">
        <v>29</v>
      </c>
      <c r="G87" s="34">
        <f>[12]Production!$FU$5</f>
        <v>1.9320904457363144E-2</v>
      </c>
      <c r="H87" s="48">
        <f t="shared" si="9"/>
        <v>2.1046802789363769E-2</v>
      </c>
      <c r="I87" s="66">
        <f t="shared" si="10"/>
        <v>25912189.850955654</v>
      </c>
    </row>
    <row r="88" spans="1:9" ht="48">
      <c r="A88" s="104" t="s">
        <v>540</v>
      </c>
      <c r="B88" s="65">
        <f>$B$75*data_2tier!B176</f>
        <v>6444763116.4312763</v>
      </c>
      <c r="C88" s="43" t="s">
        <v>7</v>
      </c>
      <c r="D88" s="28"/>
      <c r="E88" s="28"/>
      <c r="F88" s="28" t="s">
        <v>47</v>
      </c>
      <c r="G88" s="34">
        <f>[12]Production!$GK$5</f>
        <v>2.6174691073324648E-2</v>
      </c>
      <c r="H88" s="48">
        <f t="shared" si="9"/>
        <v>2.8512824661416931E-2</v>
      </c>
      <c r="I88" s="66">
        <f t="shared" si="10"/>
        <v>35104131.169367991</v>
      </c>
    </row>
    <row r="89" spans="1:9" ht="32">
      <c r="A89" s="104" t="s">
        <v>541</v>
      </c>
      <c r="B89" s="65">
        <f>$B$75*data_2tier!B177</f>
        <v>40595512.107970707</v>
      </c>
      <c r="C89" s="43" t="s">
        <v>7</v>
      </c>
      <c r="D89" s="28"/>
      <c r="E89" s="28"/>
      <c r="F89" s="28" t="s">
        <v>463</v>
      </c>
      <c r="G89" s="34">
        <f>[12]Production!$GN$5</f>
        <v>2.8863732962735072E-2</v>
      </c>
      <c r="H89" s="48">
        <f t="shared" si="9"/>
        <v>3.1442073365257547E-2</v>
      </c>
      <c r="I89" s="66">
        <f t="shared" si="10"/>
        <v>38710533.970507093</v>
      </c>
    </row>
    <row r="90" spans="1:9" ht="32">
      <c r="A90" s="104" t="s">
        <v>542</v>
      </c>
      <c r="B90" s="65">
        <f>$B$75*data_2tier!B178</f>
        <v>17155247.014023978</v>
      </c>
      <c r="C90" s="43" t="s">
        <v>7</v>
      </c>
      <c r="D90" s="28"/>
      <c r="E90" s="28"/>
      <c r="F90" s="28" t="s">
        <v>161</v>
      </c>
      <c r="G90" s="34">
        <f>[12]Production!$GS$5</f>
        <v>8.248698576889367E-2</v>
      </c>
      <c r="H90" s="48">
        <f t="shared" si="9"/>
        <v>8.9855385704023946E-2</v>
      </c>
      <c r="I90" s="66">
        <f t="shared" si="10"/>
        <v>110627245.23033835</v>
      </c>
    </row>
    <row r="91" spans="1:9" ht="48">
      <c r="A91" s="104" t="s">
        <v>543</v>
      </c>
      <c r="B91" s="65">
        <f>$B$75*data_2tier!B179</f>
        <v>323570003.48455942</v>
      </c>
      <c r="C91" s="43" t="s">
        <v>7</v>
      </c>
      <c r="D91" s="28"/>
      <c r="E91" s="28"/>
      <c r="F91" s="28" t="s">
        <v>468</v>
      </c>
      <c r="G91" s="34">
        <f>[12]Production!$HH$5</f>
        <v>1.4885817013896584E-2</v>
      </c>
      <c r="H91" s="48">
        <f t="shared" si="9"/>
        <v>1.6215537721922742E-2</v>
      </c>
      <c r="I91" s="66">
        <f t="shared" si="10"/>
        <v>19964081.774840292</v>
      </c>
    </row>
    <row r="92" spans="1:9" ht="48">
      <c r="A92" s="104" t="s">
        <v>544</v>
      </c>
      <c r="B92" s="65">
        <f>$B$75*data_2tier!B180</f>
        <v>8942763603.996212</v>
      </c>
      <c r="C92" s="43" t="s">
        <v>7</v>
      </c>
      <c r="D92" s="28"/>
      <c r="E92" s="28"/>
      <c r="F92" s="28" t="s">
        <v>147</v>
      </c>
      <c r="G92" s="34">
        <f>[12]Production!$HJ$5</f>
        <v>1.0037354721672035E-2</v>
      </c>
      <c r="H92" s="48">
        <f t="shared" si="9"/>
        <v>1.0933971844853887E-2</v>
      </c>
      <c r="I92" s="66">
        <f t="shared" si="10"/>
        <v>13461576.90098366</v>
      </c>
    </row>
    <row r="93" spans="1:9" ht="48">
      <c r="A93" s="104" t="s">
        <v>545</v>
      </c>
      <c r="B93" s="108">
        <f>SUM(B85:B92)</f>
        <v>15898445408.451643</v>
      </c>
      <c r="C93" s="43" t="s">
        <v>7</v>
      </c>
      <c r="D93" s="28"/>
      <c r="E93" s="28"/>
      <c r="F93" s="28" t="s">
        <v>25</v>
      </c>
      <c r="G93" s="34">
        <f>[12]Production!$HR$5</f>
        <v>2.496629749805182E-2</v>
      </c>
      <c r="H93" s="48">
        <f t="shared" si="9"/>
        <v>2.7196487668662485E-2</v>
      </c>
      <c r="I93" s="66">
        <f t="shared" si="10"/>
        <v>33483496.700301427</v>
      </c>
    </row>
    <row r="94" spans="1:9">
      <c r="A94" s="30"/>
      <c r="B94" s="28"/>
      <c r="C94" s="28"/>
      <c r="D94" s="28"/>
      <c r="E94" s="28"/>
      <c r="F94" s="28" t="s">
        <v>20</v>
      </c>
      <c r="G94" s="34">
        <f>[12]Production!$HT$5</f>
        <v>4.8917075023711003E-2</v>
      </c>
      <c r="H94" s="48">
        <f t="shared" si="9"/>
        <v>5.3286740966425078E-2</v>
      </c>
      <c r="I94" s="66">
        <f t="shared" si="10"/>
        <v>65605030.953133315</v>
      </c>
    </row>
    <row r="95" spans="1:9">
      <c r="A95" s="39"/>
      <c r="B95" s="37"/>
      <c r="C95" s="37"/>
      <c r="D95" s="37"/>
      <c r="E95" s="37"/>
      <c r="F95" s="37" t="s">
        <v>27</v>
      </c>
      <c r="G95" s="40">
        <f>SUM(G75:G94)</f>
        <v>0.91799712529863076</v>
      </c>
      <c r="H95" s="37"/>
      <c r="I95" s="42"/>
    </row>
    <row r="97" spans="1:9">
      <c r="A97" s="84" t="s">
        <v>553</v>
      </c>
    </row>
    <row r="98" spans="1:9" ht="32">
      <c r="A98" s="60" t="s">
        <v>0</v>
      </c>
      <c r="B98" s="23" t="s">
        <v>1</v>
      </c>
      <c r="C98" s="23" t="s">
        <v>558</v>
      </c>
      <c r="D98" s="23" t="s">
        <v>3</v>
      </c>
      <c r="E98" s="23"/>
      <c r="F98" s="114" t="s">
        <v>425</v>
      </c>
      <c r="G98" s="114" t="s">
        <v>424</v>
      </c>
      <c r="H98" s="114" t="s">
        <v>429</v>
      </c>
      <c r="I98" s="115" t="s">
        <v>527</v>
      </c>
    </row>
    <row r="99" spans="1:9" ht="80">
      <c r="A99" s="67" t="s">
        <v>554</v>
      </c>
      <c r="B99" s="82">
        <f>'[1]Weight%'!$B$114</f>
        <v>1</v>
      </c>
      <c r="C99" s="28" t="s">
        <v>33</v>
      </c>
      <c r="D99" s="32" t="s">
        <v>208</v>
      </c>
      <c r="E99" s="28"/>
      <c r="F99" s="28" t="s">
        <v>88</v>
      </c>
      <c r="G99" s="82">
        <f>[13]Production!$AM$9</f>
        <v>1.0529789878099325E-2</v>
      </c>
      <c r="H99" s="48">
        <f t="shared" ref="H99:H117" si="11">G99/$G$118</f>
        <v>1.1453512788037308E-2</v>
      </c>
      <c r="I99" s="66">
        <f t="shared" ref="I99:I117" si="12">$B$100*H99</f>
        <v>713999234.36260939</v>
      </c>
    </row>
    <row r="100" spans="1:9" ht="48">
      <c r="A100" s="104" t="s">
        <v>555</v>
      </c>
      <c r="B100" s="65">
        <f>B99*data_2tier!B304</f>
        <v>62338886556.127151</v>
      </c>
      <c r="C100" s="43" t="s">
        <v>7</v>
      </c>
      <c r="D100" s="28"/>
      <c r="E100" s="28"/>
      <c r="F100" s="28" t="s">
        <v>17</v>
      </c>
      <c r="G100" s="82">
        <f>[13]Production!$AT$9</f>
        <v>0.22640162942117592</v>
      </c>
      <c r="H100" s="48">
        <f t="shared" si="11"/>
        <v>0.24626264985602803</v>
      </c>
      <c r="I100" s="66">
        <f t="shared" si="12"/>
        <v>15351739392.386194</v>
      </c>
    </row>
    <row r="101" spans="1:9" ht="48">
      <c r="A101" s="104" t="s">
        <v>556</v>
      </c>
      <c r="B101" s="65">
        <f>B99*data_2tier!B311</f>
        <v>773360578125.77661</v>
      </c>
      <c r="C101" s="43" t="s">
        <v>7</v>
      </c>
      <c r="D101" s="28"/>
      <c r="E101" s="28"/>
      <c r="F101" s="28" t="s">
        <v>22</v>
      </c>
      <c r="G101" s="82">
        <f>[13]Production!$BG$9</f>
        <v>3.852909114336342E-2</v>
      </c>
      <c r="H101" s="48">
        <f t="shared" si="11"/>
        <v>4.1909045026606306E-2</v>
      </c>
      <c r="I101" s="66">
        <f t="shared" si="12"/>
        <v>2612563203.5892353</v>
      </c>
    </row>
    <row r="102" spans="1:9">
      <c r="A102" s="30"/>
      <c r="B102" s="28"/>
      <c r="C102" s="28"/>
      <c r="D102" s="28"/>
      <c r="E102" s="28"/>
      <c r="F102" s="28" t="s">
        <v>26</v>
      </c>
      <c r="G102" s="82">
        <f>[13]Production!$BW$9</f>
        <v>6.0472516687118463E-2</v>
      </c>
      <c r="H102" s="48">
        <f t="shared" si="11"/>
        <v>6.577745151793403E-2</v>
      </c>
      <c r="I102" s="66">
        <f t="shared" si="12"/>
        <v>4100493088.1276431</v>
      </c>
    </row>
    <row r="103" spans="1:9">
      <c r="A103" s="30"/>
      <c r="B103" s="28"/>
      <c r="C103" s="28"/>
      <c r="D103" s="28"/>
      <c r="E103" s="28"/>
      <c r="F103" s="28" t="s">
        <v>28</v>
      </c>
      <c r="G103" s="82">
        <f>[13]Production!$CE$9</f>
        <v>8.3152505212398836E-2</v>
      </c>
      <c r="H103" s="48">
        <f t="shared" si="11"/>
        <v>9.0447035774987319E-2</v>
      </c>
      <c r="I103" s="66">
        <f t="shared" si="12"/>
        <v>5638367502.5149088</v>
      </c>
    </row>
    <row r="104" spans="1:9">
      <c r="A104" s="30"/>
      <c r="B104" s="28"/>
      <c r="C104" s="28"/>
      <c r="D104" s="28"/>
      <c r="E104" s="28"/>
      <c r="F104" s="28" t="s">
        <v>21</v>
      </c>
      <c r="G104" s="82">
        <f>[13]Production!$CU$9</f>
        <v>2.4493063962143211E-2</v>
      </c>
      <c r="H104" s="48">
        <f t="shared" si="11"/>
        <v>2.6641711236051774E-2</v>
      </c>
      <c r="I104" s="66">
        <f t="shared" si="12"/>
        <v>1660814614.4053297</v>
      </c>
    </row>
    <row r="105" spans="1:9">
      <c r="A105" s="30"/>
      <c r="B105" s="28"/>
      <c r="C105" s="28"/>
      <c r="D105" s="28"/>
      <c r="E105" s="28"/>
      <c r="F105" s="28" t="s">
        <v>142</v>
      </c>
      <c r="G105" s="82">
        <f>[13]Production!$DB$9</f>
        <v>3.7954646678683202E-2</v>
      </c>
      <c r="H105" s="48">
        <f t="shared" si="11"/>
        <v>4.1284207579857582E-2</v>
      </c>
      <c r="I105" s="66">
        <f t="shared" si="12"/>
        <v>2573611532.8803463</v>
      </c>
    </row>
    <row r="106" spans="1:9">
      <c r="A106" s="30"/>
      <c r="B106" s="28"/>
      <c r="C106" s="28"/>
      <c r="D106" s="28"/>
      <c r="E106" s="28"/>
      <c r="F106" s="28" t="s">
        <v>18</v>
      </c>
      <c r="G106" s="82">
        <f>[13]Production!$DE$9</f>
        <v>9.4548790744630476E-2</v>
      </c>
      <c r="H106" s="48">
        <f t="shared" si="11"/>
        <v>0.10284305730918915</v>
      </c>
      <c r="I106" s="66">
        <f t="shared" si="12"/>
        <v>6411121682.682826</v>
      </c>
    </row>
    <row r="107" spans="1:9">
      <c r="A107" s="30"/>
      <c r="B107" s="28"/>
      <c r="C107" s="28"/>
      <c r="D107" s="28"/>
      <c r="E107" s="28"/>
      <c r="F107" s="28" t="s">
        <v>19</v>
      </c>
      <c r="G107" s="82">
        <f>[13]Production!$DJ$9</f>
        <v>2.9298061513066263E-2</v>
      </c>
      <c r="H107" s="48">
        <f t="shared" si="11"/>
        <v>3.1868225870541236E-2</v>
      </c>
      <c r="I107" s="66">
        <f t="shared" si="12"/>
        <v>1986629717.2887065</v>
      </c>
    </row>
    <row r="108" spans="1:9">
      <c r="A108" s="30"/>
      <c r="B108" s="28"/>
      <c r="C108" s="28"/>
      <c r="D108" s="28"/>
      <c r="E108" s="28"/>
      <c r="F108" s="28" t="s">
        <v>163</v>
      </c>
      <c r="G108" s="82">
        <f>[13]Production!$ED$9</f>
        <v>8.1963532929110808E-2</v>
      </c>
      <c r="H108" s="48">
        <f t="shared" si="11"/>
        <v>8.9153761226405406E-2</v>
      </c>
      <c r="I108" s="66">
        <f t="shared" si="12"/>
        <v>5557746207.1449337</v>
      </c>
    </row>
    <row r="109" spans="1:9">
      <c r="A109" s="30"/>
      <c r="B109" s="28"/>
      <c r="C109" s="28"/>
      <c r="D109" s="28"/>
      <c r="E109" s="28"/>
      <c r="F109" s="28" t="s">
        <v>86</v>
      </c>
      <c r="G109" s="82">
        <f>[13]Production!$EO$9</f>
        <v>1.1255042588492159E-2</v>
      </c>
      <c r="H109" s="48">
        <f t="shared" si="11"/>
        <v>1.2242388092217874E-2</v>
      </c>
      <c r="I109" s="66">
        <f t="shared" si="12"/>
        <v>763176842.45685196</v>
      </c>
    </row>
    <row r="110" spans="1:9">
      <c r="A110" s="30"/>
      <c r="B110" s="28"/>
      <c r="C110" s="28"/>
      <c r="D110" s="28"/>
      <c r="E110" s="28"/>
      <c r="F110" s="28" t="s">
        <v>23</v>
      </c>
      <c r="G110" s="82">
        <f>[13]Production!$FO$9</f>
        <v>1.8767619490367347E-2</v>
      </c>
      <c r="H110" s="48">
        <f t="shared" si="11"/>
        <v>2.0414003728699382E-2</v>
      </c>
      <c r="I110" s="66">
        <f t="shared" si="12"/>
        <v>1272586262.5997474</v>
      </c>
    </row>
    <row r="111" spans="1:9">
      <c r="A111" s="30"/>
      <c r="B111" s="28"/>
      <c r="C111" s="28"/>
      <c r="D111" s="28"/>
      <c r="E111" s="28"/>
      <c r="F111" s="28" t="s">
        <v>432</v>
      </c>
      <c r="G111" s="82">
        <f>[13]Production!$FT$9</f>
        <v>1.0673024757000387E-2</v>
      </c>
      <c r="H111" s="48">
        <f t="shared" si="11"/>
        <v>1.1609312907144948E-2</v>
      </c>
      <c r="I111" s="66">
        <f t="shared" si="12"/>
        <v>723711640.31309164</v>
      </c>
    </row>
    <row r="112" spans="1:9">
      <c r="A112" s="30"/>
      <c r="B112" s="28"/>
      <c r="C112" s="28"/>
      <c r="D112" s="28"/>
      <c r="E112" s="28"/>
      <c r="F112" s="28" t="s">
        <v>47</v>
      </c>
      <c r="G112" s="82">
        <f>[13]Production!$GK$9</f>
        <v>1.6532006833246748E-2</v>
      </c>
      <c r="H112" s="48">
        <f t="shared" si="11"/>
        <v>1.7982272568452261E-2</v>
      </c>
      <c r="I112" s="66">
        <f t="shared" si="12"/>
        <v>1120994849.6661026</v>
      </c>
    </row>
    <row r="113" spans="1:9">
      <c r="A113" s="30"/>
      <c r="B113" s="28"/>
      <c r="C113" s="28"/>
      <c r="D113" s="28"/>
      <c r="E113" s="28"/>
      <c r="F113" s="28" t="s">
        <v>161</v>
      </c>
      <c r="G113" s="82">
        <f>[13]Production!$GS$9</f>
        <v>1.8708453382156414E-2</v>
      </c>
      <c r="H113" s="48">
        <f t="shared" si="11"/>
        <v>2.0349647289980528E-2</v>
      </c>
      <c r="I113" s="66">
        <f t="shared" si="12"/>
        <v>1268574353.8672965</v>
      </c>
    </row>
    <row r="114" spans="1:9">
      <c r="A114" s="30"/>
      <c r="B114" s="28"/>
      <c r="C114" s="28"/>
      <c r="D114" s="28"/>
      <c r="E114" s="28"/>
      <c r="F114" s="28" t="s">
        <v>435</v>
      </c>
      <c r="G114" s="82">
        <f>[13]Production!$HC$9</f>
        <v>2.0265257600906222E-2</v>
      </c>
      <c r="H114" s="48">
        <f t="shared" si="11"/>
        <v>2.2043021729009685E-2</v>
      </c>
      <c r="I114" s="66">
        <f t="shared" si="12"/>
        <v>1374137430.9189806</v>
      </c>
    </row>
    <row r="115" spans="1:9">
      <c r="A115" s="30"/>
      <c r="B115" s="28"/>
      <c r="C115" s="28"/>
      <c r="D115" s="28"/>
      <c r="E115" s="28"/>
      <c r="F115" s="28" t="s">
        <v>147</v>
      </c>
      <c r="G115" s="82">
        <f>[13]Production!$HJ$9</f>
        <v>1.6391466199076055E-2</v>
      </c>
      <c r="H115" s="48">
        <f t="shared" si="11"/>
        <v>1.7829403045950123E-2</v>
      </c>
      <c r="I115" s="66">
        <f t="shared" si="12"/>
        <v>1111465133.8449526</v>
      </c>
    </row>
    <row r="116" spans="1:9">
      <c r="A116" s="30"/>
      <c r="B116" s="28"/>
      <c r="C116" s="28"/>
      <c r="D116" s="28"/>
      <c r="E116" s="28"/>
      <c r="F116" s="28" t="s">
        <v>25</v>
      </c>
      <c r="G116" s="82">
        <f>[13]Production!$HR$9</f>
        <v>1.3269264888237009E-2</v>
      </c>
      <c r="H116" s="48">
        <f t="shared" si="11"/>
        <v>1.443330748711104E-2</v>
      </c>
      <c r="I116" s="66">
        <f t="shared" si="12"/>
        <v>899756318.06871581</v>
      </c>
    </row>
    <row r="117" spans="1:9">
      <c r="A117" s="30"/>
      <c r="B117" s="28"/>
      <c r="C117" s="28"/>
      <c r="D117" s="28"/>
      <c r="E117" s="28"/>
      <c r="F117" s="28" t="s">
        <v>20</v>
      </c>
      <c r="G117" s="82">
        <f>[13]Production!$HT$9</f>
        <v>0.10614448897534737</v>
      </c>
      <c r="H117" s="48">
        <f t="shared" si="11"/>
        <v>0.11545598496579597</v>
      </c>
      <c r="I117" s="66">
        <f t="shared" si="12"/>
        <v>7197397549.0086765</v>
      </c>
    </row>
    <row r="118" spans="1:9">
      <c r="A118" s="39"/>
      <c r="B118" s="37"/>
      <c r="C118" s="37"/>
      <c r="D118" s="37"/>
      <c r="E118" s="37"/>
      <c r="F118" s="37" t="s">
        <v>27</v>
      </c>
      <c r="G118" s="131">
        <f>SUM(G99:G117)</f>
        <v>0.91935025288461969</v>
      </c>
      <c r="H118" s="37"/>
      <c r="I118" s="42"/>
    </row>
    <row r="120" spans="1:9">
      <c r="A120" s="20" t="s">
        <v>1043</v>
      </c>
    </row>
    <row r="121" spans="1:9">
      <c r="A121" t="s">
        <v>1044</v>
      </c>
    </row>
    <row r="122" spans="1:9">
      <c r="A122" t="s">
        <v>1045</v>
      </c>
    </row>
    <row r="123" spans="1:9">
      <c r="A123" t="s">
        <v>1039</v>
      </c>
    </row>
  </sheetData>
  <mergeCells count="4">
    <mergeCell ref="D5:D6"/>
    <mergeCell ref="O4:R4"/>
    <mergeCell ref="D22:D23"/>
    <mergeCell ref="D46:D53"/>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0"/>
  <sheetViews>
    <sheetView topLeftCell="A49" workbookViewId="0">
      <selection activeCell="D72" sqref="D72"/>
    </sheetView>
  </sheetViews>
  <sheetFormatPr baseColWidth="10" defaultRowHeight="16"/>
  <cols>
    <col min="1" max="1" width="23.54296875" customWidth="1"/>
    <col min="2" max="2" width="17" customWidth="1"/>
    <col min="4" max="4" width="18.26953125" customWidth="1"/>
    <col min="6" max="6" width="24.7265625" customWidth="1"/>
    <col min="7" max="7" width="23.26953125" customWidth="1"/>
    <col min="8" max="8" width="16.7265625" customWidth="1"/>
    <col min="9" max="9" width="21.26953125" customWidth="1"/>
    <col min="10" max="10" width="30.54296875" customWidth="1"/>
    <col min="11" max="11" width="15.81640625" customWidth="1"/>
    <col min="14" max="14" width="29.54296875" customWidth="1"/>
    <col min="15" max="15" width="14.7265625" customWidth="1"/>
    <col min="18" max="18" width="26.81640625" customWidth="1"/>
    <col min="19" max="19" width="16" customWidth="1"/>
    <col min="22" max="22" width="26.81640625" customWidth="1"/>
    <col min="23" max="23" width="14.26953125" customWidth="1"/>
    <col min="26" max="26" width="23.81640625" customWidth="1"/>
    <col min="27" max="27" width="15.26953125" customWidth="1"/>
    <col min="30" max="30" width="30.1796875" customWidth="1"/>
    <col min="31" max="31" width="13.26953125" customWidth="1"/>
    <col min="33" max="33" width="12.81640625" customWidth="1"/>
    <col min="34" max="34" width="27.26953125" customWidth="1"/>
    <col min="35" max="35" width="21.26953125" customWidth="1"/>
    <col min="36" max="36" width="19.1796875" customWidth="1"/>
    <col min="37" max="37" width="21.1796875" customWidth="1"/>
    <col min="39" max="39" width="18.453125" customWidth="1"/>
    <col min="40" max="40" width="18.81640625" customWidth="1"/>
    <col min="41" max="41" width="23.1796875" customWidth="1"/>
  </cols>
  <sheetData>
    <row r="1" spans="1:33">
      <c r="A1" s="20" t="s">
        <v>557</v>
      </c>
    </row>
    <row r="3" spans="1:33">
      <c r="A3" s="84" t="s">
        <v>547</v>
      </c>
    </row>
    <row r="4" spans="1:33">
      <c r="A4" s="60" t="s">
        <v>0</v>
      </c>
      <c r="B4" s="23" t="s">
        <v>1</v>
      </c>
      <c r="C4" s="23" t="s">
        <v>558</v>
      </c>
      <c r="D4" s="23" t="s">
        <v>3</v>
      </c>
      <c r="E4" s="23"/>
      <c r="F4" s="62" t="s">
        <v>0</v>
      </c>
      <c r="G4" s="23" t="s">
        <v>1</v>
      </c>
      <c r="H4" s="23" t="s">
        <v>558</v>
      </c>
      <c r="I4" s="23"/>
      <c r="J4" s="62" t="s">
        <v>0</v>
      </c>
      <c r="K4" s="23" t="s">
        <v>1</v>
      </c>
      <c r="L4" s="23" t="s">
        <v>558</v>
      </c>
      <c r="M4" s="23"/>
      <c r="N4" s="62" t="s">
        <v>0</v>
      </c>
      <c r="O4" s="23" t="s">
        <v>1</v>
      </c>
      <c r="P4" s="23" t="s">
        <v>558</v>
      </c>
      <c r="Q4" s="23"/>
      <c r="R4" s="62" t="s">
        <v>0</v>
      </c>
      <c r="S4" s="23" t="s">
        <v>1</v>
      </c>
      <c r="T4" s="23" t="s">
        <v>558</v>
      </c>
      <c r="U4" s="23"/>
      <c r="V4" s="62" t="s">
        <v>0</v>
      </c>
      <c r="W4" s="23" t="s">
        <v>1</v>
      </c>
      <c r="X4" s="23" t="s">
        <v>558</v>
      </c>
      <c r="Y4" s="23"/>
      <c r="Z4" s="62" t="s">
        <v>0</v>
      </c>
      <c r="AA4" s="23" t="s">
        <v>1</v>
      </c>
      <c r="AB4" s="23" t="s">
        <v>558</v>
      </c>
      <c r="AC4" s="23"/>
      <c r="AD4" s="23"/>
      <c r="AE4" s="23"/>
      <c r="AF4" s="23"/>
      <c r="AG4" s="24"/>
    </row>
    <row r="5" spans="1:33" ht="48">
      <c r="A5" s="67" t="s">
        <v>549</v>
      </c>
      <c r="B5" s="82">
        <f>'[1]Weight%'!$B$120</f>
        <v>1.4E-2</v>
      </c>
      <c r="C5" s="28" t="s">
        <v>33</v>
      </c>
      <c r="D5" s="171" t="s">
        <v>208</v>
      </c>
      <c r="E5" s="28"/>
      <c r="F5" s="96" t="s">
        <v>566</v>
      </c>
      <c r="G5" s="26">
        <f>data_2tier!B278*data_4tier!B5</f>
        <v>8920417.1007883418</v>
      </c>
      <c r="H5" s="28" t="s">
        <v>7</v>
      </c>
      <c r="I5" s="28"/>
      <c r="J5" s="96" t="s">
        <v>567</v>
      </c>
      <c r="K5" s="28">
        <f>B6*data_3tier!B100</f>
        <v>58915215.420155242</v>
      </c>
      <c r="L5" s="28" t="s">
        <v>7</v>
      </c>
      <c r="M5" s="28"/>
      <c r="N5" s="96" t="s">
        <v>569</v>
      </c>
      <c r="O5" s="28">
        <f>$B$7*data_2tier!B201</f>
        <v>115114078.23246768</v>
      </c>
      <c r="P5" s="28" t="s">
        <v>7</v>
      </c>
      <c r="Q5" s="28"/>
      <c r="R5" s="96" t="s">
        <v>571</v>
      </c>
      <c r="S5" s="28">
        <f>$B$8*data_2tier!B41</f>
        <v>44625222.758219779</v>
      </c>
      <c r="T5" s="28" t="s">
        <v>7</v>
      </c>
      <c r="U5" s="28"/>
      <c r="V5" s="96" t="s">
        <v>573</v>
      </c>
      <c r="W5" s="28">
        <f>$B$9*data_2tier!B94</f>
        <v>87812609.784390911</v>
      </c>
      <c r="X5" s="28" t="s">
        <v>7</v>
      </c>
      <c r="Y5" s="28"/>
      <c r="Z5" s="32" t="s">
        <v>550</v>
      </c>
      <c r="AA5" s="65">
        <f>G5+K5+O5+S5+W5</f>
        <v>315387543.29602194</v>
      </c>
      <c r="AB5" s="28" t="s">
        <v>7</v>
      </c>
      <c r="AC5" s="28"/>
      <c r="AD5" s="28" t="s">
        <v>1046</v>
      </c>
      <c r="AE5" s="28"/>
      <c r="AF5" s="28"/>
      <c r="AG5" s="29"/>
    </row>
    <row r="6" spans="1:33" ht="64">
      <c r="A6" s="67" t="s">
        <v>562</v>
      </c>
      <c r="B6" s="133">
        <f>'[1]Weight%'!$B$121</f>
        <v>9.4507968741325873E-4</v>
      </c>
      <c r="C6" s="28" t="s">
        <v>33</v>
      </c>
      <c r="D6" s="171"/>
      <c r="E6" s="28"/>
      <c r="F6" s="96" t="s">
        <v>589</v>
      </c>
      <c r="G6" s="26">
        <f>B5*data_2tier!B284</f>
        <v>34706600.046614788</v>
      </c>
      <c r="H6" s="28" t="s">
        <v>7</v>
      </c>
      <c r="I6" s="28"/>
      <c r="J6" s="96" t="s">
        <v>568</v>
      </c>
      <c r="K6" s="65">
        <f>B6*data_3tier!B101</f>
        <v>730887373.43284607</v>
      </c>
      <c r="L6" s="28" t="s">
        <v>7</v>
      </c>
      <c r="M6" s="28"/>
      <c r="N6" s="96" t="s">
        <v>570</v>
      </c>
      <c r="O6" s="28">
        <f>B7*data_2tier!B210</f>
        <v>1459586643.2401357</v>
      </c>
      <c r="P6" s="28" t="s">
        <v>7</v>
      </c>
      <c r="Q6" s="28"/>
      <c r="R6" s="96" t="s">
        <v>572</v>
      </c>
      <c r="S6" s="28">
        <f>B8*data_2tier!B50</f>
        <v>545445611.89566684</v>
      </c>
      <c r="T6" s="28" t="s">
        <v>7</v>
      </c>
      <c r="U6" s="28"/>
      <c r="V6" s="96" t="s">
        <v>574</v>
      </c>
      <c r="W6" s="28">
        <f>B9*data_2tier!B103</f>
        <v>1078177621.8816178</v>
      </c>
      <c r="X6" s="28" t="s">
        <v>7</v>
      </c>
      <c r="Y6" s="28"/>
      <c r="Z6" s="32" t="s">
        <v>551</v>
      </c>
      <c r="AA6" s="65">
        <f>G6+K6+O6+S6+W6</f>
        <v>3848803850.4968805</v>
      </c>
      <c r="AB6" s="28" t="s">
        <v>7</v>
      </c>
      <c r="AC6" s="28"/>
      <c r="AD6" s="28" t="s">
        <v>13</v>
      </c>
      <c r="AE6" s="32" t="s">
        <v>552</v>
      </c>
      <c r="AF6" s="93" t="s">
        <v>429</v>
      </c>
      <c r="AG6" s="58" t="s">
        <v>527</v>
      </c>
    </row>
    <row r="7" spans="1:33" ht="48">
      <c r="A7" s="67" t="s">
        <v>563</v>
      </c>
      <c r="B7" s="133">
        <f>'[1]Weight%'!$B$122</f>
        <v>2.5760742609372753E-2</v>
      </c>
      <c r="C7" s="28" t="s">
        <v>33</v>
      </c>
      <c r="D7" s="171"/>
      <c r="E7" s="28"/>
      <c r="F7" s="96"/>
      <c r="G7" s="65"/>
      <c r="H7" s="28"/>
      <c r="I7" s="28"/>
      <c r="J7" s="96"/>
      <c r="K7" s="65"/>
      <c r="L7" s="28"/>
      <c r="M7" s="28"/>
      <c r="N7" s="96"/>
      <c r="O7" s="28"/>
      <c r="P7" s="28"/>
      <c r="Q7" s="28"/>
      <c r="R7" s="96"/>
      <c r="S7" s="28"/>
      <c r="T7" s="28"/>
      <c r="U7" s="28"/>
      <c r="V7" s="96"/>
      <c r="W7" s="28"/>
      <c r="X7" s="28"/>
      <c r="Y7" s="28"/>
      <c r="Z7" s="32"/>
      <c r="AA7" s="65"/>
      <c r="AB7" s="28"/>
      <c r="AC7" s="28"/>
      <c r="AD7" s="28" t="s">
        <v>17</v>
      </c>
      <c r="AE7" s="34">
        <v>0.92</v>
      </c>
      <c r="AF7" s="162">
        <f t="shared" ref="AF7:AF13" si="0">AE7/$AE$14</f>
        <v>0.91089108910891115</v>
      </c>
      <c r="AG7" s="66">
        <f>$AA$5*AF7</f>
        <v>287283702.80429727</v>
      </c>
    </row>
    <row r="8" spans="1:33" ht="32">
      <c r="A8" s="67" t="s">
        <v>564</v>
      </c>
      <c r="B8" s="133">
        <f>'[1]Weight%'!$B$118</f>
        <v>6.1193224556381107E-4</v>
      </c>
      <c r="C8" s="28" t="s">
        <v>33</v>
      </c>
      <c r="D8" s="171"/>
      <c r="E8" s="28"/>
      <c r="F8" s="96"/>
      <c r="G8" s="28"/>
      <c r="H8" s="28"/>
      <c r="I8" s="28"/>
      <c r="J8" s="96"/>
      <c r="K8" s="65"/>
      <c r="L8" s="28"/>
      <c r="M8" s="28"/>
      <c r="N8" s="96"/>
      <c r="O8" s="28"/>
      <c r="P8" s="28"/>
      <c r="Q8" s="28"/>
      <c r="R8" s="96"/>
      <c r="S8" s="28"/>
      <c r="T8" s="28"/>
      <c r="U8" s="28"/>
      <c r="V8" s="96"/>
      <c r="W8" s="28"/>
      <c r="X8" s="28"/>
      <c r="Y8" s="28"/>
      <c r="Z8" s="32"/>
      <c r="AA8" s="65"/>
      <c r="AB8" s="28"/>
      <c r="AC8" s="28"/>
      <c r="AD8" s="28" t="s">
        <v>18</v>
      </c>
      <c r="AE8" s="82">
        <v>7.0000000000000007E-2</v>
      </c>
      <c r="AF8" s="162">
        <f t="shared" si="0"/>
        <v>6.9306930693069327E-2</v>
      </c>
      <c r="AG8" s="66">
        <f t="shared" ref="AG8:AG13" si="1">$AA$5*AF8</f>
        <v>21858542.604674794</v>
      </c>
    </row>
    <row r="9" spans="1:33" ht="32">
      <c r="A9" s="67" t="s">
        <v>565</v>
      </c>
      <c r="B9" s="133">
        <f>'[1]Weight%'!$B$119</f>
        <v>1.4050116782020161E-3</v>
      </c>
      <c r="C9" s="28" t="s">
        <v>33</v>
      </c>
      <c r="D9" s="171"/>
      <c r="E9" s="28"/>
      <c r="F9" s="96"/>
      <c r="G9" s="65"/>
      <c r="H9" s="28"/>
      <c r="I9" s="28"/>
      <c r="J9" s="28"/>
      <c r="K9" s="28"/>
      <c r="L9" s="28"/>
      <c r="M9" s="28"/>
      <c r="N9" s="96"/>
      <c r="O9" s="28"/>
      <c r="P9" s="28"/>
      <c r="Q9" s="28"/>
      <c r="R9" s="96"/>
      <c r="S9" s="28"/>
      <c r="T9" s="28"/>
      <c r="U9" s="28"/>
      <c r="V9" s="96"/>
      <c r="W9" s="28"/>
      <c r="X9" s="28"/>
      <c r="Y9" s="28"/>
      <c r="Z9" s="32"/>
      <c r="AA9" s="65"/>
      <c r="AB9" s="28"/>
      <c r="AC9" s="28"/>
      <c r="AD9" s="28" t="s">
        <v>463</v>
      </c>
      <c r="AE9" s="34">
        <v>0.01</v>
      </c>
      <c r="AF9" s="162">
        <f t="shared" si="0"/>
        <v>9.9009900990099028E-3</v>
      </c>
      <c r="AG9" s="66">
        <f t="shared" si="1"/>
        <v>3122648.9435249702</v>
      </c>
    </row>
    <row r="10" spans="1:33">
      <c r="A10" s="30"/>
      <c r="B10" s="28"/>
      <c r="C10" s="28"/>
      <c r="D10" s="28"/>
      <c r="E10" s="28"/>
      <c r="F10" s="96"/>
      <c r="G10" s="65"/>
      <c r="H10" s="28"/>
      <c r="I10" s="28"/>
      <c r="J10" s="96"/>
      <c r="K10" s="65"/>
      <c r="L10" s="28"/>
      <c r="M10" s="28"/>
      <c r="N10" s="96"/>
      <c r="O10" s="28"/>
      <c r="P10" s="28"/>
      <c r="Q10" s="28"/>
      <c r="R10" s="96"/>
      <c r="S10" s="28"/>
      <c r="T10" s="28"/>
      <c r="U10" s="28"/>
      <c r="V10" s="96"/>
      <c r="W10" s="28"/>
      <c r="X10" s="28"/>
      <c r="Y10" s="28"/>
      <c r="Z10" s="32"/>
      <c r="AA10" s="65"/>
      <c r="AB10" s="28"/>
      <c r="AC10" s="28"/>
      <c r="AD10" s="28" t="s">
        <v>28</v>
      </c>
      <c r="AE10" s="82">
        <v>2.5000000000000001E-3</v>
      </c>
      <c r="AF10" s="48">
        <f t="shared" si="0"/>
        <v>2.4752475247524757E-3</v>
      </c>
      <c r="AG10" s="66">
        <f t="shared" si="1"/>
        <v>780662.23588124255</v>
      </c>
    </row>
    <row r="11" spans="1:33">
      <c r="A11" s="30"/>
      <c r="B11" s="28"/>
      <c r="C11" s="28"/>
      <c r="D11" s="28"/>
      <c r="E11" s="28"/>
      <c r="F11" s="28"/>
      <c r="G11" s="28"/>
      <c r="H11" s="28"/>
      <c r="I11" s="28"/>
      <c r="J11" s="96"/>
      <c r="K11" s="65"/>
      <c r="L11" s="28"/>
      <c r="M11" s="28"/>
      <c r="N11" s="96"/>
      <c r="O11" s="28"/>
      <c r="P11" s="28"/>
      <c r="Q11" s="28"/>
      <c r="R11" s="96"/>
      <c r="S11" s="28"/>
      <c r="T11" s="28"/>
      <c r="U11" s="28"/>
      <c r="V11" s="96"/>
      <c r="W11" s="28"/>
      <c r="X11" s="28"/>
      <c r="Y11" s="28"/>
      <c r="Z11" s="32"/>
      <c r="AA11" s="65"/>
      <c r="AB11" s="28"/>
      <c r="AC11" s="28"/>
      <c r="AD11" s="28" t="s">
        <v>24</v>
      </c>
      <c r="AE11" s="82">
        <v>2.5000000000000001E-3</v>
      </c>
      <c r="AF11" s="48">
        <f t="shared" si="0"/>
        <v>2.4752475247524757E-3</v>
      </c>
      <c r="AG11" s="66">
        <f t="shared" si="1"/>
        <v>780662.23588124255</v>
      </c>
    </row>
    <row r="12" spans="1:33">
      <c r="A12" s="30"/>
      <c r="B12" s="28"/>
      <c r="C12" s="28"/>
      <c r="D12" s="28"/>
      <c r="E12" s="28"/>
      <c r="F12" s="28"/>
      <c r="G12" s="28"/>
      <c r="H12" s="28"/>
      <c r="I12" s="28"/>
      <c r="J12" s="96"/>
      <c r="K12" s="65"/>
      <c r="L12" s="28"/>
      <c r="M12" s="28"/>
      <c r="N12" s="96"/>
      <c r="O12" s="28"/>
      <c r="P12" s="28"/>
      <c r="Q12" s="28"/>
      <c r="R12" s="96"/>
      <c r="S12" s="28"/>
      <c r="T12" s="28"/>
      <c r="U12" s="28"/>
      <c r="V12" s="96"/>
      <c r="W12" s="28"/>
      <c r="X12" s="28"/>
      <c r="Y12" s="28"/>
      <c r="Z12" s="32"/>
      <c r="AA12" s="65"/>
      <c r="AB12" s="28"/>
      <c r="AC12" s="28"/>
      <c r="AD12" s="28" t="s">
        <v>467</v>
      </c>
      <c r="AE12" s="82">
        <v>2.5000000000000001E-3</v>
      </c>
      <c r="AF12" s="48">
        <f t="shared" si="0"/>
        <v>2.4752475247524757E-3</v>
      </c>
      <c r="AG12" s="66">
        <f t="shared" si="1"/>
        <v>780662.23588124255</v>
      </c>
    </row>
    <row r="13" spans="1:33">
      <c r="A13" s="30"/>
      <c r="B13" s="28"/>
      <c r="C13" s="28"/>
      <c r="D13" s="28"/>
      <c r="E13" s="28"/>
      <c r="F13" s="28"/>
      <c r="G13" s="28"/>
      <c r="H13" s="28"/>
      <c r="I13" s="28"/>
      <c r="J13" s="96"/>
      <c r="K13" s="65"/>
      <c r="L13" s="28"/>
      <c r="M13" s="28"/>
      <c r="N13" s="96"/>
      <c r="O13" s="28"/>
      <c r="P13" s="28"/>
      <c r="Q13" s="28"/>
      <c r="R13" s="96"/>
      <c r="S13" s="28"/>
      <c r="T13" s="28"/>
      <c r="U13" s="28"/>
      <c r="V13" s="96"/>
      <c r="W13" s="28"/>
      <c r="X13" s="28"/>
      <c r="Y13" s="28"/>
      <c r="Z13" s="32"/>
      <c r="AA13" s="65"/>
      <c r="AB13" s="28"/>
      <c r="AC13" s="28"/>
      <c r="AD13" s="28" t="s">
        <v>20</v>
      </c>
      <c r="AE13" s="82">
        <v>2.5000000000000001E-3</v>
      </c>
      <c r="AF13" s="48">
        <f t="shared" si="0"/>
        <v>2.4752475247524757E-3</v>
      </c>
      <c r="AG13" s="66">
        <f t="shared" si="1"/>
        <v>780662.23588124255</v>
      </c>
    </row>
    <row r="14" spans="1:33">
      <c r="A14" s="39"/>
      <c r="B14" s="37"/>
      <c r="C14" s="37"/>
      <c r="D14" s="37"/>
      <c r="E14" s="37"/>
      <c r="F14" s="134"/>
      <c r="G14" s="112"/>
      <c r="H14" s="37"/>
      <c r="I14" s="37"/>
      <c r="J14" s="37"/>
      <c r="K14" s="37"/>
      <c r="L14" s="37"/>
      <c r="M14" s="37"/>
      <c r="N14" s="134"/>
      <c r="O14" s="112"/>
      <c r="P14" s="37"/>
      <c r="Q14" s="37"/>
      <c r="R14" s="96"/>
      <c r="S14" s="37"/>
      <c r="T14" s="37"/>
      <c r="U14" s="28"/>
      <c r="V14" s="134"/>
      <c r="W14" s="37"/>
      <c r="X14" s="37"/>
      <c r="Y14" s="37"/>
      <c r="Z14" s="135"/>
      <c r="AA14" s="112"/>
      <c r="AB14" s="37"/>
      <c r="AC14" s="37"/>
      <c r="AD14" s="37" t="s">
        <v>27</v>
      </c>
      <c r="AE14" s="40">
        <f>SUM(AE7:AE13)</f>
        <v>1.0099999999999998</v>
      </c>
      <c r="AF14" s="37"/>
      <c r="AG14" s="42"/>
    </row>
    <row r="15" spans="1:33">
      <c r="F15" s="96"/>
      <c r="G15" s="65"/>
      <c r="H15" s="28"/>
      <c r="I15" s="28"/>
      <c r="J15" s="96"/>
      <c r="K15" s="28"/>
      <c r="L15" s="28"/>
      <c r="M15" s="28"/>
      <c r="N15" s="96"/>
      <c r="O15" s="11"/>
      <c r="R15" s="151"/>
      <c r="S15" s="23"/>
      <c r="T15" s="23"/>
      <c r="U15" s="23"/>
      <c r="V15" s="96"/>
      <c r="Z15" s="1"/>
      <c r="AA15" s="11"/>
    </row>
    <row r="16" spans="1:33">
      <c r="A16" s="20" t="s">
        <v>575</v>
      </c>
    </row>
    <row r="17" spans="1:9" ht="32">
      <c r="A17" s="60" t="s">
        <v>0</v>
      </c>
      <c r="B17" s="23" t="s">
        <v>1</v>
      </c>
      <c r="C17" s="23" t="s">
        <v>558</v>
      </c>
      <c r="D17" s="23" t="s">
        <v>3</v>
      </c>
      <c r="E17" s="23"/>
      <c r="F17" s="114" t="s">
        <v>425</v>
      </c>
      <c r="G17" s="114" t="s">
        <v>424</v>
      </c>
      <c r="H17" s="114" t="s">
        <v>429</v>
      </c>
      <c r="I17" s="115" t="s">
        <v>527</v>
      </c>
    </row>
    <row r="18" spans="1:9" ht="48">
      <c r="A18" s="99" t="s">
        <v>576</v>
      </c>
      <c r="B18" s="82">
        <f>'[1]Weight%'!$B$133</f>
        <v>0.14070731777826728</v>
      </c>
      <c r="C18" s="28" t="s">
        <v>33</v>
      </c>
      <c r="D18" s="32" t="s">
        <v>208</v>
      </c>
      <c r="E18" s="28"/>
      <c r="F18" s="28" t="s">
        <v>461</v>
      </c>
      <c r="G18" s="82">
        <f>[14]Production!$M$3</f>
        <v>7.2739286267501271E-2</v>
      </c>
      <c r="H18" s="48">
        <f>G18/$G$36</f>
        <v>7.9972618022800965E-2</v>
      </c>
      <c r="I18" s="66">
        <f>$B$19*H18</f>
        <v>9640622.8653912339</v>
      </c>
    </row>
    <row r="19" spans="1:9" ht="32">
      <c r="A19" s="67" t="s">
        <v>577</v>
      </c>
      <c r="B19" s="65">
        <f>data_3tier!B7*data_3tier!B5*data_4tier!B18</f>
        <v>120549046.70799448</v>
      </c>
      <c r="C19" s="28" t="s">
        <v>7</v>
      </c>
      <c r="D19" s="28"/>
      <c r="E19" s="28"/>
      <c r="F19" s="28" t="s">
        <v>17</v>
      </c>
      <c r="G19" s="82">
        <f>[14]Production!$AT$3</f>
        <v>0.37620659031306231</v>
      </c>
      <c r="H19" s="48">
        <f t="shared" ref="H19:H35" si="2">G19/$G$36</f>
        <v>0.41361728288237198</v>
      </c>
      <c r="I19" s="66">
        <f t="shared" ref="I19:I35" si="3">$B$19*H19</f>
        <v>49861169.153420821</v>
      </c>
    </row>
    <row r="20" spans="1:9" ht="32">
      <c r="A20" s="67" t="s">
        <v>578</v>
      </c>
      <c r="B20" s="65">
        <f>data_3tier!B8*data_3tier!B5*data_4tier!B18</f>
        <v>439088364.43758243</v>
      </c>
      <c r="C20" s="28" t="s">
        <v>7</v>
      </c>
      <c r="D20" s="28"/>
      <c r="E20" s="28"/>
      <c r="F20" s="28" t="s">
        <v>559</v>
      </c>
      <c r="G20" s="82">
        <f>[14]Production!$BD$3</f>
        <v>2.0069112270487431E-2</v>
      </c>
      <c r="H20" s="48">
        <f t="shared" si="2"/>
        <v>2.2064822629163986E-2</v>
      </c>
      <c r="I20" s="66">
        <f t="shared" si="3"/>
        <v>2659893.3337267027</v>
      </c>
    </row>
    <row r="21" spans="1:9">
      <c r="A21" s="30"/>
      <c r="B21" s="28"/>
      <c r="C21" s="28"/>
      <c r="D21" s="28"/>
      <c r="E21" s="28"/>
      <c r="F21" s="28" t="s">
        <v>26</v>
      </c>
      <c r="G21" s="82">
        <f>[14]Production!$BW$3</f>
        <v>1.4204944723089708E-2</v>
      </c>
      <c r="H21" s="48">
        <f t="shared" si="2"/>
        <v>1.5617511205663353E-2</v>
      </c>
      <c r="I21" s="66">
        <f t="shared" si="3"/>
        <v>1882676.0877941386</v>
      </c>
    </row>
    <row r="22" spans="1:9">
      <c r="A22" s="30"/>
      <c r="B22" s="28"/>
      <c r="C22" s="28"/>
      <c r="D22" s="28"/>
      <c r="E22" s="28"/>
      <c r="F22" s="28" t="s">
        <v>28</v>
      </c>
      <c r="G22" s="82">
        <f>[14]Production!$CE$3</f>
        <v>7.9042630863031399E-2</v>
      </c>
      <c r="H22" s="48">
        <f t="shared" si="2"/>
        <v>8.6902779088041435E-2</v>
      </c>
      <c r="I22" s="66">
        <f t="shared" si="3"/>
        <v>10476047.175338833</v>
      </c>
    </row>
    <row r="23" spans="1:9">
      <c r="A23" s="30"/>
      <c r="B23" s="28"/>
      <c r="C23" s="28"/>
      <c r="D23" s="28"/>
      <c r="E23" s="28"/>
      <c r="F23" s="28" t="s">
        <v>560</v>
      </c>
      <c r="G23" s="82">
        <f>[14]Production!$CI$3</f>
        <v>1.4980800371942098E-2</v>
      </c>
      <c r="H23" s="48">
        <f t="shared" si="2"/>
        <v>1.6470519402888767E-2</v>
      </c>
      <c r="I23" s="66">
        <f t="shared" si="3"/>
        <v>1985505.4128037672</v>
      </c>
    </row>
    <row r="24" spans="1:9">
      <c r="A24" s="30"/>
      <c r="B24" s="28"/>
      <c r="C24" s="28"/>
      <c r="D24" s="28"/>
      <c r="E24" s="28"/>
      <c r="F24" s="28" t="s">
        <v>142</v>
      </c>
      <c r="G24" s="82">
        <f>[14]Production!$DB$3</f>
        <v>6.6399709991414133E-2</v>
      </c>
      <c r="H24" s="48">
        <f t="shared" si="2"/>
        <v>7.300262233038457E-2</v>
      </c>
      <c r="I24" s="66">
        <f t="shared" si="3"/>
        <v>8800396.5291116107</v>
      </c>
    </row>
    <row r="25" spans="1:9">
      <c r="A25" s="30"/>
      <c r="B25" s="28"/>
      <c r="C25" s="28"/>
      <c r="D25" s="28"/>
      <c r="E25" s="28"/>
      <c r="F25" s="28" t="s">
        <v>18</v>
      </c>
      <c r="G25" s="82">
        <f>[14]Production!$DE$3</f>
        <v>2.6264588278567612E-2</v>
      </c>
      <c r="H25" s="48">
        <f t="shared" si="2"/>
        <v>2.8876388451263498E-2</v>
      </c>
      <c r="I25" s="66">
        <f t="shared" si="3"/>
        <v>3481021.1001695557</v>
      </c>
    </row>
    <row r="26" spans="1:9">
      <c r="A26" s="30"/>
      <c r="B26" s="28"/>
      <c r="C26" s="28"/>
      <c r="D26" s="28"/>
      <c r="E26" s="28"/>
      <c r="F26" s="28" t="s">
        <v>19</v>
      </c>
      <c r="G26" s="82">
        <f>[14]Production!$DJ$3</f>
        <v>2.3806932725370409E-2</v>
      </c>
      <c r="H26" s="48">
        <f t="shared" si="2"/>
        <v>2.6174338996658542E-2</v>
      </c>
      <c r="I26" s="66">
        <f t="shared" si="3"/>
        <v>3155291.6142590716</v>
      </c>
    </row>
    <row r="27" spans="1:9">
      <c r="A27" s="30"/>
      <c r="B27" s="28"/>
      <c r="C27" s="28"/>
      <c r="D27" s="28"/>
      <c r="E27" s="28"/>
      <c r="F27" s="28" t="s">
        <v>426</v>
      </c>
      <c r="G27" s="82">
        <f>[14]Production!$DX$3</f>
        <v>2.269182486835513E-2</v>
      </c>
      <c r="H27" s="48">
        <f t="shared" si="2"/>
        <v>2.4948342712128729E-2</v>
      </c>
      <c r="I27" s="66">
        <f t="shared" si="3"/>
        <v>3007498.9308914598</v>
      </c>
    </row>
    <row r="28" spans="1:9">
      <c r="A28" s="30"/>
      <c r="B28" s="28"/>
      <c r="C28" s="28"/>
      <c r="D28" s="28"/>
      <c r="E28" s="28"/>
      <c r="F28" s="28" t="s">
        <v>427</v>
      </c>
      <c r="G28" s="82">
        <f>[14]Production!$FM$3</f>
        <v>2.9637175776911689E-2</v>
      </c>
      <c r="H28" s="48">
        <f t="shared" si="2"/>
        <v>3.2584352408479955E-2</v>
      </c>
      <c r="I28" s="66">
        <f t="shared" si="3"/>
        <v>3928012.6204396025</v>
      </c>
    </row>
    <row r="29" spans="1:9">
      <c r="A29" s="30"/>
      <c r="B29" s="28"/>
      <c r="C29" s="28"/>
      <c r="D29" s="28"/>
      <c r="E29" s="28"/>
      <c r="F29" s="28" t="s">
        <v>23</v>
      </c>
      <c r="G29" s="82">
        <f>[14]Production!$FO$3</f>
        <v>2.0950290085340988E-2</v>
      </c>
      <c r="H29" s="48">
        <f t="shared" si="2"/>
        <v>2.3033626427132168E-2</v>
      </c>
      <c r="I29" s="66">
        <f t="shared" si="3"/>
        <v>2776681.7080188515</v>
      </c>
    </row>
    <row r="30" spans="1:9">
      <c r="A30" s="30"/>
      <c r="B30" s="28"/>
      <c r="C30" s="28"/>
      <c r="D30" s="28"/>
      <c r="E30" s="28"/>
      <c r="F30" s="28" t="s">
        <v>47</v>
      </c>
      <c r="G30" s="82">
        <f>[14]Production!$GK$3</f>
        <v>1.8024109297164317E-2</v>
      </c>
      <c r="H30" s="48">
        <f t="shared" si="2"/>
        <v>1.9816460704912737E-2</v>
      </c>
      <c r="I30" s="66">
        <f t="shared" si="3"/>
        <v>2388855.4471036629</v>
      </c>
    </row>
    <row r="31" spans="1:9">
      <c r="A31" s="30"/>
      <c r="B31" s="28"/>
      <c r="C31" s="28"/>
      <c r="D31" s="28"/>
      <c r="E31" s="28"/>
      <c r="F31" s="28" t="s">
        <v>561</v>
      </c>
      <c r="G31" s="82">
        <f>[14]Production!$GZ$3</f>
        <v>1.8242806120623543E-2</v>
      </c>
      <c r="H31" s="48">
        <f t="shared" si="2"/>
        <v>2.0056905152786277E-2</v>
      </c>
      <c r="I31" s="66">
        <f t="shared" si="3"/>
        <v>2417840.796081048</v>
      </c>
    </row>
    <row r="32" spans="1:9">
      <c r="A32" s="30"/>
      <c r="B32" s="28"/>
      <c r="C32" s="28"/>
      <c r="D32" s="28"/>
      <c r="E32" s="28"/>
      <c r="F32" s="28" t="s">
        <v>435</v>
      </c>
      <c r="G32" s="82">
        <f>[14]Production!$HC$3</f>
        <v>5.1621354655649251E-2</v>
      </c>
      <c r="H32" s="48">
        <f t="shared" si="2"/>
        <v>5.6754679479721966E-2</v>
      </c>
      <c r="I32" s="66">
        <f t="shared" si="3"/>
        <v>6841722.5074982587</v>
      </c>
    </row>
    <row r="33" spans="1:41">
      <c r="A33" s="30"/>
      <c r="B33" s="28"/>
      <c r="C33" s="28"/>
      <c r="D33" s="28"/>
      <c r="E33" s="28"/>
      <c r="F33" s="28" t="s">
        <v>468</v>
      </c>
      <c r="G33" s="82">
        <f>[14]Production!$HH$3</f>
        <v>1.0972916063919194E-2</v>
      </c>
      <c r="H33" s="48">
        <f t="shared" si="2"/>
        <v>1.2064083523570863E-2</v>
      </c>
      <c r="I33" s="66">
        <f t="shared" si="3"/>
        <v>1454313.7681720906</v>
      </c>
    </row>
    <row r="34" spans="1:41">
      <c r="A34" s="30"/>
      <c r="B34" s="28"/>
      <c r="C34" s="28"/>
      <c r="D34" s="28"/>
      <c r="E34" s="28"/>
      <c r="F34" s="28" t="s">
        <v>147</v>
      </c>
      <c r="G34" s="82">
        <f>[14]Production!$HJ$3</f>
        <v>1.8475556290640672E-2</v>
      </c>
      <c r="H34" s="48">
        <f t="shared" si="2"/>
        <v>2.0312800438492949E-2</v>
      </c>
      <c r="I34" s="66">
        <f t="shared" si="3"/>
        <v>2448688.7288300572</v>
      </c>
    </row>
    <row r="35" spans="1:41">
      <c r="A35" s="30"/>
      <c r="B35" s="28"/>
      <c r="C35" s="28"/>
      <c r="D35" s="28"/>
      <c r="E35" s="28"/>
      <c r="F35" s="28" t="s">
        <v>20</v>
      </c>
      <c r="G35" s="82">
        <f>[14]Production!$HT$3</f>
        <v>2.5221766167504808E-2</v>
      </c>
      <c r="H35" s="48">
        <f t="shared" si="2"/>
        <v>2.7729866143537514E-2</v>
      </c>
      <c r="I35" s="66">
        <f t="shared" si="3"/>
        <v>3342808.9289437383</v>
      </c>
    </row>
    <row r="36" spans="1:41">
      <c r="A36" s="39"/>
      <c r="B36" s="37"/>
      <c r="C36" s="37"/>
      <c r="D36" s="37"/>
      <c r="E36" s="37"/>
      <c r="F36" s="37" t="s">
        <v>27</v>
      </c>
      <c r="G36" s="131">
        <f>SUM(G18:G35)</f>
        <v>0.90955239513057573</v>
      </c>
      <c r="H36" s="37"/>
      <c r="I36" s="42"/>
    </row>
    <row r="38" spans="1:41">
      <c r="A38" s="20" t="s">
        <v>579</v>
      </c>
    </row>
    <row r="39" spans="1:41" ht="32">
      <c r="A39" s="60" t="s">
        <v>0</v>
      </c>
      <c r="B39" s="23" t="s">
        <v>1</v>
      </c>
      <c r="C39" s="23" t="s">
        <v>558</v>
      </c>
      <c r="D39" s="23" t="s">
        <v>3</v>
      </c>
      <c r="E39" s="23"/>
      <c r="F39" s="62" t="s">
        <v>0</v>
      </c>
      <c r="G39" s="23" t="s">
        <v>1</v>
      </c>
      <c r="H39" s="23" t="s">
        <v>558</v>
      </c>
      <c r="I39" s="23"/>
      <c r="J39" s="62" t="s">
        <v>0</v>
      </c>
      <c r="K39" s="23" t="s">
        <v>1</v>
      </c>
      <c r="L39" s="23" t="s">
        <v>558</v>
      </c>
      <c r="M39" s="23"/>
      <c r="N39" s="62" t="s">
        <v>0</v>
      </c>
      <c r="O39" s="23" t="s">
        <v>1</v>
      </c>
      <c r="P39" s="23" t="s">
        <v>558</v>
      </c>
      <c r="Q39" s="23"/>
      <c r="R39" s="62" t="s">
        <v>0</v>
      </c>
      <c r="S39" s="23" t="s">
        <v>1</v>
      </c>
      <c r="T39" s="23" t="s">
        <v>558</v>
      </c>
      <c r="U39" s="23"/>
      <c r="V39" s="62" t="s">
        <v>0</v>
      </c>
      <c r="W39" s="23" t="s">
        <v>1</v>
      </c>
      <c r="X39" s="23" t="s">
        <v>558</v>
      </c>
      <c r="Y39" s="23"/>
      <c r="Z39" s="62" t="s">
        <v>0</v>
      </c>
      <c r="AA39" s="23" t="s">
        <v>1</v>
      </c>
      <c r="AB39" s="23" t="s">
        <v>558</v>
      </c>
      <c r="AC39" s="23"/>
      <c r="AD39" s="62" t="s">
        <v>0</v>
      </c>
      <c r="AE39" s="23" t="s">
        <v>1</v>
      </c>
      <c r="AF39" s="23" t="s">
        <v>558</v>
      </c>
      <c r="AG39" s="23"/>
      <c r="AH39" s="62" t="s">
        <v>0</v>
      </c>
      <c r="AI39" s="23" t="s">
        <v>1</v>
      </c>
      <c r="AJ39" s="23" t="s">
        <v>558</v>
      </c>
      <c r="AK39" s="23"/>
      <c r="AL39" s="114" t="s">
        <v>425</v>
      </c>
      <c r="AM39" s="114" t="s">
        <v>424</v>
      </c>
      <c r="AN39" s="114" t="s">
        <v>429</v>
      </c>
      <c r="AO39" s="115" t="s">
        <v>527</v>
      </c>
    </row>
    <row r="40" spans="1:41" ht="48">
      <c r="A40" s="99" t="s">
        <v>580</v>
      </c>
      <c r="B40" s="48">
        <f>'[1]Weight%'!$B$127*'[1]Weight%'!$B$111+'[1]Weight%'!$B$128*'[1]Weight%'!$B$110</f>
        <v>0.31080068472398586</v>
      </c>
      <c r="C40" s="28" t="s">
        <v>33</v>
      </c>
      <c r="D40" s="171" t="s">
        <v>208</v>
      </c>
      <c r="E40" s="28"/>
      <c r="F40" s="96" t="s">
        <v>590</v>
      </c>
      <c r="G40" s="65">
        <f>B40*data_3tier!B7</f>
        <v>426038694.80289727</v>
      </c>
      <c r="H40" s="28" t="s">
        <v>7</v>
      </c>
      <c r="I40" s="28"/>
      <c r="J40" s="96" t="s">
        <v>592</v>
      </c>
      <c r="K40" s="28">
        <f>B41*data_2tier!B41</f>
        <v>13715353787.362379</v>
      </c>
      <c r="L40" s="28" t="s">
        <v>7</v>
      </c>
      <c r="M40" s="28"/>
      <c r="N40" s="96" t="s">
        <v>594</v>
      </c>
      <c r="O40" s="28">
        <f>B42*(data_2tier!B86+data_2tier!B87+data_2tier!B88+data_2tier!B89)</f>
        <v>4950725568.2484837</v>
      </c>
      <c r="P40" s="28" t="s">
        <v>7</v>
      </c>
      <c r="Q40" s="28"/>
      <c r="R40" s="96" t="s">
        <v>609</v>
      </c>
      <c r="S40" s="65">
        <f>B47*data_2tier!B278</f>
        <v>122152294.1934686</v>
      </c>
      <c r="T40" s="28" t="s">
        <v>7</v>
      </c>
      <c r="U40" s="28"/>
      <c r="V40" s="96" t="s">
        <v>599</v>
      </c>
      <c r="W40" s="28">
        <f>B48*data_3tier!B100</f>
        <v>18701665966.838146</v>
      </c>
      <c r="X40" s="28" t="s">
        <v>7</v>
      </c>
      <c r="Y40" s="28"/>
      <c r="Z40" s="96" t="s">
        <v>600</v>
      </c>
      <c r="AA40" s="28">
        <f>B49*(data_2tier!B193+data_2tier!B194+data_2tier!B195+data_2tier!B196+data_2tier!B200)</f>
        <v>434148358.56393892</v>
      </c>
      <c r="AB40" s="28" t="s">
        <v>7</v>
      </c>
      <c r="AC40" s="28"/>
      <c r="AD40" s="96" t="s">
        <v>604</v>
      </c>
      <c r="AE40" s="28">
        <f>B51*data_2tier!B333</f>
        <v>966269959.35242546</v>
      </c>
      <c r="AF40" s="28" t="s">
        <v>7</v>
      </c>
      <c r="AG40" s="28"/>
      <c r="AH40" s="96" t="s">
        <v>606</v>
      </c>
      <c r="AI40" s="65">
        <f>G40+K40+O40+O41+O42+O43+O44+S40+W40+AA40+AA41+AE40</f>
        <v>48294050201.53772</v>
      </c>
      <c r="AJ40" s="28" t="s">
        <v>7</v>
      </c>
      <c r="AK40" s="28"/>
      <c r="AL40" s="28" t="s">
        <v>461</v>
      </c>
      <c r="AM40" s="34">
        <f>[15]Production!$M$5</f>
        <v>1.81061602906341E-2</v>
      </c>
      <c r="AN40" s="48">
        <f t="shared" ref="AN40:AN58" si="4">AM40/$AM$59</f>
        <v>2.0699919082261414E-2</v>
      </c>
      <c r="AO40" s="66">
        <f>$AI$40*AN40</f>
        <v>999682931.32650137</v>
      </c>
    </row>
    <row r="41" spans="1:41" ht="48">
      <c r="A41" s="99" t="s">
        <v>581</v>
      </c>
      <c r="B41" s="82">
        <f>'[1]Weight%'!$B$123</f>
        <v>0.18807451757216942</v>
      </c>
      <c r="C41" s="28" t="s">
        <v>33</v>
      </c>
      <c r="D41" s="171"/>
      <c r="E41" s="28"/>
      <c r="F41" s="96" t="s">
        <v>591</v>
      </c>
      <c r="G41" s="28">
        <f>B40*data_3tier!B8</f>
        <v>1551805168.0762122</v>
      </c>
      <c r="H41" s="28" t="s">
        <v>7</v>
      </c>
      <c r="I41" s="28"/>
      <c r="J41" s="96" t="s">
        <v>593</v>
      </c>
      <c r="K41" s="65">
        <f>B41*data_2tier!B50</f>
        <v>167640161247.94489</v>
      </c>
      <c r="L41" s="28" t="s">
        <v>7</v>
      </c>
      <c r="M41" s="28"/>
      <c r="N41" s="96" t="s">
        <v>1050</v>
      </c>
      <c r="O41" s="28">
        <f>B43*(data_2tier!B90)</f>
        <v>88634538.017410174</v>
      </c>
      <c r="P41" s="28" t="s">
        <v>7</v>
      </c>
      <c r="Q41" s="28"/>
      <c r="R41" s="96" t="s">
        <v>610</v>
      </c>
      <c r="S41" s="65">
        <f>B47*data_2tier!B284</f>
        <v>475257016.73461843</v>
      </c>
      <c r="T41" s="28" t="s">
        <v>7</v>
      </c>
      <c r="U41" s="28"/>
      <c r="V41" s="96" t="s">
        <v>598</v>
      </c>
      <c r="W41" s="65">
        <f>B48*data_3tier!B101</f>
        <v>232008173437.73297</v>
      </c>
      <c r="X41" s="28" t="s">
        <v>7</v>
      </c>
      <c r="Y41" s="28"/>
      <c r="Z41" s="96" t="s">
        <v>602</v>
      </c>
      <c r="AA41" s="28">
        <f>B50*(data_2tier!B197+data_2tier!B198+data_2tier!B199)</f>
        <v>37125860.06802699</v>
      </c>
      <c r="AB41" s="28" t="s">
        <v>7</v>
      </c>
      <c r="AC41" s="28"/>
      <c r="AD41" s="96" t="s">
        <v>605</v>
      </c>
      <c r="AE41" s="28">
        <f>B51*data_2tier!B342</f>
        <v>12279855356.166821</v>
      </c>
      <c r="AF41" s="28" t="s">
        <v>7</v>
      </c>
      <c r="AG41" s="28"/>
      <c r="AH41" s="96" t="s">
        <v>607</v>
      </c>
      <c r="AI41" s="65">
        <f>G41+K41+O45+O46+O47+O48+O49+S41+W41+AA42+AA43+AE41</f>
        <v>433790727988.33374</v>
      </c>
      <c r="AJ41" s="28" t="s">
        <v>7</v>
      </c>
      <c r="AK41" s="28"/>
      <c r="AL41" s="28" t="s">
        <v>141</v>
      </c>
      <c r="AM41" s="34">
        <f>[15]Production!$S$5</f>
        <v>2.2485881528850178E-2</v>
      </c>
      <c r="AN41" s="48">
        <f t="shared" si="4"/>
        <v>2.5707047804126915E-2</v>
      </c>
      <c r="AO41" s="66">
        <f t="shared" ref="AO41:AO43" si="5">$AI$40*AN41</f>
        <v>1241497457.1858351</v>
      </c>
    </row>
    <row r="42" spans="1:41" ht="48">
      <c r="A42" s="99" t="s">
        <v>582</v>
      </c>
      <c r="B42" s="48">
        <f>'[1]Weight%'!$B$125*('[1]Weight%'!$B$36/('[1]Weight%'!$B$36+'[1]Weight%'!$B$68+'[1]Weight%'!$B$69))+'[1]Weight%'!$B$126*('[1]Weight%'!$B$68/('[1]Weight%'!$B$36+'[1]Weight%'!$B$68+'[1]Weight%'!$B$69))</f>
        <v>0.21219364454614958</v>
      </c>
      <c r="C42" s="28" t="s">
        <v>33</v>
      </c>
      <c r="D42" s="171"/>
      <c r="E42" s="28"/>
      <c r="F42" s="28"/>
      <c r="G42" s="28"/>
      <c r="H42" s="28"/>
      <c r="I42" s="28"/>
      <c r="J42" s="28"/>
      <c r="K42" s="28"/>
      <c r="L42" s="28"/>
      <c r="M42" s="28"/>
      <c r="N42" s="96" t="s">
        <v>1051</v>
      </c>
      <c r="O42" s="28">
        <f>B44*data_2tier!B91</f>
        <v>26435169.269841038</v>
      </c>
      <c r="P42" s="28" t="s">
        <v>7</v>
      </c>
      <c r="Q42" s="28"/>
      <c r="R42" s="28"/>
      <c r="S42" s="28"/>
      <c r="T42" s="28"/>
      <c r="U42" s="28"/>
      <c r="V42" s="28"/>
      <c r="W42" s="28"/>
      <c r="X42" s="28"/>
      <c r="Y42" s="28"/>
      <c r="Z42" s="96" t="s">
        <v>601</v>
      </c>
      <c r="AA42" s="28">
        <f>B49*(data_2tier!B202+data_2tier!B203+data_2tier!B204+data_2tier!B205+data_2tier!B209)</f>
        <v>5578654650.1491928</v>
      </c>
      <c r="AB42" s="28" t="s">
        <v>7</v>
      </c>
      <c r="AC42" s="28"/>
      <c r="AD42" s="28"/>
      <c r="AE42" s="28"/>
      <c r="AF42" s="28"/>
      <c r="AG42" s="28"/>
      <c r="AH42" s="28"/>
      <c r="AI42" s="28"/>
      <c r="AJ42" s="28"/>
      <c r="AK42" s="28"/>
      <c r="AL42" s="28" t="s">
        <v>88</v>
      </c>
      <c r="AM42" s="34">
        <f>[15]Production!$AM$5</f>
        <v>1.7041045343013792E-2</v>
      </c>
      <c r="AN42" s="48">
        <f t="shared" si="4"/>
        <v>1.9482223398850709E-2</v>
      </c>
      <c r="AO42" s="66">
        <f t="shared" si="5"/>
        <v>940875474.86166894</v>
      </c>
    </row>
    <row r="43" spans="1:41" ht="48">
      <c r="A43" s="99" t="s">
        <v>1047</v>
      </c>
      <c r="B43" s="48">
        <f>'[1]Weight%'!$B$125*('[1]Weight%'!$B$43/('[1]Weight%'!$B$43+'[1]Weight%'!$B$78+'[1]Weight%'!$B$78))+'[1]Weight%'!$B$126*('[1]Weight%'!$B$78/('[1]Weight%'!$B$43+'[1]Weight%'!$B$78+'[1]Weight%'!$B$78))</f>
        <v>0.20888489528372006</v>
      </c>
      <c r="C43" s="28" t="s">
        <v>33</v>
      </c>
      <c r="D43" s="171"/>
      <c r="E43" s="28"/>
      <c r="F43" s="28"/>
      <c r="G43" s="28"/>
      <c r="H43" s="28"/>
      <c r="I43" s="28"/>
      <c r="J43" s="28"/>
      <c r="K43" s="28"/>
      <c r="L43" s="28"/>
      <c r="M43" s="28"/>
      <c r="N43" s="96" t="s">
        <v>1052</v>
      </c>
      <c r="O43" s="28">
        <f>B45*data_2tier!B92</f>
        <v>281790225.28354949</v>
      </c>
      <c r="P43" s="28" t="s">
        <v>7</v>
      </c>
      <c r="Q43" s="28"/>
      <c r="R43" s="28"/>
      <c r="S43" s="28"/>
      <c r="T43" s="28"/>
      <c r="U43" s="28"/>
      <c r="V43" s="28"/>
      <c r="W43" s="28"/>
      <c r="X43" s="28"/>
      <c r="Y43" s="28"/>
      <c r="Z43" s="96" t="s">
        <v>603</v>
      </c>
      <c r="AA43" s="28">
        <f>B50*(data_2tier!B206+data_2tier!B207+data_2tier!B208)</f>
        <v>365525831.17267483</v>
      </c>
      <c r="AB43" s="28" t="s">
        <v>7</v>
      </c>
      <c r="AC43" s="28"/>
      <c r="AD43" s="28"/>
      <c r="AE43" s="28"/>
      <c r="AF43" s="28"/>
      <c r="AG43" s="28"/>
      <c r="AH43" s="28"/>
      <c r="AI43" s="28"/>
      <c r="AJ43" s="28"/>
      <c r="AK43" s="28"/>
      <c r="AL43" s="28" t="s">
        <v>17</v>
      </c>
      <c r="AM43" s="34">
        <f>[15]Production!$AT$5</f>
        <v>0.23716088773089769</v>
      </c>
      <c r="AN43" s="48">
        <f t="shared" si="4"/>
        <v>0.27113485723675429</v>
      </c>
      <c r="AO43" s="66">
        <f t="shared" si="5"/>
        <v>13094200406.778574</v>
      </c>
    </row>
    <row r="44" spans="1:41" ht="48">
      <c r="A44" s="99" t="s">
        <v>1048</v>
      </c>
      <c r="B44" s="48">
        <f>'[1]Weight%'!$B$125*('[1]Weight%'!$B$42/('[1]Weight%'!$B$42+'[1]Weight%'!$B$79+'[1]Weight%'!$B$79))+'[1]Weight%'!$B$126*('[1]Weight%'!$B$79/('[1]Weight%'!$B$42+'[1]Weight%'!$B$79+'[1]Weight%'!$B$79))</f>
        <v>0.21796834990860797</v>
      </c>
      <c r="C44" s="28" t="s">
        <v>33</v>
      </c>
      <c r="D44" s="171"/>
      <c r="E44" s="28"/>
      <c r="F44" s="28"/>
      <c r="G44" s="28"/>
      <c r="H44" s="28"/>
      <c r="I44" s="28"/>
      <c r="J44" s="28"/>
      <c r="K44" s="28"/>
      <c r="L44" s="28"/>
      <c r="M44" s="28"/>
      <c r="N44" s="96" t="s">
        <v>595</v>
      </c>
      <c r="O44" s="28">
        <f>B46*data_2tier!B93</f>
        <v>8543709779.537158</v>
      </c>
      <c r="P44" s="28" t="s">
        <v>7</v>
      </c>
      <c r="Q44" s="28"/>
      <c r="R44" s="28"/>
      <c r="S44" s="28"/>
      <c r="T44" s="28"/>
      <c r="U44" s="28"/>
      <c r="V44" s="28"/>
      <c r="W44" s="28"/>
      <c r="X44" s="28"/>
      <c r="Y44" s="28"/>
      <c r="Z44" s="96"/>
      <c r="AA44" s="28"/>
      <c r="AB44" s="28"/>
      <c r="AC44" s="28"/>
      <c r="AD44" s="28"/>
      <c r="AE44" s="28"/>
      <c r="AF44" s="28"/>
      <c r="AG44" s="28"/>
      <c r="AH44" s="28"/>
      <c r="AI44" s="28"/>
      <c r="AJ44" s="28"/>
      <c r="AK44" s="28"/>
      <c r="AL44" s="28" t="s">
        <v>26</v>
      </c>
      <c r="AM44" s="34">
        <f>[15]Production!$BW$5</f>
        <v>5.2215940784860276E-2</v>
      </c>
      <c r="AN44" s="48">
        <f t="shared" si="4"/>
        <v>5.9696022331684993E-2</v>
      </c>
      <c r="AO44" s="66">
        <f t="shared" ref="AO44:AO58" si="6">$AI$40*AN44</f>
        <v>2882962699.318512</v>
      </c>
    </row>
    <row r="45" spans="1:41" ht="48">
      <c r="A45" s="99" t="s">
        <v>1049</v>
      </c>
      <c r="B45" s="48">
        <f>'[1]Weight%'!$B$125*('[1]Weight%'!$B$40/('[1]Weight%'!$B$40+'[1]Weight%'!$B$77+'[1]Weight%'!$B$77))+'[1]Weight%'!$B$126*('[1]Weight%'!$B$77/('[1]Weight%'!$B$40+'[1]Weight%'!$B$77+'[1]Weight%'!$B$77))</f>
        <v>0.21317507338605368</v>
      </c>
      <c r="C45" s="28" t="s">
        <v>33</v>
      </c>
      <c r="D45" s="171"/>
      <c r="E45" s="28"/>
      <c r="F45" s="28"/>
      <c r="G45" s="28"/>
      <c r="H45" s="28"/>
      <c r="I45" s="28"/>
      <c r="J45" s="28"/>
      <c r="K45" s="28"/>
      <c r="L45" s="28"/>
      <c r="M45" s="28"/>
      <c r="N45" s="96" t="s">
        <v>596</v>
      </c>
      <c r="O45" s="28">
        <f>B42*(data_2tier!B86+data_2tier!B87+data_2tier!B88+data_2tier!B89)</f>
        <v>4950725568.2484837</v>
      </c>
      <c r="P45" s="28" t="s">
        <v>7</v>
      </c>
      <c r="Q45" s="28"/>
      <c r="R45" s="28"/>
      <c r="S45" s="28"/>
      <c r="T45" s="28"/>
      <c r="U45" s="28"/>
      <c r="V45" s="28"/>
      <c r="W45" s="28"/>
      <c r="X45" s="28"/>
      <c r="Y45" s="28"/>
      <c r="Z45" s="96"/>
      <c r="AA45" s="28"/>
      <c r="AB45" s="28"/>
      <c r="AC45" s="28"/>
      <c r="AD45" s="28"/>
      <c r="AE45" s="28"/>
      <c r="AF45" s="28"/>
      <c r="AG45" s="28"/>
      <c r="AH45" s="28"/>
      <c r="AI45" s="28"/>
      <c r="AJ45" s="28"/>
      <c r="AK45" s="28"/>
      <c r="AL45" s="28" t="s">
        <v>28</v>
      </c>
      <c r="AM45" s="34">
        <f>[15]Production!$CE$5</f>
        <v>0.16243924331100859</v>
      </c>
      <c r="AN45" s="48">
        <f t="shared" si="4"/>
        <v>0.18570912542185902</v>
      </c>
      <c r="AO45" s="66">
        <f t="shared" si="6"/>
        <v>8968645826.0069237</v>
      </c>
    </row>
    <row r="46" spans="1:41" ht="48">
      <c r="A46" s="99" t="s">
        <v>583</v>
      </c>
      <c r="B46" s="48">
        <f>'[1]Weight%'!$B$125*('[1]Weight%'!$B$41/('[1]Weight%'!$B$41+'[1]Weight%'!$B$76+'[1]Weight%'!$B$76))+'[1]Weight%'!$B$126*('[1]Weight%'!$B$76/('[1]Weight%'!$B$41+'[1]Weight%'!$B$76+'[1]Weight%'!$B$76))</f>
        <v>0.22904825593512196</v>
      </c>
      <c r="C46" s="28" t="s">
        <v>33</v>
      </c>
      <c r="D46" s="171"/>
      <c r="E46" s="28"/>
      <c r="F46" s="28"/>
      <c r="G46" s="28"/>
      <c r="H46" s="28"/>
      <c r="I46" s="28"/>
      <c r="J46" s="28"/>
      <c r="K46" s="28"/>
      <c r="L46" s="28"/>
      <c r="M46" s="28"/>
      <c r="N46" s="96" t="s">
        <v>1053</v>
      </c>
      <c r="O46" s="28">
        <f>B43*(data_2tier!B90)</f>
        <v>88634538.017410174</v>
      </c>
      <c r="P46" s="28" t="s">
        <v>7</v>
      </c>
      <c r="Q46" s="28"/>
      <c r="R46" s="28"/>
      <c r="S46" s="28"/>
      <c r="T46" s="28"/>
      <c r="U46" s="28"/>
      <c r="V46" s="28"/>
      <c r="W46" s="28"/>
      <c r="X46" s="28"/>
      <c r="Y46" s="28"/>
      <c r="Z46" s="28"/>
      <c r="AA46" s="28"/>
      <c r="AB46" s="28"/>
      <c r="AC46" s="28"/>
      <c r="AD46" s="28"/>
      <c r="AE46" s="28"/>
      <c r="AF46" s="28"/>
      <c r="AG46" s="28"/>
      <c r="AH46" s="28"/>
      <c r="AI46" s="28"/>
      <c r="AJ46" s="28"/>
      <c r="AK46" s="28"/>
      <c r="AL46" s="28" t="s">
        <v>560</v>
      </c>
      <c r="AM46" s="34">
        <f>[15]Production!$CI$5</f>
        <v>1.939286845114346E-2</v>
      </c>
      <c r="AN46" s="48">
        <f t="shared" si="4"/>
        <v>2.2170951834512412E-2</v>
      </c>
      <c r="AO46" s="66">
        <f t="shared" si="6"/>
        <v>1070725060.9118172</v>
      </c>
    </row>
    <row r="47" spans="1:41" ht="32">
      <c r="A47" s="99" t="s">
        <v>608</v>
      </c>
      <c r="B47" s="48">
        <f>'[1]Weight%'!$B$124</f>
        <v>0.19170988300058611</v>
      </c>
      <c r="C47" s="28" t="s">
        <v>33</v>
      </c>
      <c r="D47" s="171"/>
      <c r="E47" s="28"/>
      <c r="F47" s="28"/>
      <c r="G47" s="28"/>
      <c r="H47" s="28"/>
      <c r="I47" s="28"/>
      <c r="J47" s="28"/>
      <c r="K47" s="28"/>
      <c r="L47" s="28"/>
      <c r="M47" s="28"/>
      <c r="N47" s="96" t="s">
        <v>1054</v>
      </c>
      <c r="O47" s="28">
        <f>B44*(data_2tier!B91)</f>
        <v>26435169.269841038</v>
      </c>
      <c r="P47" s="28" t="s">
        <v>7</v>
      </c>
      <c r="Q47" s="28"/>
      <c r="R47" s="28"/>
      <c r="S47" s="28"/>
      <c r="T47" s="28"/>
      <c r="U47" s="28"/>
      <c r="V47" s="28"/>
      <c r="W47" s="28"/>
      <c r="X47" s="28"/>
      <c r="Y47" s="28"/>
      <c r="Z47" s="28"/>
      <c r="AA47" s="28"/>
      <c r="AB47" s="28"/>
      <c r="AC47" s="28"/>
      <c r="AD47" s="28"/>
      <c r="AE47" s="28"/>
      <c r="AF47" s="28"/>
      <c r="AG47" s="28"/>
      <c r="AH47" s="28"/>
      <c r="AI47" s="28"/>
      <c r="AJ47" s="28"/>
      <c r="AK47" s="28"/>
      <c r="AL47" s="28" t="s">
        <v>142</v>
      </c>
      <c r="AM47" s="34">
        <f>[15]Production!$DB$5</f>
        <v>3.0903721484363714E-2</v>
      </c>
      <c r="AN47" s="48">
        <f t="shared" si="4"/>
        <v>3.5330767197392865E-2</v>
      </c>
      <c r="AO47" s="66">
        <f t="shared" si="6"/>
        <v>1706265844.6897333</v>
      </c>
    </row>
    <row r="48" spans="1:41" ht="48">
      <c r="A48" s="99" t="s">
        <v>586</v>
      </c>
      <c r="B48" s="48">
        <f>'[1]Weight%'!$B$129</f>
        <v>0.3</v>
      </c>
      <c r="C48" s="28" t="s">
        <v>33</v>
      </c>
      <c r="D48" s="171"/>
      <c r="E48" s="28"/>
      <c r="F48" s="28"/>
      <c r="G48" s="28"/>
      <c r="H48" s="28"/>
      <c r="I48" s="28"/>
      <c r="J48" s="28"/>
      <c r="K48" s="28"/>
      <c r="L48" s="28"/>
      <c r="M48" s="28"/>
      <c r="N48" s="96" t="s">
        <v>1055</v>
      </c>
      <c r="O48" s="28">
        <f>B45*(data_2tier!B92)</f>
        <v>281790225.28354949</v>
      </c>
      <c r="P48" s="28" t="s">
        <v>7</v>
      </c>
      <c r="Q48" s="28"/>
      <c r="R48" s="28"/>
      <c r="S48" s="28"/>
      <c r="T48" s="28"/>
      <c r="U48" s="28"/>
      <c r="V48" s="28"/>
      <c r="W48" s="28"/>
      <c r="X48" s="28"/>
      <c r="Y48" s="28"/>
      <c r="Z48" s="28"/>
      <c r="AA48" s="28"/>
      <c r="AB48" s="28"/>
      <c r="AC48" s="28"/>
      <c r="AD48" s="28"/>
      <c r="AE48" s="28"/>
      <c r="AF48" s="28"/>
      <c r="AG48" s="28"/>
      <c r="AH48" s="28"/>
      <c r="AI48" s="28"/>
      <c r="AJ48" s="28"/>
      <c r="AK48" s="28"/>
      <c r="AL48" s="28" t="s">
        <v>18</v>
      </c>
      <c r="AM48" s="34">
        <f>[15]Production!$DE$5</f>
        <v>1.8045801135606145E-2</v>
      </c>
      <c r="AN48" s="48">
        <f t="shared" si="4"/>
        <v>2.0630913307160735E-2</v>
      </c>
      <c r="AO48" s="66">
        <f t="shared" si="6"/>
        <v>996350362.95959318</v>
      </c>
    </row>
    <row r="49" spans="1:41" ht="48">
      <c r="A49" s="99" t="s">
        <v>584</v>
      </c>
      <c r="B49" s="82">
        <f>'[1]Weight%'!$B$130</f>
        <v>0.10298969072164949</v>
      </c>
      <c r="C49" s="28" t="s">
        <v>33</v>
      </c>
      <c r="D49" s="171"/>
      <c r="E49" s="28"/>
      <c r="F49" s="28"/>
      <c r="G49" s="28"/>
      <c r="H49" s="28"/>
      <c r="I49" s="28"/>
      <c r="J49" s="28"/>
      <c r="K49" s="28"/>
      <c r="L49" s="28"/>
      <c r="M49" s="28"/>
      <c r="N49" s="96" t="s">
        <v>597</v>
      </c>
      <c r="O49" s="28">
        <f>B46*data_2tier!B93</f>
        <v>8543709779.537158</v>
      </c>
      <c r="P49" s="28" t="s">
        <v>7</v>
      </c>
      <c r="Q49" s="28"/>
      <c r="R49" s="28"/>
      <c r="S49" s="28"/>
      <c r="T49" s="28"/>
      <c r="U49" s="28"/>
      <c r="V49" s="28"/>
      <c r="W49" s="28"/>
      <c r="X49" s="28"/>
      <c r="Y49" s="28"/>
      <c r="Z49" s="28"/>
      <c r="AA49" s="28"/>
      <c r="AB49" s="28"/>
      <c r="AC49" s="28"/>
      <c r="AD49" s="28"/>
      <c r="AE49" s="28"/>
      <c r="AF49" s="28"/>
      <c r="AG49" s="28"/>
      <c r="AH49" s="28"/>
      <c r="AI49" s="28"/>
      <c r="AJ49" s="28"/>
      <c r="AK49" s="28"/>
      <c r="AL49" s="28" t="s">
        <v>19</v>
      </c>
      <c r="AM49" s="34">
        <f>[15]Production!$DJ$5</f>
        <v>7.5279604873439238E-2</v>
      </c>
      <c r="AN49" s="48">
        <f t="shared" si="4"/>
        <v>8.6063621685204428E-2</v>
      </c>
      <c r="AO49" s="66">
        <f t="shared" si="6"/>
        <v>4156360866.1914129</v>
      </c>
    </row>
    <row r="50" spans="1:41" ht="48">
      <c r="A50" s="99" t="s">
        <v>585</v>
      </c>
      <c r="B50" s="82">
        <f>'[1]Weight%'!$B$131</f>
        <v>0.14666666666666664</v>
      </c>
      <c r="C50" s="28" t="s">
        <v>33</v>
      </c>
      <c r="D50" s="171"/>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t="s">
        <v>46</v>
      </c>
      <c r="AM50" s="34">
        <f>[15]Production!$FB$5</f>
        <v>1.3364958655314316E-2</v>
      </c>
      <c r="AN50" s="48">
        <f t="shared" si="4"/>
        <v>1.5279526871629551E-2</v>
      </c>
      <c r="AO50" s="66">
        <f t="shared" si="6"/>
        <v>737910237.79422212</v>
      </c>
    </row>
    <row r="51" spans="1:41" ht="32">
      <c r="A51" s="99" t="s">
        <v>587</v>
      </c>
      <c r="B51" s="48">
        <f>'[1]Weight%'!$B$132</f>
        <v>0.183</v>
      </c>
      <c r="C51" s="28" t="s">
        <v>33</v>
      </c>
      <c r="D51" s="171"/>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t="s">
        <v>29</v>
      </c>
      <c r="AM51" s="34">
        <f>[15]Production!$FU$5</f>
        <v>1.5875993900377076E-2</v>
      </c>
      <c r="AN51" s="48">
        <f t="shared" si="4"/>
        <v>1.8150275034197888E-2</v>
      </c>
      <c r="AO51" s="66">
        <f t="shared" si="6"/>
        <v>876550293.67326951</v>
      </c>
    </row>
    <row r="52" spans="1:41">
      <c r="A52" s="99"/>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t="s">
        <v>464</v>
      </c>
      <c r="AM52" s="34">
        <f>[15]Production!$GF$5</f>
        <v>2.3342881144235557E-2</v>
      </c>
      <c r="AN52" s="48">
        <f t="shared" si="4"/>
        <v>2.6686815043964224E-2</v>
      </c>
      <c r="AO52" s="66">
        <f t="shared" si="6"/>
        <v>1288814385.4523602</v>
      </c>
    </row>
    <row r="53" spans="1:41">
      <c r="A53" s="30"/>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t="s">
        <v>48</v>
      </c>
      <c r="AM53" s="34">
        <f>[15]Production!$GQ$5</f>
        <v>1.2248134325748566E-2</v>
      </c>
      <c r="AN53" s="48">
        <f t="shared" si="4"/>
        <v>1.4002714290716393E-2</v>
      </c>
      <c r="AO53" s="66">
        <f t="shared" si="6"/>
        <v>676247786.91364717</v>
      </c>
    </row>
    <row r="54" spans="1:41">
      <c r="A54" s="30"/>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t="s">
        <v>161</v>
      </c>
      <c r="AM54" s="34">
        <f>[15]Production!$GS$5</f>
        <v>2.5357592249743106E-2</v>
      </c>
      <c r="AN54" s="48">
        <f t="shared" si="4"/>
        <v>2.899013922693373E-2</v>
      </c>
      <c r="AO54" s="66">
        <f t="shared" si="6"/>
        <v>1400051239.1751056</v>
      </c>
    </row>
    <row r="55" spans="1:41">
      <c r="A55" s="30"/>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t="s">
        <v>561</v>
      </c>
      <c r="AM55" s="34">
        <f>[15]Production!$GZ$5</f>
        <v>3.0628576930149778E-2</v>
      </c>
      <c r="AN55" s="48">
        <f t="shared" si="4"/>
        <v>3.5016207405767719E-2</v>
      </c>
      <c r="AO55" s="66">
        <f t="shared" si="6"/>
        <v>1691074478.3216031</v>
      </c>
    </row>
    <row r="56" spans="1:41">
      <c r="A56" s="30"/>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t="s">
        <v>435</v>
      </c>
      <c r="AM56" s="34">
        <f>[15]Production!$HC$5</f>
        <v>1.8975942856246104E-2</v>
      </c>
      <c r="AN56" s="48">
        <f t="shared" si="4"/>
        <v>2.1694300466184292E-2</v>
      </c>
      <c r="AO56" s="66">
        <f t="shared" si="6"/>
        <v>1047705635.8011473</v>
      </c>
    </row>
    <row r="57" spans="1:41">
      <c r="A57" s="30"/>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t="s">
        <v>147</v>
      </c>
      <c r="AM57" s="34">
        <f>[15]Production!$HJ$5</f>
        <v>1.5229202154343348E-2</v>
      </c>
      <c r="AN57" s="48">
        <f t="shared" si="4"/>
        <v>1.7410828536924893E-2</v>
      </c>
      <c r="AO57" s="66">
        <f t="shared" si="6"/>
        <v>840839427.41261637</v>
      </c>
    </row>
    <row r="58" spans="1:41">
      <c r="A58" s="30"/>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t="s">
        <v>20</v>
      </c>
      <c r="AM58" s="34">
        <f>[15]Production!$HT$5</f>
        <v>6.6602715949043281E-2</v>
      </c>
      <c r="AN58" s="48">
        <f t="shared" si="4"/>
        <v>7.6143743823873705E-2</v>
      </c>
      <c r="AO58" s="66">
        <f t="shared" si="6"/>
        <v>3677289786.7631845</v>
      </c>
    </row>
    <row r="59" spans="1:41">
      <c r="A59" s="39"/>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t="s">
        <v>27</v>
      </c>
      <c r="AM59" s="40">
        <f>SUM(AM40:AM58)</f>
        <v>0.87469715309901819</v>
      </c>
      <c r="AN59" s="37"/>
      <c r="AO59" s="42"/>
    </row>
    <row r="61" spans="1:41">
      <c r="A61" s="20" t="s">
        <v>612</v>
      </c>
    </row>
    <row r="62" spans="1:41" ht="32">
      <c r="A62" s="60" t="s">
        <v>0</v>
      </c>
      <c r="B62" s="23" t="s">
        <v>1</v>
      </c>
      <c r="C62" s="23" t="s">
        <v>558</v>
      </c>
      <c r="D62" s="23" t="s">
        <v>3</v>
      </c>
      <c r="E62" s="23"/>
      <c r="F62" s="114" t="s">
        <v>425</v>
      </c>
      <c r="G62" s="114" t="s">
        <v>424</v>
      </c>
      <c r="H62" s="114" t="s">
        <v>429</v>
      </c>
      <c r="I62" s="115" t="s">
        <v>527</v>
      </c>
    </row>
    <row r="63" spans="1:41" ht="48">
      <c r="A63" s="99" t="s">
        <v>611</v>
      </c>
      <c r="B63" s="82">
        <f>'[1]Weight%'!$B$134</f>
        <v>1.3802733201273121E-2</v>
      </c>
      <c r="C63" s="28" t="s">
        <v>33</v>
      </c>
      <c r="D63" s="32" t="s">
        <v>208</v>
      </c>
      <c r="E63" s="28"/>
      <c r="F63" s="28" t="s">
        <v>148</v>
      </c>
      <c r="G63" s="82">
        <f>[16]Production!$Z$3</f>
        <v>0.74042414051786087</v>
      </c>
      <c r="H63" s="48">
        <f>G63/$G$68</f>
        <v>0.76423249693180018</v>
      </c>
      <c r="I63" s="66">
        <f>H63*$B$64</f>
        <v>769250261.53644359</v>
      </c>
    </row>
    <row r="64" spans="1:41" ht="32">
      <c r="A64" s="99" t="s">
        <v>613</v>
      </c>
      <c r="B64" s="28">
        <f>B63*data_2tier!B41</f>
        <v>1006565756.6575465</v>
      </c>
      <c r="C64" s="43" t="s">
        <v>7</v>
      </c>
      <c r="D64" s="28"/>
      <c r="E64" s="28"/>
      <c r="F64" s="28" t="s">
        <v>88</v>
      </c>
      <c r="G64" s="82">
        <f>[16]Production!$AM$3</f>
        <v>8.6935583698481617E-2</v>
      </c>
      <c r="H64" s="48">
        <f>G64/$G$68</f>
        <v>8.9730999526360572E-2</v>
      </c>
      <c r="I64" s="66">
        <f>H64*$B$64</f>
        <v>90320151.433889076</v>
      </c>
    </row>
    <row r="65" spans="1:9" ht="32">
      <c r="A65" s="99" t="s">
        <v>614</v>
      </c>
      <c r="B65" s="28">
        <f>B63*data_2tier!B50</f>
        <v>12303061836.305834</v>
      </c>
      <c r="C65" s="43" t="s">
        <v>7</v>
      </c>
      <c r="D65" s="28"/>
      <c r="E65" s="28"/>
      <c r="F65" s="28" t="s">
        <v>86</v>
      </c>
      <c r="G65" s="82">
        <f>[16]Production!$EO$3</f>
        <v>7.6382236566485059E-2</v>
      </c>
      <c r="H65" s="48">
        <f>G65/$G$68</f>
        <v>7.8838309258276007E-2</v>
      </c>
      <c r="I65" s="66">
        <f>H65*$B$64</f>
        <v>79355942.412158251</v>
      </c>
    </row>
    <row r="66" spans="1:9">
      <c r="A66" s="30"/>
      <c r="B66" s="28"/>
      <c r="C66" s="28"/>
      <c r="D66" s="28"/>
      <c r="E66" s="28"/>
      <c r="F66" s="28" t="s">
        <v>428</v>
      </c>
      <c r="G66" s="82">
        <f>[16]Production!$GL$3</f>
        <v>5.4058411581091585E-2</v>
      </c>
      <c r="H66" s="48">
        <f>G66/$G$68</f>
        <v>5.5796661132482335E-2</v>
      </c>
      <c r="I66" s="66">
        <f>H66*$B$64</f>
        <v>56163008.431781799</v>
      </c>
    </row>
    <row r="67" spans="1:9">
      <c r="A67" s="30"/>
      <c r="B67" s="28"/>
      <c r="C67" s="28"/>
      <c r="D67" s="28"/>
      <c r="E67" s="28"/>
      <c r="F67" s="28" t="s">
        <v>434</v>
      </c>
      <c r="G67" s="82">
        <f>[16]Production!$GY$3</f>
        <v>1.1046337885221254E-2</v>
      </c>
      <c r="H67" s="48">
        <f>G67/$G$68</f>
        <v>1.1401533151080908E-2</v>
      </c>
      <c r="I67" s="66">
        <f>H67*$B$64</f>
        <v>11476392.843273856</v>
      </c>
    </row>
    <row r="68" spans="1:9">
      <c r="A68" s="39"/>
      <c r="B68" s="37"/>
      <c r="C68" s="37"/>
      <c r="D68" s="37"/>
      <c r="E68" s="37"/>
      <c r="F68" s="37" t="s">
        <v>27</v>
      </c>
      <c r="G68" s="131">
        <f>SUM(G63:G67)</f>
        <v>0.96884671024914037</v>
      </c>
      <c r="H68" s="37"/>
      <c r="I68" s="42"/>
    </row>
    <row r="70" spans="1:9">
      <c r="A70" s="20" t="s">
        <v>615</v>
      </c>
    </row>
    <row r="71" spans="1:9" ht="32">
      <c r="A71" s="60" t="s">
        <v>0</v>
      </c>
      <c r="B71" s="23" t="s">
        <v>1</v>
      </c>
      <c r="C71" s="23" t="s">
        <v>558</v>
      </c>
      <c r="D71" s="23" t="s">
        <v>3</v>
      </c>
      <c r="E71" s="23"/>
      <c r="F71" s="114" t="s">
        <v>425</v>
      </c>
      <c r="G71" s="114" t="s">
        <v>424</v>
      </c>
      <c r="H71" s="114" t="s">
        <v>429</v>
      </c>
      <c r="I71" s="115" t="s">
        <v>527</v>
      </c>
    </row>
    <row r="72" spans="1:9" ht="48">
      <c r="A72" s="99" t="s">
        <v>616</v>
      </c>
      <c r="B72" s="82">
        <f>'[1]Weight%'!$B$135</f>
        <v>1.3934614299719403E-3</v>
      </c>
      <c r="C72" s="28" t="s">
        <v>33</v>
      </c>
      <c r="D72" s="32" t="s">
        <v>208</v>
      </c>
      <c r="E72" s="28"/>
      <c r="F72" s="28" t="s">
        <v>461</v>
      </c>
      <c r="G72" s="82">
        <f>[17]Production!$M$3</f>
        <v>0.18388863781689474</v>
      </c>
      <c r="H72" s="48">
        <f t="shared" ref="H72:H84" si="7">G72/$G$85</f>
        <v>0.1977750543614761</v>
      </c>
      <c r="I72" s="66">
        <f t="shared" ref="I72:I84" si="8">H72*$B$73</f>
        <v>17224372.74620698</v>
      </c>
    </row>
    <row r="73" spans="1:9" ht="32">
      <c r="A73" s="99" t="s">
        <v>617</v>
      </c>
      <c r="B73" s="65">
        <f>B72*data_2tier!B94</f>
        <v>87090724.36772418</v>
      </c>
      <c r="C73" s="28" t="s">
        <v>7</v>
      </c>
      <c r="D73" s="28"/>
      <c r="E73" s="28"/>
      <c r="F73" s="28" t="s">
        <v>88</v>
      </c>
      <c r="G73" s="82">
        <f>[17]Production!$AM$3</f>
        <v>2.8683420101097055E-2</v>
      </c>
      <c r="H73" s="48">
        <f t="shared" si="7"/>
        <v>3.0849458874213996E-2</v>
      </c>
      <c r="I73" s="66">
        <f t="shared" si="8"/>
        <v>2686701.7197076138</v>
      </c>
    </row>
    <row r="74" spans="1:9" ht="32">
      <c r="A74" s="99" t="s">
        <v>618</v>
      </c>
      <c r="B74" s="65">
        <f>B72*data_2tier!B103</f>
        <v>1069314194.3656404</v>
      </c>
      <c r="C74" s="28" t="s">
        <v>7</v>
      </c>
      <c r="D74" s="28"/>
      <c r="E74" s="28"/>
      <c r="F74" s="28" t="s">
        <v>17</v>
      </c>
      <c r="G74" s="82">
        <f>[17]Production!$AT$3</f>
        <v>0.11980247113574231</v>
      </c>
      <c r="H74" s="48">
        <f t="shared" si="7"/>
        <v>0.12884939778119195</v>
      </c>
      <c r="I74" s="66">
        <f t="shared" si="8"/>
        <v>11221587.387109039</v>
      </c>
    </row>
    <row r="75" spans="1:9">
      <c r="A75" s="30"/>
      <c r="B75" s="28"/>
      <c r="C75" s="28"/>
      <c r="D75" s="28"/>
      <c r="E75" s="28"/>
      <c r="F75" s="28" t="s">
        <v>22</v>
      </c>
      <c r="G75" s="82">
        <f>[17]Production!$BG$3</f>
        <v>0.138820909521119</v>
      </c>
      <c r="H75" s="48">
        <f t="shared" si="7"/>
        <v>0.14930402037339152</v>
      </c>
      <c r="I75" s="66">
        <f t="shared" si="8"/>
        <v>13002995.285332117</v>
      </c>
    </row>
    <row r="76" spans="1:9">
      <c r="A76" s="30"/>
      <c r="B76" s="28"/>
      <c r="C76" s="28"/>
      <c r="D76" s="28"/>
      <c r="E76" s="28"/>
      <c r="F76" s="28" t="s">
        <v>28</v>
      </c>
      <c r="G76" s="82">
        <f>[17]Production!$CE$3</f>
        <v>2.4438726986534286E-2</v>
      </c>
      <c r="H76" s="48">
        <f t="shared" si="7"/>
        <v>2.628422623424875E-2</v>
      </c>
      <c r="I76" s="66">
        <f t="shared" si="8"/>
        <v>2289112.3021858628</v>
      </c>
    </row>
    <row r="77" spans="1:9">
      <c r="A77" s="30"/>
      <c r="B77" s="28"/>
      <c r="C77" s="28"/>
      <c r="D77" s="28"/>
      <c r="E77" s="28"/>
      <c r="F77" s="28" t="s">
        <v>18</v>
      </c>
      <c r="G77" s="82">
        <f>[17]Production!$DE$3</f>
        <v>2.0852822824271974E-2</v>
      </c>
      <c r="H77" s="48">
        <f t="shared" si="7"/>
        <v>2.2427531230979146E-2</v>
      </c>
      <c r="I77" s="66">
        <f t="shared" si="8"/>
        <v>1953229.9406857307</v>
      </c>
    </row>
    <row r="78" spans="1:9">
      <c r="A78" s="30"/>
      <c r="B78" s="28"/>
      <c r="C78" s="28"/>
      <c r="D78" s="28"/>
      <c r="E78" s="28"/>
      <c r="F78" s="28" t="s">
        <v>19</v>
      </c>
      <c r="G78" s="82">
        <f>[17]Production!$DJ$3</f>
        <v>5.5284308681190039E-2</v>
      </c>
      <c r="H78" s="48">
        <f t="shared" si="7"/>
        <v>5.945912311149025E-2</v>
      </c>
      <c r="I78" s="66">
        <f t="shared" si="8"/>
        <v>5178338.1020493759</v>
      </c>
    </row>
    <row r="79" spans="1:9">
      <c r="A79" s="30"/>
      <c r="B79" s="28"/>
      <c r="C79" s="28"/>
      <c r="D79" s="28"/>
      <c r="E79" s="28"/>
      <c r="F79" s="28" t="s">
        <v>619</v>
      </c>
      <c r="G79" s="82">
        <f>[17]Production!$DP$3</f>
        <v>1.0764339560196377E-2</v>
      </c>
      <c r="H79" s="48">
        <f t="shared" si="7"/>
        <v>1.1577212529047471E-2</v>
      </c>
      <c r="I79" s="66">
        <f t="shared" si="8"/>
        <v>1008267.8253138362</v>
      </c>
    </row>
    <row r="80" spans="1:9">
      <c r="A80" s="30"/>
      <c r="B80" s="28"/>
      <c r="C80" s="28"/>
      <c r="D80" s="28"/>
      <c r="E80" s="28"/>
      <c r="F80" s="28" t="s">
        <v>86</v>
      </c>
      <c r="G80" s="82">
        <f>[17]Production!$EO$3</f>
        <v>6.2719122407173963E-2</v>
      </c>
      <c r="H80" s="48">
        <f t="shared" si="7"/>
        <v>6.7455379466861573E-2</v>
      </c>
      <c r="I80" s="66">
        <f t="shared" si="8"/>
        <v>5874737.8602686822</v>
      </c>
    </row>
    <row r="81" spans="1:9">
      <c r="A81" s="30"/>
      <c r="B81" s="28"/>
      <c r="C81" s="28"/>
      <c r="D81" s="28"/>
      <c r="E81" s="28"/>
      <c r="F81" s="28" t="s">
        <v>620</v>
      </c>
      <c r="G81" s="82">
        <f>[17]Production!$EV$3</f>
        <v>0.11921576475572462</v>
      </c>
      <c r="H81" s="48">
        <f t="shared" si="7"/>
        <v>0.12821838605811983</v>
      </c>
      <c r="I81" s="66">
        <f t="shared" si="8"/>
        <v>11166632.119062163</v>
      </c>
    </row>
    <row r="82" spans="1:9">
      <c r="A82" s="30"/>
      <c r="B82" s="28"/>
      <c r="C82" s="28"/>
      <c r="D82" s="28"/>
      <c r="E82" s="28"/>
      <c r="F82" s="28" t="s">
        <v>29</v>
      </c>
      <c r="G82" s="82">
        <f>[17]Production!$FU$3</f>
        <v>2.3014721438727119E-2</v>
      </c>
      <c r="H82" s="48">
        <f t="shared" si="7"/>
        <v>2.4752686395941619E-2</v>
      </c>
      <c r="I82" s="66">
        <f t="shared" si="8"/>
        <v>2155729.3882696675</v>
      </c>
    </row>
    <row r="83" spans="1:9">
      <c r="A83" s="30"/>
      <c r="B83" s="28"/>
      <c r="C83" s="28"/>
      <c r="D83" s="28"/>
      <c r="E83" s="28"/>
      <c r="F83" s="28" t="s">
        <v>467</v>
      </c>
      <c r="G83" s="82">
        <f>[17]Production!$GO$3</f>
        <v>1.8851630739995583E-2</v>
      </c>
      <c r="H83" s="48">
        <f t="shared" si="7"/>
        <v>2.0275218407553815E-2</v>
      </c>
      <c r="I83" s="66">
        <f t="shared" si="8"/>
        <v>1765783.4578276768</v>
      </c>
    </row>
    <row r="84" spans="1:9">
      <c r="A84" s="30"/>
      <c r="B84" s="28"/>
      <c r="C84" s="28"/>
      <c r="D84" s="28"/>
      <c r="E84" s="28"/>
      <c r="F84" s="28" t="s">
        <v>48</v>
      </c>
      <c r="G84" s="82">
        <f>[17]Production!$GQ$3</f>
        <v>0.12344993870614544</v>
      </c>
      <c r="H84" s="48">
        <f t="shared" si="7"/>
        <v>0.13277230517548408</v>
      </c>
      <c r="I84" s="66">
        <f t="shared" si="8"/>
        <v>11563236.233705442</v>
      </c>
    </row>
    <row r="85" spans="1:9">
      <c r="A85" s="39"/>
      <c r="B85" s="37"/>
      <c r="C85" s="37"/>
      <c r="D85" s="37"/>
      <c r="E85" s="37"/>
      <c r="F85" s="37" t="s">
        <v>27</v>
      </c>
      <c r="G85" s="131">
        <f>SUM(G72:G84)</f>
        <v>0.92978681467481239</v>
      </c>
      <c r="H85" s="37"/>
      <c r="I85" s="42"/>
    </row>
    <row r="89" spans="1:9">
      <c r="A89" s="20" t="s">
        <v>1043</v>
      </c>
    </row>
    <row r="90" spans="1:9">
      <c r="A90" t="s">
        <v>1056</v>
      </c>
    </row>
  </sheetData>
  <mergeCells count="2">
    <mergeCell ref="D5:D9"/>
    <mergeCell ref="D40:D51"/>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5"/>
  <sheetViews>
    <sheetView topLeftCell="A13" workbookViewId="0">
      <selection activeCell="F9" sqref="F9"/>
    </sheetView>
  </sheetViews>
  <sheetFormatPr baseColWidth="10" defaultRowHeight="16"/>
  <cols>
    <col min="1" max="1" width="25.26953125" customWidth="1"/>
    <col min="2" max="2" width="17" bestFit="1" customWidth="1"/>
    <col min="4" max="4" width="24" customWidth="1"/>
    <col min="6" max="6" width="19" customWidth="1"/>
    <col min="7" max="7" width="24.1796875" customWidth="1"/>
    <col min="8" max="8" width="20" customWidth="1"/>
    <col min="9" max="10" width="23.54296875" customWidth="1"/>
  </cols>
  <sheetData>
    <row r="1" spans="1:9">
      <c r="A1" s="20" t="s">
        <v>621</v>
      </c>
    </row>
    <row r="3" spans="1:9">
      <c r="A3" s="84" t="s">
        <v>622</v>
      </c>
    </row>
    <row r="4" spans="1:9" ht="32">
      <c r="A4" s="60" t="s">
        <v>0</v>
      </c>
      <c r="B4" s="23" t="s">
        <v>1</v>
      </c>
      <c r="C4" s="23" t="s">
        <v>558</v>
      </c>
      <c r="D4" s="23" t="s">
        <v>3</v>
      </c>
      <c r="E4" s="23"/>
      <c r="F4" s="114" t="s">
        <v>631</v>
      </c>
      <c r="G4" s="114" t="s">
        <v>424</v>
      </c>
      <c r="H4" s="114" t="s">
        <v>429</v>
      </c>
      <c r="I4" s="115" t="s">
        <v>527</v>
      </c>
    </row>
    <row r="5" spans="1:9" ht="32">
      <c r="A5" s="67" t="s">
        <v>623</v>
      </c>
      <c r="B5" s="82">
        <f>'[1]Weight%'!$B$137</f>
        <v>0.02</v>
      </c>
      <c r="C5" s="28" t="s">
        <v>33</v>
      </c>
      <c r="D5" s="171" t="s">
        <v>208</v>
      </c>
      <c r="E5" s="28"/>
      <c r="F5" s="130">
        <v>104</v>
      </c>
      <c r="G5" s="82">
        <f>[18]Production!$AH$3</f>
        <v>7.7886727849415333E-2</v>
      </c>
      <c r="H5" s="48">
        <f>G5/$G$17</f>
        <v>8.3663729851356075E-2</v>
      </c>
      <c r="I5" s="66">
        <f>H5*$B$9</f>
        <v>7384128.4989919076</v>
      </c>
    </row>
    <row r="6" spans="1:9" ht="32">
      <c r="A6" s="67" t="s">
        <v>624</v>
      </c>
      <c r="B6" s="82">
        <f>'[1]Weight%'!$B$138</f>
        <v>4.0000000000000001E-3</v>
      </c>
      <c r="C6" s="28" t="s">
        <v>33</v>
      </c>
      <c r="D6" s="171"/>
      <c r="E6" s="28"/>
      <c r="F6" s="130">
        <v>156</v>
      </c>
      <c r="G6" s="82">
        <f>[18]Production!$AT$3</f>
        <v>0.31289045106443986</v>
      </c>
      <c r="H6" s="48">
        <f t="shared" ref="H6:H16" si="0">G6/$G$17</f>
        <v>0.3360981118828803</v>
      </c>
      <c r="I6" s="66">
        <f t="shared" ref="I6:I16" si="1">H6*$B$9</f>
        <v>29663889.606895413</v>
      </c>
    </row>
    <row r="7" spans="1:9" ht="32">
      <c r="A7" s="67" t="s">
        <v>625</v>
      </c>
      <c r="B7" s="65">
        <f>B5*data_3tier!B24</f>
        <v>49747042.35994754</v>
      </c>
      <c r="C7" s="43" t="s">
        <v>7</v>
      </c>
      <c r="D7" s="28"/>
      <c r="E7" s="28"/>
      <c r="F7" s="130">
        <v>251</v>
      </c>
      <c r="G7" s="82">
        <f>[18]Production!$BW$3</f>
        <v>1.1584544008819461E-2</v>
      </c>
      <c r="H7" s="48">
        <f t="shared" si="0"/>
        <v>1.2443790966271701E-2</v>
      </c>
      <c r="I7" s="66">
        <f t="shared" si="1"/>
        <v>1098284.1868608797</v>
      </c>
    </row>
    <row r="8" spans="1:9" ht="32">
      <c r="A8" s="67" t="s">
        <v>626</v>
      </c>
      <c r="B8" s="65">
        <f>B6*data_2tier!B172</f>
        <v>38512571.598349109</v>
      </c>
      <c r="C8" s="43" t="s">
        <v>7</v>
      </c>
      <c r="D8" s="28"/>
      <c r="E8" s="28"/>
      <c r="F8" s="130">
        <v>410</v>
      </c>
      <c r="G8" s="82">
        <f>[18]Production!$DJ$3</f>
        <v>4.1921909157624976E-2</v>
      </c>
      <c r="H8" s="48">
        <f t="shared" si="0"/>
        <v>4.5031334342324085E-2</v>
      </c>
      <c r="I8" s="66">
        <f t="shared" si="1"/>
        <v>3974448.1850805106</v>
      </c>
    </row>
    <row r="9" spans="1:9" ht="32">
      <c r="A9" s="67" t="s">
        <v>629</v>
      </c>
      <c r="B9" s="65">
        <f>B7+B8</f>
        <v>88259613.958296657</v>
      </c>
      <c r="C9" s="43" t="s">
        <v>7</v>
      </c>
      <c r="D9" s="28"/>
      <c r="E9" s="28"/>
      <c r="F9" s="130">
        <v>512</v>
      </c>
      <c r="G9" s="82">
        <f>[18]Production!$EK$3</f>
        <v>1.3246014817910958E-2</v>
      </c>
      <c r="H9" s="48">
        <f t="shared" si="0"/>
        <v>1.4228496124209447E-2</v>
      </c>
      <c r="I9" s="66">
        <f t="shared" si="1"/>
        <v>1255801.5751298459</v>
      </c>
    </row>
    <row r="10" spans="1:9" ht="32">
      <c r="A10" s="67" t="s">
        <v>627</v>
      </c>
      <c r="B10" s="65">
        <f>B5*data_3tier!B25</f>
        <v>628057528.7026248</v>
      </c>
      <c r="C10" s="43" t="s">
        <v>7</v>
      </c>
      <c r="D10" s="28"/>
      <c r="E10" s="28"/>
      <c r="F10" s="130">
        <v>604</v>
      </c>
      <c r="G10" s="82">
        <f>[18]Production!$FL$3</f>
        <v>1.1541685315778698E-2</v>
      </c>
      <c r="H10" s="48">
        <f t="shared" si="0"/>
        <v>1.2397753365060911E-2</v>
      </c>
      <c r="I10" s="66">
        <f t="shared" si="1"/>
        <v>1094220.9259504494</v>
      </c>
    </row>
    <row r="11" spans="1:9" ht="32">
      <c r="A11" s="67" t="s">
        <v>628</v>
      </c>
      <c r="B11" s="65">
        <f>B6*data_2tier!B181</f>
        <v>473168018.10867995</v>
      </c>
      <c r="C11" s="43" t="s">
        <v>7</v>
      </c>
      <c r="D11" s="28"/>
      <c r="E11" s="28"/>
      <c r="F11" s="130">
        <v>699</v>
      </c>
      <c r="G11" s="82">
        <f>[18]Production!$GK$3</f>
        <v>5.2379751699769071E-2</v>
      </c>
      <c r="H11" s="48">
        <f t="shared" si="0"/>
        <v>5.6264854319765668E-2</v>
      </c>
      <c r="I11" s="66">
        <f t="shared" si="1"/>
        <v>4965914.3216823181</v>
      </c>
    </row>
    <row r="12" spans="1:9" ht="32">
      <c r="A12" s="67" t="s">
        <v>630</v>
      </c>
      <c r="B12" s="65">
        <f>SUM(B10:B11)</f>
        <v>1101225546.8113048</v>
      </c>
      <c r="C12" s="43" t="s">
        <v>7</v>
      </c>
      <c r="D12" s="28"/>
      <c r="E12" s="28"/>
      <c r="F12" s="130">
        <v>702</v>
      </c>
      <c r="G12" s="82">
        <f>[18]Production!$GL$3</f>
        <v>1.1607125182715314E-2</v>
      </c>
      <c r="H12" s="48">
        <f t="shared" si="0"/>
        <v>1.2468047027409637E-2</v>
      </c>
      <c r="I12" s="66">
        <f t="shared" si="1"/>
        <v>1100425.0174530626</v>
      </c>
    </row>
    <row r="13" spans="1:9">
      <c r="A13" s="30"/>
      <c r="B13" s="28"/>
      <c r="C13" s="28"/>
      <c r="D13" s="28"/>
      <c r="E13" s="28"/>
      <c r="F13" s="130">
        <v>704</v>
      </c>
      <c r="G13" s="82">
        <f>[18]Production!$GN$3</f>
        <v>0.16748470071895188</v>
      </c>
      <c r="H13" s="48">
        <f t="shared" si="0"/>
        <v>0.17990734932756325</v>
      </c>
      <c r="I13" s="66">
        <f t="shared" si="1"/>
        <v>15878553.199911155</v>
      </c>
    </row>
    <row r="14" spans="1:9">
      <c r="A14" s="30"/>
      <c r="B14" s="28"/>
      <c r="C14" s="28"/>
      <c r="D14" s="28"/>
      <c r="E14" s="28"/>
      <c r="F14" s="130">
        <v>762</v>
      </c>
      <c r="G14" s="82">
        <f>[18]Production!$HB$3</f>
        <v>0.18781215024125561</v>
      </c>
      <c r="H14" s="48">
        <f t="shared" si="0"/>
        <v>0.20174252320582836</v>
      </c>
      <c r="I14" s="66">
        <f t="shared" si="1"/>
        <v>17805717.217119116</v>
      </c>
    </row>
    <row r="15" spans="1:9">
      <c r="A15" s="30"/>
      <c r="B15" s="28"/>
      <c r="C15" s="28"/>
      <c r="D15" s="28"/>
      <c r="E15" s="28"/>
      <c r="F15" s="130">
        <v>764</v>
      </c>
      <c r="G15" s="82">
        <f>[18]Production!$HC$3</f>
        <v>3.0186395402569427E-2</v>
      </c>
      <c r="H15" s="48">
        <f t="shared" si="0"/>
        <v>3.2425375925787384E-2</v>
      </c>
      <c r="I15" s="66">
        <f t="shared" si="1"/>
        <v>2861851.1616626405</v>
      </c>
    </row>
    <row r="16" spans="1:9">
      <c r="A16" s="30"/>
      <c r="B16" s="28"/>
      <c r="C16" s="28"/>
      <c r="D16" s="28"/>
      <c r="E16" s="28"/>
      <c r="F16" s="130">
        <v>842</v>
      </c>
      <c r="G16" s="82">
        <f>[18]Production!$HT$3</f>
        <v>1.2408288089062936E-2</v>
      </c>
      <c r="H16" s="48">
        <f t="shared" si="0"/>
        <v>1.3328633661543065E-2</v>
      </c>
      <c r="I16" s="66">
        <f t="shared" si="1"/>
        <v>1176380.0615593488</v>
      </c>
    </row>
    <row r="17" spans="1:10">
      <c r="A17" s="39"/>
      <c r="B17" s="37"/>
      <c r="C17" s="37"/>
      <c r="D17" s="37"/>
      <c r="E17" s="37"/>
      <c r="F17" s="37" t="s">
        <v>27</v>
      </c>
      <c r="G17" s="131">
        <f>SUM(G5:G16)</f>
        <v>0.93094974354831361</v>
      </c>
      <c r="H17" s="37"/>
      <c r="I17" s="42"/>
    </row>
    <row r="19" spans="1:10">
      <c r="A19" s="84" t="s">
        <v>632</v>
      </c>
    </row>
    <row r="20" spans="1:10" ht="32">
      <c r="A20" s="60" t="s">
        <v>0</v>
      </c>
      <c r="B20" s="23" t="s">
        <v>1</v>
      </c>
      <c r="C20" s="23" t="s">
        <v>558</v>
      </c>
      <c r="D20" s="23" t="s">
        <v>3</v>
      </c>
      <c r="E20" s="23"/>
      <c r="F20" s="114" t="s">
        <v>929</v>
      </c>
      <c r="G20" s="114" t="s">
        <v>1120</v>
      </c>
      <c r="H20" s="114" t="s">
        <v>429</v>
      </c>
      <c r="I20" s="115" t="s">
        <v>527</v>
      </c>
    </row>
    <row r="21" spans="1:10" ht="32" customHeight="1">
      <c r="A21" s="67" t="s">
        <v>633</v>
      </c>
      <c r="B21" s="82">
        <f>'[1]Weight%'!$B$139</f>
        <v>0.89857999999999993</v>
      </c>
      <c r="C21" s="28" t="s">
        <v>33</v>
      </c>
      <c r="D21" s="171" t="s">
        <v>208</v>
      </c>
      <c r="E21" s="28"/>
      <c r="F21" s="130">
        <v>31</v>
      </c>
      <c r="G21" s="136">
        <v>30248000</v>
      </c>
      <c r="H21" s="48">
        <f>G21/$G$62</f>
        <v>4.627257985404648E-4</v>
      </c>
      <c r="I21" s="66">
        <f>H21*$B$28</f>
        <v>21056713.155819323</v>
      </c>
      <c r="J21" s="11"/>
    </row>
    <row r="22" spans="1:10" ht="32">
      <c r="A22" s="67" t="s">
        <v>634</v>
      </c>
      <c r="B22" s="82">
        <f>'[1]Weight%'!$B$140</f>
        <v>1</v>
      </c>
      <c r="C22" s="28" t="s">
        <v>33</v>
      </c>
      <c r="D22" s="171"/>
      <c r="E22" s="28"/>
      <c r="F22" s="121">
        <v>32</v>
      </c>
      <c r="G22" s="173">
        <v>309800000</v>
      </c>
      <c r="H22" s="162">
        <f t="shared" ref="H22:H61" si="2">G22/$G$62</f>
        <v>4.7392373838877283E-3</v>
      </c>
      <c r="I22" s="166">
        <f t="shared" ref="I22:I61" si="3">H22*$B$28</f>
        <v>215662845.00373006</v>
      </c>
      <c r="J22" s="11"/>
    </row>
    <row r="23" spans="1:10" ht="32">
      <c r="A23" s="67" t="s">
        <v>635</v>
      </c>
      <c r="B23" s="82">
        <f>'[1]Weight%'!$B$141</f>
        <v>0.08</v>
      </c>
      <c r="C23" s="28" t="s">
        <v>33</v>
      </c>
      <c r="D23" s="171"/>
      <c r="E23" s="28"/>
      <c r="F23" s="121">
        <v>36</v>
      </c>
      <c r="G23" s="173">
        <v>1585017000</v>
      </c>
      <c r="H23" s="162">
        <f t="shared" si="2"/>
        <v>2.4247165334078679E-2</v>
      </c>
      <c r="I23" s="166">
        <f t="shared" si="3"/>
        <v>1103386945.1235545</v>
      </c>
      <c r="J23" s="11"/>
    </row>
    <row r="24" spans="1:10" ht="32">
      <c r="A24" s="67" t="s">
        <v>636</v>
      </c>
      <c r="B24" s="65">
        <f>B21*data_4tier!AI40</f>
        <v>43396067630.097763</v>
      </c>
      <c r="C24" s="43" t="s">
        <v>7</v>
      </c>
      <c r="D24" s="28"/>
      <c r="E24" s="28"/>
      <c r="F24" s="121">
        <v>48</v>
      </c>
      <c r="G24" s="173">
        <v>1548000000</v>
      </c>
      <c r="H24" s="162">
        <f t="shared" si="2"/>
        <v>2.3680889187405432E-2</v>
      </c>
      <c r="I24" s="166">
        <f t="shared" si="3"/>
        <v>1077618089.3020468</v>
      </c>
      <c r="J24" s="11"/>
    </row>
    <row r="25" spans="1:10" ht="32">
      <c r="A25" s="67" t="s">
        <v>637</v>
      </c>
      <c r="B25" s="65">
        <f>B21*data_4tier!B19</f>
        <v>108322962.39086966</v>
      </c>
      <c r="C25" s="43" t="s">
        <v>7</v>
      </c>
      <c r="D25" s="28"/>
      <c r="E25" s="28"/>
      <c r="F25" s="121">
        <v>70</v>
      </c>
      <c r="G25" s="173">
        <v>17858000</v>
      </c>
      <c r="H25" s="162">
        <f t="shared" si="2"/>
        <v>2.7318689864902208E-4</v>
      </c>
      <c r="I25" s="166">
        <f t="shared" si="3"/>
        <v>12431591.627103329</v>
      </c>
      <c r="J25" s="11"/>
    </row>
    <row r="26" spans="1:10" ht="32">
      <c r="A26" s="67" t="s">
        <v>638</v>
      </c>
      <c r="B26" s="65">
        <f>B22*data_3tier!B84</f>
        <v>1231169888.8560243</v>
      </c>
      <c r="C26" s="43" t="s">
        <v>7</v>
      </c>
      <c r="D26" s="28"/>
      <c r="E26" s="28"/>
      <c r="F26" s="121">
        <v>76</v>
      </c>
      <c r="G26" s="173">
        <v>685100000</v>
      </c>
      <c r="H26" s="162">
        <f t="shared" si="2"/>
        <v>1.0480476215950557E-2</v>
      </c>
      <c r="I26" s="166">
        <f t="shared" si="3"/>
        <v>476922579.44498211</v>
      </c>
      <c r="J26" s="11"/>
    </row>
    <row r="27" spans="1:10" ht="32">
      <c r="A27" s="67" t="s">
        <v>639</v>
      </c>
      <c r="B27" s="65">
        <f>B23*data_2tier!B172</f>
        <v>770251431.96698213</v>
      </c>
      <c r="C27" s="43" t="s">
        <v>7</v>
      </c>
      <c r="D27" s="28"/>
      <c r="E27" s="28"/>
      <c r="F27" s="121">
        <v>120</v>
      </c>
      <c r="G27" s="173">
        <v>60000000</v>
      </c>
      <c r="H27" s="162">
        <f t="shared" si="2"/>
        <v>9.1786392199245861E-4</v>
      </c>
      <c r="I27" s="166">
        <f t="shared" si="3"/>
        <v>41768142.99620337</v>
      </c>
      <c r="J27" s="11"/>
    </row>
    <row r="28" spans="1:10" ht="32">
      <c r="A28" s="67" t="s">
        <v>644</v>
      </c>
      <c r="B28" s="65">
        <f>SUM(B24:B27)</f>
        <v>45505811913.311638</v>
      </c>
      <c r="C28" s="43" t="s">
        <v>7</v>
      </c>
      <c r="D28" s="28"/>
      <c r="E28" s="28"/>
      <c r="F28" s="121">
        <v>124</v>
      </c>
      <c r="G28" s="173">
        <v>3154493000</v>
      </c>
      <c r="H28" s="162">
        <f t="shared" si="2"/>
        <v>4.8256588614629281E-2</v>
      </c>
      <c r="I28" s="166">
        <f t="shared" si="3"/>
        <v>2195955245.075376</v>
      </c>
      <c r="J28" s="11"/>
    </row>
    <row r="29" spans="1:10" ht="32">
      <c r="A29" s="67" t="s">
        <v>640</v>
      </c>
      <c r="B29" s="65">
        <f>B21*data_4tier!AI41</f>
        <v>389795672355.7569</v>
      </c>
      <c r="C29" s="43" t="s">
        <v>7</v>
      </c>
      <c r="D29" s="28"/>
      <c r="E29" s="28"/>
      <c r="F29" s="121">
        <v>156</v>
      </c>
      <c r="G29" s="173">
        <v>37080400000</v>
      </c>
      <c r="H29" s="162">
        <f t="shared" si="2"/>
        <v>0.56724602288415271</v>
      </c>
      <c r="I29" s="166">
        <f t="shared" si="3"/>
        <v>25812990825.940323</v>
      </c>
      <c r="J29" s="11"/>
    </row>
    <row r="30" spans="1:10" ht="32">
      <c r="A30" s="67" t="s">
        <v>641</v>
      </c>
      <c r="B30" s="65">
        <f>B21*data_4tier!B20</f>
        <v>394556022.51632279</v>
      </c>
      <c r="C30" s="43" t="s">
        <v>7</v>
      </c>
      <c r="D30" s="28"/>
      <c r="E30" s="28"/>
      <c r="F30" s="121">
        <v>251</v>
      </c>
      <c r="G30" s="173">
        <v>350000000</v>
      </c>
      <c r="H30" s="162">
        <f t="shared" si="2"/>
        <v>5.3542062116226754E-3</v>
      </c>
      <c r="I30" s="166">
        <f t="shared" si="3"/>
        <v>243647500.81118631</v>
      </c>
      <c r="J30" s="11"/>
    </row>
    <row r="31" spans="1:10" ht="32">
      <c r="A31" s="67" t="s">
        <v>642</v>
      </c>
      <c r="B31" s="65">
        <f>B22*data_3tier!B93</f>
        <v>15898445408.451643</v>
      </c>
      <c r="C31" s="43" t="s">
        <v>7</v>
      </c>
      <c r="D31" s="28"/>
      <c r="E31" s="28"/>
      <c r="F31" s="121">
        <v>276</v>
      </c>
      <c r="G31" s="173">
        <v>529056000</v>
      </c>
      <c r="H31" s="162">
        <f t="shared" si="2"/>
        <v>8.0933569185607027E-3</v>
      </c>
      <c r="I31" s="166">
        <f t="shared" si="3"/>
        <v>368294777.68332279</v>
      </c>
      <c r="J31" s="11"/>
    </row>
    <row r="32" spans="1:10" ht="32">
      <c r="A32" s="67" t="s">
        <v>643</v>
      </c>
      <c r="B32" s="65">
        <f>B23*data_2tier!B181</f>
        <v>9463360362.1735992</v>
      </c>
      <c r="C32" s="43" t="s">
        <v>7</v>
      </c>
      <c r="D32" s="28"/>
      <c r="E32" s="28"/>
      <c r="F32" s="121">
        <v>288</v>
      </c>
      <c r="G32" s="173">
        <v>37566000</v>
      </c>
      <c r="H32" s="162">
        <f t="shared" si="2"/>
        <v>5.7467460155947829E-4</v>
      </c>
      <c r="I32" s="166">
        <f t="shared" si="3"/>
        <v>26151034.329922926</v>
      </c>
      <c r="J32" s="11"/>
    </row>
    <row r="33" spans="1:10" ht="32">
      <c r="A33" s="67" t="s">
        <v>645</v>
      </c>
      <c r="B33" s="65">
        <f>SUM(B29:B32)</f>
        <v>415552034148.89844</v>
      </c>
      <c r="C33" s="43" t="s">
        <v>7</v>
      </c>
      <c r="D33" s="28"/>
      <c r="E33" s="28"/>
      <c r="F33" s="121">
        <v>300</v>
      </c>
      <c r="G33" s="173">
        <v>181900000</v>
      </c>
      <c r="H33" s="162">
        <f t="shared" si="2"/>
        <v>2.7826574568404704E-3</v>
      </c>
      <c r="I33" s="166">
        <f t="shared" si="3"/>
        <v>126627086.85015655</v>
      </c>
      <c r="J33" s="11"/>
    </row>
    <row r="34" spans="1:10">
      <c r="A34" s="30"/>
      <c r="B34" s="28"/>
      <c r="C34" s="28"/>
      <c r="D34" s="28"/>
      <c r="E34" s="28"/>
      <c r="F34" s="121">
        <v>352</v>
      </c>
      <c r="G34" s="173">
        <v>728104000</v>
      </c>
      <c r="H34" s="162">
        <f t="shared" si="2"/>
        <v>1.1138339884306618E-2</v>
      </c>
      <c r="I34" s="166">
        <f t="shared" si="3"/>
        <v>506859199.80179429</v>
      </c>
      <c r="J34" s="11"/>
    </row>
    <row r="35" spans="1:10">
      <c r="A35" s="30"/>
      <c r="B35" s="28"/>
      <c r="C35" s="28"/>
      <c r="D35" s="28"/>
      <c r="E35" s="28"/>
      <c r="F35" s="121">
        <v>360</v>
      </c>
      <c r="G35" s="173">
        <v>245000000</v>
      </c>
      <c r="H35" s="162">
        <f t="shared" si="2"/>
        <v>3.7479443481358726E-3</v>
      </c>
      <c r="I35" s="166">
        <f t="shared" si="3"/>
        <v>170553250.56783041</v>
      </c>
      <c r="J35" s="11"/>
    </row>
    <row r="36" spans="1:10">
      <c r="A36" s="30"/>
      <c r="B36" s="28"/>
      <c r="C36" s="28"/>
      <c r="D36" s="28"/>
      <c r="E36" s="28"/>
      <c r="F36" s="121">
        <v>364</v>
      </c>
      <c r="G36" s="173">
        <v>376800000</v>
      </c>
      <c r="H36" s="162">
        <f t="shared" si="2"/>
        <v>5.7641854301126397E-3</v>
      </c>
      <c r="I36" s="166">
        <f t="shared" si="3"/>
        <v>262303938.01615712</v>
      </c>
      <c r="J36" s="11"/>
    </row>
    <row r="37" spans="1:10">
      <c r="A37" s="30"/>
      <c r="B37" s="28"/>
      <c r="C37" s="28"/>
      <c r="D37" s="28"/>
      <c r="E37" s="28"/>
      <c r="F37" s="121">
        <v>398</v>
      </c>
      <c r="G37" s="173">
        <v>265000000</v>
      </c>
      <c r="H37" s="162">
        <f t="shared" si="2"/>
        <v>4.0538989888000256E-3</v>
      </c>
      <c r="I37" s="166">
        <f t="shared" si="3"/>
        <v>184475964.8998982</v>
      </c>
      <c r="J37" s="11"/>
    </row>
    <row r="38" spans="1:10">
      <c r="A38" s="30"/>
      <c r="B38" s="28"/>
      <c r="C38" s="28"/>
      <c r="D38" s="28"/>
      <c r="E38" s="28"/>
      <c r="F38" s="121">
        <v>458</v>
      </c>
      <c r="G38" s="173">
        <v>1000000000</v>
      </c>
      <c r="H38" s="162">
        <f t="shared" si="2"/>
        <v>1.5297732033207643E-2</v>
      </c>
      <c r="I38" s="166">
        <f t="shared" si="3"/>
        <v>696135716.60338938</v>
      </c>
      <c r="J38" s="11"/>
    </row>
    <row r="39" spans="1:10">
      <c r="A39" s="30"/>
      <c r="B39" s="28"/>
      <c r="C39" s="28"/>
      <c r="D39" s="28"/>
      <c r="E39" s="28"/>
      <c r="F39" s="121">
        <v>499</v>
      </c>
      <c r="G39" s="173">
        <v>37208000</v>
      </c>
      <c r="H39" s="162">
        <f t="shared" si="2"/>
        <v>5.6919801349159004E-4</v>
      </c>
      <c r="I39" s="166">
        <f t="shared" si="3"/>
        <v>25901817.743378915</v>
      </c>
      <c r="J39" s="11"/>
    </row>
    <row r="40" spans="1:10">
      <c r="A40" s="30"/>
      <c r="B40" s="28"/>
      <c r="C40" s="28"/>
      <c r="D40" s="28"/>
      <c r="E40" s="28"/>
      <c r="F40" s="121">
        <v>508</v>
      </c>
      <c r="G40" s="173">
        <v>562633000</v>
      </c>
      <c r="H40" s="162">
        <f t="shared" si="2"/>
        <v>8.6070088670397154E-3</v>
      </c>
      <c r="I40" s="166">
        <f t="shared" si="3"/>
        <v>391668926.63971478</v>
      </c>
      <c r="J40" s="11"/>
    </row>
    <row r="41" spans="1:10">
      <c r="A41" s="30"/>
      <c r="B41" s="28"/>
      <c r="C41" s="28"/>
      <c r="D41" s="28"/>
      <c r="E41" s="28"/>
      <c r="F41" s="121">
        <v>512</v>
      </c>
      <c r="G41" s="173">
        <v>397000000</v>
      </c>
      <c r="H41" s="162">
        <f t="shared" si="2"/>
        <v>6.0731996171834342E-3</v>
      </c>
      <c r="I41" s="166">
        <f t="shared" si="3"/>
        <v>276365879.49154562</v>
      </c>
      <c r="J41" s="11"/>
    </row>
    <row r="42" spans="1:10">
      <c r="A42" s="30"/>
      <c r="B42" s="28"/>
      <c r="C42" s="28"/>
      <c r="D42" s="28"/>
      <c r="E42" s="28"/>
      <c r="F42" s="121">
        <v>528</v>
      </c>
      <c r="G42" s="173">
        <v>70600000</v>
      </c>
      <c r="H42" s="162">
        <f t="shared" si="2"/>
        <v>1.0800198815444596E-3</v>
      </c>
      <c r="I42" s="166">
        <f t="shared" si="3"/>
        <v>49147181.592199296</v>
      </c>
      <c r="J42" s="11"/>
    </row>
    <row r="43" spans="1:10">
      <c r="A43" s="30"/>
      <c r="B43" s="28"/>
      <c r="C43" s="28"/>
      <c r="D43" s="28"/>
      <c r="E43" s="28"/>
      <c r="F43" s="121">
        <v>554</v>
      </c>
      <c r="G43" s="173">
        <v>333000000</v>
      </c>
      <c r="H43" s="162">
        <f t="shared" si="2"/>
        <v>5.0941447670581454E-3</v>
      </c>
      <c r="I43" s="166">
        <f t="shared" si="3"/>
        <v>231813193.62892869</v>
      </c>
      <c r="J43" s="11"/>
    </row>
    <row r="44" spans="1:10">
      <c r="A44" s="30"/>
      <c r="B44" s="28"/>
      <c r="C44" s="28"/>
      <c r="D44" s="28"/>
      <c r="E44" s="28"/>
      <c r="F44" s="121">
        <v>579</v>
      </c>
      <c r="G44" s="173">
        <v>1330000000</v>
      </c>
      <c r="H44" s="162">
        <f t="shared" si="2"/>
        <v>2.0345983604166167E-2</v>
      </c>
      <c r="I44" s="166">
        <f t="shared" si="3"/>
        <v>925860503.08250797</v>
      </c>
      <c r="J44" s="11"/>
    </row>
    <row r="45" spans="1:10">
      <c r="A45" s="30"/>
      <c r="B45" s="28"/>
      <c r="C45" s="28"/>
      <c r="D45" s="28"/>
      <c r="E45" s="28"/>
      <c r="F45" s="121">
        <v>634</v>
      </c>
      <c r="G45" s="173">
        <v>655000000</v>
      </c>
      <c r="H45" s="162">
        <f t="shared" si="2"/>
        <v>1.0020014481751006E-2</v>
      </c>
      <c r="I45" s="166">
        <f t="shared" si="3"/>
        <v>455968894.37522006</v>
      </c>
      <c r="J45" s="11"/>
    </row>
    <row r="46" spans="1:10">
      <c r="A46" s="30"/>
      <c r="B46" s="28"/>
      <c r="C46" s="28"/>
      <c r="D46" s="28"/>
      <c r="E46" s="28"/>
      <c r="F46" s="121">
        <v>642</v>
      </c>
      <c r="G46" s="173">
        <v>271307000</v>
      </c>
      <c r="H46" s="162">
        <f t="shared" si="2"/>
        <v>4.1503817847334664E-3</v>
      </c>
      <c r="I46" s="166">
        <f t="shared" si="3"/>
        <v>188866492.86451578</v>
      </c>
      <c r="J46" s="11"/>
    </row>
    <row r="47" spans="1:10">
      <c r="A47" s="30"/>
      <c r="B47" s="28"/>
      <c r="C47" s="28"/>
      <c r="D47" s="28"/>
      <c r="E47" s="28"/>
      <c r="F47" s="121">
        <v>643</v>
      </c>
      <c r="G47" s="173">
        <v>3638000000</v>
      </c>
      <c r="H47" s="162">
        <f t="shared" si="2"/>
        <v>5.565314913680941E-2</v>
      </c>
      <c r="I47" s="166">
        <f t="shared" si="3"/>
        <v>2532541737.0031309</v>
      </c>
      <c r="J47" s="11"/>
    </row>
    <row r="48" spans="1:10">
      <c r="A48" s="30"/>
      <c r="B48" s="28"/>
      <c r="C48" s="28"/>
      <c r="D48" s="28"/>
      <c r="E48" s="28"/>
      <c r="F48" s="121">
        <v>682</v>
      </c>
      <c r="G48" s="173">
        <v>1010563000</v>
      </c>
      <c r="H48" s="162">
        <f t="shared" si="2"/>
        <v>1.5459321976674417E-2</v>
      </c>
      <c r="I48" s="166">
        <f t="shared" si="3"/>
        <v>703488998.17787111</v>
      </c>
      <c r="J48" s="11"/>
    </row>
    <row r="49" spans="1:10">
      <c r="A49" s="30"/>
      <c r="B49" s="28"/>
      <c r="C49" s="28"/>
      <c r="D49" s="28"/>
      <c r="E49" s="28"/>
      <c r="F49" s="121">
        <v>699</v>
      </c>
      <c r="G49" s="173">
        <v>3619237000</v>
      </c>
      <c r="H49" s="162">
        <f t="shared" si="2"/>
        <v>5.5366117790670334E-2</v>
      </c>
      <c r="I49" s="166">
        <f t="shared" si="3"/>
        <v>2519480142.5525017</v>
      </c>
      <c r="J49" s="11"/>
    </row>
    <row r="50" spans="1:10">
      <c r="A50" s="30"/>
      <c r="B50" s="28"/>
      <c r="C50" s="28"/>
      <c r="D50" s="28"/>
      <c r="E50" s="28"/>
      <c r="F50" s="121">
        <v>703</v>
      </c>
      <c r="G50" s="173">
        <v>151875000</v>
      </c>
      <c r="H50" s="162">
        <f t="shared" si="2"/>
        <v>2.3233430525434109E-3</v>
      </c>
      <c r="I50" s="166">
        <f t="shared" si="3"/>
        <v>105725611.95913978</v>
      </c>
      <c r="J50" s="11"/>
    </row>
    <row r="51" spans="1:10">
      <c r="A51" s="30"/>
      <c r="B51" s="28"/>
      <c r="C51" s="28"/>
      <c r="D51" s="28"/>
      <c r="E51" s="28"/>
      <c r="F51" s="121">
        <v>705</v>
      </c>
      <c r="G51" s="173">
        <v>50185000</v>
      </c>
      <c r="H51" s="162">
        <f t="shared" si="2"/>
        <v>7.677166820865256E-4</v>
      </c>
      <c r="I51" s="166">
        <f t="shared" si="3"/>
        <v>34935570.937741101</v>
      </c>
      <c r="J51" s="11"/>
    </row>
    <row r="52" spans="1:10">
      <c r="A52" s="30"/>
      <c r="B52" s="28"/>
      <c r="C52" s="28"/>
      <c r="D52" s="28"/>
      <c r="E52" s="28"/>
      <c r="F52" s="121">
        <v>710</v>
      </c>
      <c r="G52" s="173">
        <v>717000000</v>
      </c>
      <c r="H52" s="162">
        <f t="shared" si="2"/>
        <v>1.0968473867809881E-2</v>
      </c>
      <c r="I52" s="166">
        <f t="shared" si="3"/>
        <v>499129308.80463022</v>
      </c>
      <c r="J52" s="11"/>
    </row>
    <row r="53" spans="1:10">
      <c r="A53" s="30"/>
      <c r="B53" s="28"/>
      <c r="C53" s="28"/>
      <c r="D53" s="28"/>
      <c r="E53" s="28"/>
      <c r="F53" s="121">
        <v>724</v>
      </c>
      <c r="G53" s="173">
        <v>200000000</v>
      </c>
      <c r="H53" s="162">
        <f t="shared" si="2"/>
        <v>3.0595464066415288E-3</v>
      </c>
      <c r="I53" s="166">
        <f t="shared" si="3"/>
        <v>139227143.32067791</v>
      </c>
      <c r="J53" s="11"/>
    </row>
    <row r="54" spans="1:10">
      <c r="A54" s="30"/>
      <c r="B54" s="28"/>
      <c r="C54" s="28"/>
      <c r="D54" s="28"/>
      <c r="E54" s="28"/>
      <c r="F54" s="121">
        <v>752</v>
      </c>
      <c r="G54" s="173">
        <v>117000000</v>
      </c>
      <c r="H54" s="162">
        <f t="shared" si="2"/>
        <v>1.7898346478852944E-3</v>
      </c>
      <c r="I54" s="166">
        <f t="shared" si="3"/>
        <v>81447878.842596576</v>
      </c>
      <c r="J54" s="11"/>
    </row>
    <row r="55" spans="1:10">
      <c r="A55" s="30"/>
      <c r="B55" s="28"/>
      <c r="C55" s="28"/>
      <c r="D55" s="28"/>
      <c r="E55" s="28"/>
      <c r="F55" s="121">
        <v>762</v>
      </c>
      <c r="G55" s="173">
        <v>84000000</v>
      </c>
      <c r="H55" s="162">
        <f t="shared" si="2"/>
        <v>1.285009490789442E-3</v>
      </c>
      <c r="I55" s="166">
        <f t="shared" si="3"/>
        <v>58475400.194684714</v>
      </c>
      <c r="J55" s="11"/>
    </row>
    <row r="56" spans="1:10">
      <c r="A56" s="30"/>
      <c r="B56" s="28"/>
      <c r="C56" s="28"/>
      <c r="D56" s="28"/>
      <c r="E56" s="28"/>
      <c r="F56" s="121">
        <v>784</v>
      </c>
      <c r="G56" s="173">
        <v>2520000000</v>
      </c>
      <c r="H56" s="162">
        <f t="shared" si="2"/>
        <v>3.8550284723683263E-2</v>
      </c>
      <c r="I56" s="166">
        <f t="shared" si="3"/>
        <v>1754262005.8405416</v>
      </c>
      <c r="J56" s="11"/>
    </row>
    <row r="57" spans="1:10">
      <c r="A57" s="30"/>
      <c r="B57" s="28"/>
      <c r="C57" s="28"/>
      <c r="D57" s="28"/>
      <c r="E57" s="28"/>
      <c r="F57" s="121">
        <v>792</v>
      </c>
      <c r="G57" s="173">
        <v>79900000</v>
      </c>
      <c r="H57" s="162">
        <f t="shared" si="2"/>
        <v>1.2222887894532907E-3</v>
      </c>
      <c r="I57" s="166">
        <f t="shared" si="3"/>
        <v>55621243.756610818</v>
      </c>
      <c r="J57" s="11"/>
    </row>
    <row r="58" spans="1:10">
      <c r="A58" s="30"/>
      <c r="B58" s="28"/>
      <c r="C58" s="28"/>
      <c r="D58" s="28"/>
      <c r="E58" s="28"/>
      <c r="F58" s="121">
        <v>818</v>
      </c>
      <c r="G58" s="173">
        <v>268000000</v>
      </c>
      <c r="H58" s="162">
        <f t="shared" si="2"/>
        <v>4.0997921848996482E-3</v>
      </c>
      <c r="I58" s="166">
        <f t="shared" si="3"/>
        <v>186564372.04970837</v>
      </c>
      <c r="J58" s="11"/>
    </row>
    <row r="59" spans="1:10">
      <c r="A59" s="30"/>
      <c r="B59" s="28"/>
      <c r="C59" s="28"/>
      <c r="D59" s="28"/>
      <c r="E59" s="28"/>
      <c r="F59" s="121">
        <v>826</v>
      </c>
      <c r="G59" s="173">
        <v>35700000</v>
      </c>
      <c r="H59" s="162">
        <f t="shared" si="2"/>
        <v>5.4612903358551286E-4</v>
      </c>
      <c r="I59" s="166">
        <f t="shared" si="3"/>
        <v>24852045.082741003</v>
      </c>
      <c r="J59" s="11"/>
    </row>
    <row r="60" spans="1:10">
      <c r="A60" s="30"/>
      <c r="B60" s="28"/>
      <c r="C60" s="28"/>
      <c r="D60" s="28"/>
      <c r="E60" s="28"/>
      <c r="F60" s="121">
        <v>842</v>
      </c>
      <c r="G60" s="173">
        <v>1026617000</v>
      </c>
      <c r="H60" s="162">
        <f t="shared" si="2"/>
        <v>1.5704911766735531E-2</v>
      </c>
      <c r="I60" s="166">
        <f t="shared" si="3"/>
        <v>714664760.97222185</v>
      </c>
      <c r="J60" s="11"/>
    </row>
    <row r="61" spans="1:10">
      <c r="A61" s="30"/>
      <c r="B61" s="28"/>
      <c r="C61" s="28"/>
      <c r="D61" s="28"/>
      <c r="E61" s="28"/>
      <c r="F61" s="121">
        <v>862</v>
      </c>
      <c r="G61" s="173">
        <v>10000000</v>
      </c>
      <c r="H61" s="162">
        <f t="shared" si="2"/>
        <v>1.5297732033207643E-4</v>
      </c>
      <c r="I61" s="166">
        <f t="shared" si="3"/>
        <v>6961357.1660338938</v>
      </c>
      <c r="J61" s="11"/>
    </row>
    <row r="62" spans="1:10">
      <c r="A62" s="39"/>
      <c r="B62" s="37"/>
      <c r="C62" s="37"/>
      <c r="D62" s="37"/>
      <c r="E62" s="37"/>
      <c r="F62" s="174" t="s">
        <v>27</v>
      </c>
      <c r="G62" s="175">
        <f>SUM(G21:G61)</f>
        <v>65369167000</v>
      </c>
      <c r="H62" s="176"/>
      <c r="I62" s="177"/>
    </row>
    <row r="64" spans="1:10">
      <c r="A64" s="84" t="s">
        <v>646</v>
      </c>
    </row>
    <row r="65" spans="1:9" ht="32">
      <c r="A65" s="60" t="s">
        <v>0</v>
      </c>
      <c r="B65" s="23" t="s">
        <v>1</v>
      </c>
      <c r="C65" s="23" t="s">
        <v>558</v>
      </c>
      <c r="D65" s="23" t="s">
        <v>3</v>
      </c>
      <c r="E65" s="23"/>
      <c r="F65" s="114" t="s">
        <v>631</v>
      </c>
      <c r="G65" s="114" t="s">
        <v>424</v>
      </c>
      <c r="H65" s="114" t="s">
        <v>429</v>
      </c>
      <c r="I65" s="115" t="s">
        <v>527</v>
      </c>
    </row>
    <row r="66" spans="1:9" ht="32" customHeight="1">
      <c r="A66" s="67" t="s">
        <v>647</v>
      </c>
      <c r="B66" s="140">
        <f>'[1]Weight%'!$B$142</f>
        <v>1.9723865877712034E-4</v>
      </c>
      <c r="C66" s="28" t="s">
        <v>33</v>
      </c>
      <c r="D66" s="171" t="s">
        <v>208</v>
      </c>
      <c r="E66" s="28"/>
      <c r="F66" s="130">
        <v>100</v>
      </c>
      <c r="G66" s="82">
        <f>[19]Production!$AG$3</f>
        <v>1.1081928596651709E-2</v>
      </c>
      <c r="H66" s="48">
        <f>G66/$G$81</f>
        <v>1.1351587206093236E-2</v>
      </c>
      <c r="I66" s="66">
        <f>$B$74*H66</f>
        <v>812452.39471889788</v>
      </c>
    </row>
    <row r="67" spans="1:9" ht="32">
      <c r="A67" s="67" t="s">
        <v>648</v>
      </c>
      <c r="B67" s="140">
        <f>'[1]Weight%'!$B$143</f>
        <v>3.110870693224028E-5</v>
      </c>
      <c r="C67" s="28" t="s">
        <v>33</v>
      </c>
      <c r="D67" s="171"/>
      <c r="E67" s="28"/>
      <c r="F67" s="130">
        <v>156</v>
      </c>
      <c r="G67" s="82">
        <f>[19]Production!$AT$3</f>
        <v>0.10786103988161409</v>
      </c>
      <c r="H67" s="48">
        <f t="shared" ref="H67:H80" si="4">G67/$G$81</f>
        <v>0.11048564242924115</v>
      </c>
      <c r="I67" s="66">
        <f t="shared" ref="I67:I80" si="5">$B$74*H67</f>
        <v>7907645.2608767962</v>
      </c>
    </row>
    <row r="68" spans="1:9" ht="32">
      <c r="A68" s="67" t="s">
        <v>649</v>
      </c>
      <c r="B68" s="140">
        <f>'[1]Weight%'!$B$144</f>
        <v>5.2083333333333337E-5</v>
      </c>
      <c r="C68" s="28" t="s">
        <v>33</v>
      </c>
      <c r="D68" s="171"/>
      <c r="E68" s="28"/>
      <c r="F68" s="130">
        <v>276</v>
      </c>
      <c r="G68" s="82">
        <f>[19]Production!$CE$3</f>
        <v>1.4953332406916575E-2</v>
      </c>
      <c r="H68" s="48">
        <f t="shared" si="4"/>
        <v>1.5317194598248901E-2</v>
      </c>
      <c r="I68" s="66">
        <f t="shared" si="5"/>
        <v>1096277.6575457931</v>
      </c>
    </row>
    <row r="69" spans="1:9" ht="32">
      <c r="A69" s="67" t="s">
        <v>650</v>
      </c>
      <c r="B69" s="140">
        <f>'[1]Weight%'!$B$145</f>
        <v>8.9090090090090078E-4</v>
      </c>
      <c r="C69" s="28" t="s">
        <v>33</v>
      </c>
      <c r="D69" s="171"/>
      <c r="E69" s="28"/>
      <c r="F69" s="130">
        <v>398</v>
      </c>
      <c r="G69" s="82">
        <f>[19]Production!$DF$3</f>
        <v>2.7904297859888884E-2</v>
      </c>
      <c r="H69" s="48">
        <f t="shared" si="4"/>
        <v>2.8583298278698054E-2</v>
      </c>
      <c r="I69" s="66">
        <f t="shared" si="5"/>
        <v>2045755.2511271304</v>
      </c>
    </row>
    <row r="70" spans="1:9" ht="32">
      <c r="A70" s="67" t="s">
        <v>651</v>
      </c>
      <c r="B70" s="65">
        <f>B66*(data_2tier!B86+data_2tier!B87+data_2tier!B88+data_2tier!B89)</f>
        <v>4601808.2829175228</v>
      </c>
      <c r="C70" s="43" t="s">
        <v>7</v>
      </c>
      <c r="D70" s="28"/>
      <c r="E70" s="28"/>
      <c r="F70" s="130">
        <v>418</v>
      </c>
      <c r="G70" s="82">
        <f>[19]Production!$DM$3</f>
        <v>4.1122873232623106E-2</v>
      </c>
      <c r="H70" s="48">
        <f t="shared" si="4"/>
        <v>4.2123523680370971E-2</v>
      </c>
      <c r="I70" s="66">
        <f t="shared" si="5"/>
        <v>3014852.2023198125</v>
      </c>
    </row>
    <row r="71" spans="1:9" ht="32">
      <c r="A71" s="67" t="s">
        <v>652</v>
      </c>
      <c r="B71" s="65">
        <f>B67*(data_2tier!B90+data_2tier!B91+data_2tier!B92)</f>
        <v>58094.718345957015</v>
      </c>
      <c r="C71" s="43" t="s">
        <v>7</v>
      </c>
      <c r="D71" s="28"/>
      <c r="E71" s="28"/>
      <c r="F71" s="130">
        <v>484</v>
      </c>
      <c r="G71" s="82">
        <f>[19]Production!$ED$3</f>
        <v>5.089346907838823E-2</v>
      </c>
      <c r="H71" s="48">
        <f t="shared" si="4"/>
        <v>5.2131869234249194E-2</v>
      </c>
      <c r="I71" s="66">
        <f t="shared" si="5"/>
        <v>3731166.5083983424</v>
      </c>
    </row>
    <row r="72" spans="1:9" ht="32">
      <c r="A72" s="67" t="s">
        <v>653</v>
      </c>
      <c r="B72" s="65">
        <f>B68*data_2tier!B93</f>
        <v>1942756.0473411153</v>
      </c>
      <c r="C72" s="43" t="s">
        <v>7</v>
      </c>
      <c r="D72" s="28"/>
      <c r="E72" s="28"/>
      <c r="F72" s="130">
        <v>504</v>
      </c>
      <c r="G72" s="82">
        <f>[19]Production!$EI$3</f>
        <v>8.9362715972570339E-2</v>
      </c>
      <c r="H72" s="48">
        <f t="shared" si="4"/>
        <v>9.1537195397781795E-2</v>
      </c>
      <c r="I72" s="66">
        <f t="shared" si="5"/>
        <v>6551472.693339292</v>
      </c>
    </row>
    <row r="73" spans="1:9" ht="32">
      <c r="A73" s="67" t="s">
        <v>654</v>
      </c>
      <c r="B73" s="65">
        <f>B69*data_2tier!B41</f>
        <v>64969041.011347786</v>
      </c>
      <c r="C73" s="43" t="s">
        <v>7</v>
      </c>
      <c r="D73" s="28"/>
      <c r="E73" s="28"/>
      <c r="F73" s="130">
        <v>528</v>
      </c>
      <c r="G73" s="82">
        <f>[19]Production!$EO$3</f>
        <v>2.7199881735001593E-2</v>
      </c>
      <c r="H73" s="48">
        <f t="shared" si="4"/>
        <v>2.7861741466515353E-2</v>
      </c>
      <c r="I73" s="66">
        <f t="shared" si="5"/>
        <v>1994112.2033893745</v>
      </c>
    </row>
    <row r="74" spans="1:9" ht="32">
      <c r="A74" s="67" t="s">
        <v>655</v>
      </c>
      <c r="B74" s="65">
        <f>SUM(B70:B73)</f>
        <v>71571700.059952378</v>
      </c>
      <c r="C74" s="43" t="s">
        <v>7</v>
      </c>
      <c r="D74" s="28"/>
      <c r="E74" s="28"/>
      <c r="F74" s="130">
        <v>586</v>
      </c>
      <c r="G74" s="82">
        <f>[19]Production!$FH$3</f>
        <v>2.143451667437524E-2</v>
      </c>
      <c r="H74" s="48">
        <f t="shared" si="4"/>
        <v>2.1956086716092494E-2</v>
      </c>
      <c r="I74" s="66">
        <f t="shared" si="5"/>
        <v>1571434.4529344768</v>
      </c>
    </row>
    <row r="75" spans="1:9" ht="32">
      <c r="A75" s="67" t="s">
        <v>656</v>
      </c>
      <c r="B75" s="65">
        <f>B66*(data_2tier!B95+data_2tier!B96+data_2tier!B97+data_2tier!B98)</f>
        <v>60387419.355347157</v>
      </c>
      <c r="C75" s="43" t="s">
        <v>7</v>
      </c>
      <c r="D75" s="28"/>
      <c r="E75" s="28"/>
      <c r="F75" s="130">
        <v>699</v>
      </c>
      <c r="G75" s="82">
        <f>[19]Production!$GK$3</f>
        <v>0.33707181510280415</v>
      </c>
      <c r="H75" s="48">
        <f t="shared" si="4"/>
        <v>0.34527384565640445</v>
      </c>
      <c r="I75" s="66">
        <f t="shared" si="5"/>
        <v>24711836.119866472</v>
      </c>
    </row>
    <row r="76" spans="1:9" ht="32">
      <c r="A76" s="67" t="s">
        <v>657</v>
      </c>
      <c r="B76" s="65">
        <f>B67*(data_2tier!B99+data_2tier!B100+data_2tier!B101)</f>
        <v>562126.19059729693</v>
      </c>
      <c r="C76" s="43" t="s">
        <v>7</v>
      </c>
      <c r="D76" s="28"/>
      <c r="E76" s="28"/>
      <c r="F76" s="130">
        <v>704</v>
      </c>
      <c r="G76" s="82">
        <f>[19]Production!$GN$3</f>
        <v>5.9269638008212333E-2</v>
      </c>
      <c r="H76" s="48">
        <f t="shared" si="4"/>
        <v>6.0711857025236703E-2</v>
      </c>
      <c r="I76" s="66">
        <f t="shared" si="5"/>
        <v>4345250.8210929539</v>
      </c>
    </row>
    <row r="77" spans="1:9" ht="32">
      <c r="A77" s="67" t="s">
        <v>658</v>
      </c>
      <c r="B77" s="65">
        <f>B68*data_2tier!B102</f>
        <v>23080514.323929962</v>
      </c>
      <c r="C77" s="43" t="s">
        <v>7</v>
      </c>
      <c r="D77" s="28"/>
      <c r="E77" s="28"/>
      <c r="F77" s="130">
        <v>724</v>
      </c>
      <c r="G77" s="82">
        <f>[19]Production!$GS$3</f>
        <v>1.1535049394429425E-2</v>
      </c>
      <c r="H77" s="48">
        <f t="shared" si="4"/>
        <v>1.1815733875692099E-2</v>
      </c>
      <c r="I77" s="66">
        <f t="shared" si="5"/>
        <v>845672.16093925352</v>
      </c>
    </row>
    <row r="78" spans="1:9" ht="32">
      <c r="A78" s="67" t="s">
        <v>659</v>
      </c>
      <c r="B78" s="65">
        <f>B69*data_2tier!B50</f>
        <v>794104233.84792864</v>
      </c>
      <c r="C78" s="43" t="s">
        <v>7</v>
      </c>
      <c r="D78" s="28"/>
      <c r="E78" s="28"/>
      <c r="F78" s="130">
        <v>764</v>
      </c>
      <c r="G78" s="82">
        <f>[19]Production!$HC$3</f>
        <v>2.4070205470320811E-2</v>
      </c>
      <c r="H78" s="48">
        <f t="shared" si="4"/>
        <v>2.4655910212910442E-2</v>
      </c>
      <c r="I78" s="66">
        <f t="shared" si="5"/>
        <v>1764665.4104635427</v>
      </c>
    </row>
    <row r="79" spans="1:9" ht="32">
      <c r="A79" s="67" t="s">
        <v>660</v>
      </c>
      <c r="B79" s="65">
        <f>SUM(B75:B78)</f>
        <v>878134293.717803</v>
      </c>
      <c r="C79" s="43" t="s">
        <v>7</v>
      </c>
      <c r="D79" s="28"/>
      <c r="E79" s="28"/>
      <c r="F79" s="130">
        <v>792</v>
      </c>
      <c r="G79" s="82">
        <f>[19]Production!$HJ$3</f>
        <v>0.13248906033080493</v>
      </c>
      <c r="H79" s="48">
        <f t="shared" si="4"/>
        <v>0.13571294103563225</v>
      </c>
      <c r="I79" s="66">
        <f t="shared" si="5"/>
        <v>9713205.9100562744</v>
      </c>
    </row>
    <row r="80" spans="1:9">
      <c r="A80" s="30"/>
      <c r="B80" s="28"/>
      <c r="C80" s="28"/>
      <c r="D80" s="28"/>
      <c r="E80" s="28"/>
      <c r="F80" s="130">
        <v>842</v>
      </c>
      <c r="G80" s="82">
        <f>[19]Production!$HT$3</f>
        <v>1.9995030429026301E-2</v>
      </c>
      <c r="H80" s="48">
        <f t="shared" si="4"/>
        <v>2.0481573186833038E-2</v>
      </c>
      <c r="I80" s="66">
        <f t="shared" si="5"/>
        <v>1465901.0128839773</v>
      </c>
    </row>
    <row r="81" spans="1:9">
      <c r="A81" s="39"/>
      <c r="B81" s="37"/>
      <c r="C81" s="37"/>
      <c r="D81" s="37"/>
      <c r="E81" s="37"/>
      <c r="F81" s="37" t="s">
        <v>27</v>
      </c>
      <c r="G81" s="131">
        <f>SUM(G66:G80)</f>
        <v>0.97624485417362761</v>
      </c>
      <c r="H81" s="37"/>
      <c r="I81" s="42"/>
    </row>
    <row r="83" spans="1:9">
      <c r="A83" s="84" t="s">
        <v>661</v>
      </c>
    </row>
    <row r="84" spans="1:9" ht="32">
      <c r="A84" s="60" t="s">
        <v>0</v>
      </c>
      <c r="B84" s="23" t="s">
        <v>1</v>
      </c>
      <c r="C84" s="23" t="s">
        <v>558</v>
      </c>
      <c r="D84" s="23" t="s">
        <v>3</v>
      </c>
      <c r="E84" s="23"/>
      <c r="F84" s="114" t="s">
        <v>631</v>
      </c>
      <c r="G84" s="114" t="s">
        <v>424</v>
      </c>
      <c r="H84" s="114" t="s">
        <v>429</v>
      </c>
      <c r="I84" s="115" t="s">
        <v>527</v>
      </c>
    </row>
    <row r="85" spans="1:9" ht="32">
      <c r="A85" s="67" t="s">
        <v>662</v>
      </c>
      <c r="B85" s="141">
        <f>'[1]Weight%'!$B$146</f>
        <v>7.8719999999999988E-3</v>
      </c>
      <c r="C85" s="28" t="s">
        <v>33</v>
      </c>
      <c r="D85" s="28" t="s">
        <v>208</v>
      </c>
      <c r="E85" s="28"/>
      <c r="F85" s="130">
        <v>398</v>
      </c>
      <c r="G85" s="34">
        <f>[20]Production!$DF$3</f>
        <v>0.59435872887285046</v>
      </c>
      <c r="H85" s="48">
        <f>G85/$G$88</f>
        <v>0.59930197155905396</v>
      </c>
      <c r="I85" s="66">
        <f>$B$86*H85</f>
        <v>45422739.054561287</v>
      </c>
    </row>
    <row r="86" spans="1:9" ht="32">
      <c r="A86" s="67" t="s">
        <v>813</v>
      </c>
      <c r="B86" s="65">
        <f>B85*data_2tier!B172</f>
        <v>75792740.905551031</v>
      </c>
      <c r="C86" s="28" t="s">
        <v>7</v>
      </c>
      <c r="D86" s="28"/>
      <c r="E86" s="28"/>
      <c r="F86" s="130">
        <v>826</v>
      </c>
      <c r="G86" s="34">
        <f>[20]Production!$HR$3</f>
        <v>0.15322016423021689</v>
      </c>
      <c r="H86" s="48">
        <f>G86/$G$88</f>
        <v>0.15449448631789997</v>
      </c>
      <c r="I86" s="66">
        <f>$B$86*H86</f>
        <v>11709560.572828792</v>
      </c>
    </row>
    <row r="87" spans="1:9" ht="32">
      <c r="A87" s="67" t="s">
        <v>814</v>
      </c>
      <c r="B87" s="65">
        <f>B85*data_2tier!B181</f>
        <v>931194659.63788199</v>
      </c>
      <c r="C87" s="28" t="s">
        <v>7</v>
      </c>
      <c r="D87" s="28"/>
      <c r="E87" s="28"/>
      <c r="F87" s="130">
        <v>842</v>
      </c>
      <c r="G87" s="34">
        <f>[20]Production!$HT$3</f>
        <v>0.2441727731339986</v>
      </c>
      <c r="H87" s="48">
        <f>G87/$G$88</f>
        <v>0.24620354212304607</v>
      </c>
      <c r="I87" s="66">
        <f>$B$86*H87</f>
        <v>18660441.278160952</v>
      </c>
    </row>
    <row r="88" spans="1:9">
      <c r="A88" s="39"/>
      <c r="B88" s="37"/>
      <c r="C88" s="37"/>
      <c r="D88" s="37"/>
      <c r="E88" s="37"/>
      <c r="F88" s="137" t="s">
        <v>27</v>
      </c>
      <c r="G88" s="40">
        <f>SUM(G85:G87)</f>
        <v>0.99175166623706601</v>
      </c>
      <c r="H88" s="37"/>
      <c r="I88" s="42"/>
    </row>
    <row r="90" spans="1:9">
      <c r="A90" s="84" t="s">
        <v>663</v>
      </c>
    </row>
    <row r="91" spans="1:9" ht="32">
      <c r="A91" s="60" t="s">
        <v>0</v>
      </c>
      <c r="B91" s="23" t="s">
        <v>1</v>
      </c>
      <c r="C91" s="23" t="s">
        <v>558</v>
      </c>
      <c r="D91" s="23" t="s">
        <v>3</v>
      </c>
      <c r="E91" s="23"/>
      <c r="F91" s="114" t="s">
        <v>631</v>
      </c>
      <c r="G91" s="114" t="s">
        <v>424</v>
      </c>
      <c r="H91" s="114" t="s">
        <v>429</v>
      </c>
      <c r="I91" s="115" t="s">
        <v>527</v>
      </c>
    </row>
    <row r="92" spans="1:9" ht="32">
      <c r="A92" s="67" t="s">
        <v>664</v>
      </c>
      <c r="B92" s="82">
        <f>'[1]Weight%'!$B$147</f>
        <v>4.3999999999999997E-2</v>
      </c>
      <c r="C92" s="28" t="s">
        <v>33</v>
      </c>
      <c r="D92" s="171" t="s">
        <v>208</v>
      </c>
      <c r="E92" s="28"/>
      <c r="F92" s="130">
        <v>442</v>
      </c>
      <c r="G92" s="82">
        <f>[21]Production!$DT$5</f>
        <v>2.2664427324801957E-2</v>
      </c>
      <c r="H92" s="48">
        <f>G92/$G$96</f>
        <v>2.4170882304898875E-2</v>
      </c>
      <c r="I92" s="66">
        <f>H92*$B$96</f>
        <v>7125098.110882299</v>
      </c>
    </row>
    <row r="93" spans="1:9" ht="32">
      <c r="A93" s="67" t="s">
        <v>665</v>
      </c>
      <c r="B93" s="82">
        <f>'[1]Weight%'!$B$148</f>
        <v>1.4175E-2</v>
      </c>
      <c r="C93" s="28" t="s">
        <v>33</v>
      </c>
      <c r="D93" s="171"/>
      <c r="E93" s="28"/>
      <c r="F93" s="130">
        <v>616</v>
      </c>
      <c r="G93" s="82">
        <f>[21]Production!$FO$5</f>
        <v>1.0328643324423898E-2</v>
      </c>
      <c r="H93" s="48">
        <f>G93/$G$96</f>
        <v>1.1015165686129286E-2</v>
      </c>
      <c r="I93" s="66">
        <f>H93*$B$96</f>
        <v>3247053.0132608521</v>
      </c>
    </row>
    <row r="94" spans="1:9" ht="32">
      <c r="A94" s="67" t="s">
        <v>666</v>
      </c>
      <c r="B94" s="65">
        <f>B92*data_2tier!B230</f>
        <v>179693018.0733512</v>
      </c>
      <c r="C94" s="43" t="s">
        <v>7</v>
      </c>
      <c r="D94" s="28"/>
      <c r="E94" s="28"/>
      <c r="F94" s="130">
        <v>792</v>
      </c>
      <c r="G94" s="82">
        <f>[21]Production!$HJ$5</f>
        <v>0.54705618810566581</v>
      </c>
      <c r="H94" s="48">
        <f>G94/$G$96</f>
        <v>0.58341781803587711</v>
      </c>
      <c r="I94" s="66">
        <f>H94*$B$96</f>
        <v>171980035.34608218</v>
      </c>
    </row>
    <row r="95" spans="1:9" ht="32">
      <c r="A95" s="67" t="s">
        <v>667</v>
      </c>
      <c r="B95" s="65">
        <f>B93*data_3tier!B62</f>
        <v>115087206.37208444</v>
      </c>
      <c r="C95" s="43" t="s">
        <v>7</v>
      </c>
      <c r="D95" s="28"/>
      <c r="E95" s="28"/>
      <c r="F95" s="130">
        <v>842</v>
      </c>
      <c r="G95" s="82">
        <f>[21]Production!$HT$5</f>
        <v>0.35762554512301242</v>
      </c>
      <c r="H95" s="48">
        <f>G95/$G$96</f>
        <v>0.38139613397309469</v>
      </c>
      <c r="I95" s="66">
        <f>H95*$B$96</f>
        <v>112428037.97521029</v>
      </c>
    </row>
    <row r="96" spans="1:9" ht="32">
      <c r="A96" s="67" t="s">
        <v>668</v>
      </c>
      <c r="B96" s="65">
        <f>SUM(B94:B95)</f>
        <v>294780224.44543564</v>
      </c>
      <c r="C96" s="43" t="s">
        <v>7</v>
      </c>
      <c r="D96" s="28"/>
      <c r="E96" s="28"/>
      <c r="F96" s="28" t="s">
        <v>27</v>
      </c>
      <c r="G96" s="34">
        <f>SUM(G92:G95)</f>
        <v>0.93767480387790414</v>
      </c>
      <c r="H96" s="28"/>
      <c r="I96" s="29"/>
    </row>
    <row r="97" spans="1:9" ht="32">
      <c r="A97" s="67" t="s">
        <v>669</v>
      </c>
      <c r="B97" s="28">
        <f>B92*data_2tier!B239</f>
        <v>2309601345.1304793</v>
      </c>
      <c r="C97" s="43" t="s">
        <v>7</v>
      </c>
      <c r="D97" s="28"/>
      <c r="E97" s="28"/>
      <c r="F97" s="28"/>
      <c r="G97" s="28"/>
      <c r="H97" s="28"/>
      <c r="I97" s="29"/>
    </row>
    <row r="98" spans="1:9" ht="32">
      <c r="A98" s="67" t="s">
        <v>670</v>
      </c>
      <c r="B98" s="28">
        <f>B93*data_3tier!B71</f>
        <v>1400949647.1008139</v>
      </c>
      <c r="C98" s="43" t="s">
        <v>7</v>
      </c>
      <c r="D98" s="28"/>
      <c r="E98" s="28"/>
      <c r="F98" s="28"/>
      <c r="G98" s="28"/>
      <c r="H98" s="28"/>
      <c r="I98" s="29"/>
    </row>
    <row r="99" spans="1:9" ht="32">
      <c r="A99" s="68" t="s">
        <v>671</v>
      </c>
      <c r="B99" s="37">
        <f>SUM(B97:B98)</f>
        <v>3710550992.2312932</v>
      </c>
      <c r="C99" s="132" t="s">
        <v>7</v>
      </c>
      <c r="D99" s="37"/>
      <c r="E99" s="37"/>
      <c r="F99" s="37"/>
      <c r="G99" s="37"/>
      <c r="H99" s="37"/>
      <c r="I99" s="42"/>
    </row>
    <row r="101" spans="1:9">
      <c r="A101" s="118" t="s">
        <v>672</v>
      </c>
    </row>
    <row r="102" spans="1:9" ht="32">
      <c r="A102" s="60" t="s">
        <v>0</v>
      </c>
      <c r="B102" s="23" t="s">
        <v>1</v>
      </c>
      <c r="C102" s="23" t="s">
        <v>558</v>
      </c>
      <c r="D102" s="23" t="s">
        <v>3</v>
      </c>
      <c r="E102" s="23"/>
      <c r="F102" s="114" t="s">
        <v>631</v>
      </c>
      <c r="G102" s="114" t="s">
        <v>424</v>
      </c>
      <c r="H102" s="114" t="s">
        <v>429</v>
      </c>
      <c r="I102" s="115" t="s">
        <v>527</v>
      </c>
    </row>
    <row r="103" spans="1:9" ht="32">
      <c r="A103" s="67" t="s">
        <v>673</v>
      </c>
      <c r="B103" s="48">
        <f>'[1]Weight%'!$B$149</f>
        <v>7.0000000000000007E-2</v>
      </c>
      <c r="C103" s="28" t="s">
        <v>33</v>
      </c>
      <c r="D103" s="171" t="s">
        <v>208</v>
      </c>
      <c r="E103" s="28"/>
      <c r="F103" s="130">
        <v>36</v>
      </c>
      <c r="G103" s="34">
        <f>[22]Production!$L$3</f>
        <v>9.0876059069349341E-2</v>
      </c>
      <c r="H103" s="48">
        <f t="shared" ref="H103:H115" si="6">G103/$G$116</f>
        <v>9.1594901692503519E-2</v>
      </c>
      <c r="I103" s="66">
        <f t="shared" ref="I103:I115" si="7">H103*$B$123</f>
        <v>9623756.2883335464</v>
      </c>
    </row>
    <row r="104" spans="1:9" ht="32">
      <c r="A104" s="67" t="s">
        <v>674</v>
      </c>
      <c r="B104" s="140">
        <f>'[1]Weight%'!$B$150*'[1]Weight%'!$B$75/('[1]Weight%'!$B$39+'[1]Weight%'!$B$75+'[1]Weight%'!$B$74)</f>
        <v>1.7960322946692926E-4</v>
      </c>
      <c r="C104" s="28" t="s">
        <v>33</v>
      </c>
      <c r="D104" s="171"/>
      <c r="E104" s="28"/>
      <c r="F104" s="130">
        <v>56</v>
      </c>
      <c r="G104" s="34">
        <f>[22]Production!$S$3</f>
        <v>9.6189028713574376E-2</v>
      </c>
      <c r="H104" s="48">
        <f t="shared" si="6"/>
        <v>9.6949897686406397E-2</v>
      </c>
      <c r="I104" s="66">
        <f t="shared" si="7"/>
        <v>10186398.699843898</v>
      </c>
    </row>
    <row r="105" spans="1:9" ht="32">
      <c r="A105" s="67" t="s">
        <v>1058</v>
      </c>
      <c r="B105" s="140">
        <f>'[1]Weight%'!$B$150*'[1]Weight%'!$B$72/('[1]Weight%'!$B$37+'[1]Weight%'!$B$70+'[1]Weight%'!$B$72)</f>
        <v>1.7960322946692926E-4</v>
      </c>
      <c r="C105" s="28" t="s">
        <v>33</v>
      </c>
      <c r="D105" s="171"/>
      <c r="E105" s="28"/>
      <c r="F105" s="130">
        <v>124</v>
      </c>
      <c r="G105" s="34">
        <f>[22]Production!$AM$3</f>
        <v>0.11499897996134403</v>
      </c>
      <c r="H105" s="48">
        <f t="shared" si="6"/>
        <v>0.11590863833850124</v>
      </c>
      <c r="I105" s="66">
        <f t="shared" si="7"/>
        <v>12178368.735272359</v>
      </c>
    </row>
    <row r="106" spans="1:9" ht="32">
      <c r="A106" s="67" t="s">
        <v>1057</v>
      </c>
      <c r="B106" s="140">
        <f>'[1]Weight%'!$B$150*'[1]Weight%'!$B$73/('[1]Weight%'!$B$38+'[1]Weight%'!$B$71+'[1]Weight%'!$B$73)</f>
        <v>1.7960322946692926E-4</v>
      </c>
      <c r="C106" s="28" t="s">
        <v>33</v>
      </c>
      <c r="D106" s="171"/>
      <c r="E106" s="28"/>
      <c r="F106" s="130">
        <v>156</v>
      </c>
      <c r="G106" s="34">
        <f>[22]Production!$AT$3</f>
        <v>6.4800747197154354E-2</v>
      </c>
      <c r="H106" s="48">
        <f t="shared" si="6"/>
        <v>6.5313330374446463E-2</v>
      </c>
      <c r="I106" s="66">
        <f t="shared" si="7"/>
        <v>6862386.0311924908</v>
      </c>
    </row>
    <row r="107" spans="1:9" ht="32">
      <c r="A107" s="67" t="s">
        <v>675</v>
      </c>
      <c r="B107" s="140">
        <f>'[1]Weight%'!$B$150*'[1]Weight%'!$B$69/('[1]Weight%'!$B$36+'[1]Weight%'!$B$68+'[1]Weight%'!$B$69)</f>
        <v>1.7960322946692926E-4</v>
      </c>
      <c r="C107" s="28" t="s">
        <v>33</v>
      </c>
      <c r="D107" s="171"/>
      <c r="E107" s="28"/>
      <c r="F107" s="130">
        <v>392</v>
      </c>
      <c r="G107" s="34">
        <f>[22]Production!$DE$3</f>
        <v>1.2257727118217479E-2</v>
      </c>
      <c r="H107" s="48">
        <f t="shared" si="6"/>
        <v>1.2354687492663771E-2</v>
      </c>
      <c r="I107" s="66">
        <f t="shared" si="7"/>
        <v>1298090.8243897369</v>
      </c>
    </row>
    <row r="108" spans="1:9" ht="32">
      <c r="A108" s="67" t="s">
        <v>676</v>
      </c>
      <c r="B108" s="140">
        <f>'[1]Weight%'!$B$150*'[1]Weight%'!$B$78/('[1]Weight%'!$B$43+'[1]Weight%'!$B$78+'[1]Weight%'!$B$78)</f>
        <v>1.584826654047573E-4</v>
      </c>
      <c r="C108" s="28" t="s">
        <v>33</v>
      </c>
      <c r="D108" s="171"/>
      <c r="E108" s="28"/>
      <c r="F108" s="130">
        <v>450</v>
      </c>
      <c r="G108" s="34">
        <f>[22]Production!$DV$3</f>
        <v>0.15978080061183139</v>
      </c>
      <c r="H108" s="48">
        <f t="shared" si="6"/>
        <v>0.16104468959444929</v>
      </c>
      <c r="I108" s="66">
        <f t="shared" si="7"/>
        <v>16920754.491231158</v>
      </c>
    </row>
    <row r="109" spans="1:9" ht="32">
      <c r="A109" s="67" t="s">
        <v>677</v>
      </c>
      <c r="B109" s="140">
        <f>'[1]Weight%'!$B$150*'[1]Weight%'!$B$79/('[1]Weight%'!$B$42+'[1]Weight%'!$B$79+'[1]Weight%'!$B$79)</f>
        <v>2.2765825270014729E-4</v>
      </c>
      <c r="C109" s="28" t="s">
        <v>33</v>
      </c>
      <c r="D109" s="171"/>
      <c r="E109" s="28"/>
      <c r="F109" s="130">
        <v>528</v>
      </c>
      <c r="G109" s="34">
        <f>[22]Production!$EO$3</f>
        <v>2.1309285722212714E-2</v>
      </c>
      <c r="H109" s="48">
        <f t="shared" si="6"/>
        <v>2.1477845219653152E-2</v>
      </c>
      <c r="I109" s="66">
        <f t="shared" si="7"/>
        <v>2256649.0511273574</v>
      </c>
    </row>
    <row r="110" spans="1:9" ht="32">
      <c r="A110" s="67" t="s">
        <v>678</v>
      </c>
      <c r="B110" s="140">
        <f>'[1]Weight%'!$B$150*'[1]Weight%'!$B$77/('[1]Weight%'!$B$40+'[1]Weight%'!$B$77+'[1]Weight%'!$B$77)</f>
        <v>1.9115477112735448E-4</v>
      </c>
      <c r="C110" s="28" t="s">
        <v>33</v>
      </c>
      <c r="D110" s="171"/>
      <c r="E110" s="28"/>
      <c r="F110" s="130">
        <v>540</v>
      </c>
      <c r="G110" s="34">
        <f>[22]Production!$ET$3</f>
        <v>4.5646353077509375E-2</v>
      </c>
      <c r="H110" s="48">
        <f t="shared" si="6"/>
        <v>4.6007422258102018E-2</v>
      </c>
      <c r="I110" s="66">
        <f t="shared" si="7"/>
        <v>4833939.5652483534</v>
      </c>
    </row>
    <row r="111" spans="1:9" ht="32">
      <c r="A111" s="67" t="s">
        <v>679</v>
      </c>
      <c r="B111" s="140">
        <f>'[1]Weight%'!$B$150*'[1]Weight%'!$B$76/('[1]Weight%'!$B$41+'[1]Weight%'!$B$76+'[1]Weight%'!$B$76)</f>
        <v>3.1203793402335186E-4</v>
      </c>
      <c r="C111" s="28" t="s">
        <v>33</v>
      </c>
      <c r="D111" s="171"/>
      <c r="E111" s="28"/>
      <c r="F111" s="130">
        <v>710</v>
      </c>
      <c r="G111" s="34">
        <f>[22]Production!$GQ$3</f>
        <v>4.3818367080468511E-2</v>
      </c>
      <c r="H111" s="48">
        <f t="shared" si="6"/>
        <v>4.4164976630409705E-2</v>
      </c>
      <c r="I111" s="66">
        <f t="shared" si="7"/>
        <v>4640356.2176189981</v>
      </c>
    </row>
    <row r="112" spans="1:9" ht="32">
      <c r="A112" s="67" t="s">
        <v>696</v>
      </c>
      <c r="B112" s="48">
        <f>'[1]Weight%'!$B$151</f>
        <v>1.4999999999999999E-2</v>
      </c>
      <c r="C112" s="28" t="s">
        <v>33</v>
      </c>
      <c r="D112" s="171"/>
      <c r="E112" s="28"/>
      <c r="F112" s="130">
        <v>792</v>
      </c>
      <c r="G112" s="34">
        <f>[22]Production!$HJ$3</f>
        <v>2.4633419754607061E-2</v>
      </c>
      <c r="H112" s="48">
        <f t="shared" si="6"/>
        <v>2.4828273627618285E-2</v>
      </c>
      <c r="I112" s="66">
        <f t="shared" si="7"/>
        <v>2608674.1733116936</v>
      </c>
    </row>
    <row r="113" spans="1:9" ht="32">
      <c r="A113" s="67" t="s">
        <v>680</v>
      </c>
      <c r="B113" s="26">
        <f>B103*data_3tier!B7</f>
        <v>95954449.594239458</v>
      </c>
      <c r="C113" s="43" t="s">
        <v>7</v>
      </c>
      <c r="D113" s="28"/>
      <c r="E113" s="28"/>
      <c r="F113" s="130">
        <v>826</v>
      </c>
      <c r="G113" s="34">
        <f>[22]Production!$HR$3</f>
        <v>5.0987683769657323E-2</v>
      </c>
      <c r="H113" s="48">
        <f t="shared" si="6"/>
        <v>5.1391003639872708E-2</v>
      </c>
      <c r="I113" s="66">
        <f t="shared" si="7"/>
        <v>5399585.4060016433</v>
      </c>
    </row>
    <row r="114" spans="1:9" ht="32">
      <c r="A114" s="67" t="s">
        <v>681</v>
      </c>
      <c r="B114" s="65">
        <f>B104*data_2tier!B86</f>
        <v>112175.08869048519</v>
      </c>
      <c r="C114" s="43" t="s">
        <v>7</v>
      </c>
      <c r="D114" s="28"/>
      <c r="E114" s="28"/>
      <c r="F114" s="130">
        <v>842</v>
      </c>
      <c r="G114" s="34">
        <f>[22]Production!$HT$3</f>
        <v>5.6554943775935118E-2</v>
      </c>
      <c r="H114" s="48">
        <f t="shared" si="6"/>
        <v>5.7002301468957503E-2</v>
      </c>
      <c r="I114" s="66">
        <f t="shared" si="7"/>
        <v>5989157.1154583376</v>
      </c>
    </row>
    <row r="115" spans="1:9" ht="32">
      <c r="A115" s="67" t="s">
        <v>1059</v>
      </c>
      <c r="B115" s="65">
        <f>B105*data_2tier!B87</f>
        <v>52639.207525794547</v>
      </c>
      <c r="C115" s="43" t="s">
        <v>7</v>
      </c>
      <c r="D115" s="28"/>
      <c r="E115" s="28"/>
      <c r="F115" s="130">
        <v>894</v>
      </c>
      <c r="G115" s="34">
        <f>[22]Production!$IB$3</f>
        <v>0.21029854044730717</v>
      </c>
      <c r="H115" s="48">
        <f t="shared" si="6"/>
        <v>0.21196203197641578</v>
      </c>
      <c r="I115" s="66">
        <f t="shared" si="7"/>
        <v>22270572.929584123</v>
      </c>
    </row>
    <row r="116" spans="1:9" ht="32">
      <c r="A116" s="67" t="s">
        <v>1060</v>
      </c>
      <c r="B116" s="65">
        <f>B106*data_2tier!B88</f>
        <v>120080.6590296856</v>
      </c>
      <c r="C116" s="43" t="s">
        <v>7</v>
      </c>
      <c r="D116" s="28"/>
      <c r="E116" s="28"/>
      <c r="F116" s="28" t="s">
        <v>27</v>
      </c>
      <c r="G116" s="34">
        <f>SUM(G103:G115)</f>
        <v>0.99215193629916842</v>
      </c>
      <c r="H116" s="48"/>
      <c r="I116" s="66"/>
    </row>
    <row r="117" spans="1:9" ht="32">
      <c r="A117" s="67" t="s">
        <v>682</v>
      </c>
      <c r="B117" s="65">
        <f>B107*data_2tier!B88</f>
        <v>120080.6590296856</v>
      </c>
      <c r="C117" s="43" t="s">
        <v>7</v>
      </c>
      <c r="D117" s="28"/>
      <c r="E117" s="28"/>
      <c r="F117" s="28"/>
      <c r="G117" s="28"/>
      <c r="H117" s="28"/>
      <c r="I117" s="29"/>
    </row>
    <row r="118" spans="1:9" ht="32">
      <c r="A118" s="67" t="s">
        <v>683</v>
      </c>
      <c r="B118" s="65">
        <f>B108*data_2tier!B89</f>
        <v>3446193.1517603979</v>
      </c>
      <c r="C118" s="43" t="s">
        <v>7</v>
      </c>
      <c r="D118" s="28"/>
      <c r="E118" s="28"/>
      <c r="F118" s="28"/>
      <c r="G118" s="28"/>
      <c r="H118" s="28"/>
      <c r="I118" s="29"/>
    </row>
    <row r="119" spans="1:9" ht="32">
      <c r="A119" s="67" t="s">
        <v>684</v>
      </c>
      <c r="B119" s="65">
        <f>B109*data_2tier!B90</f>
        <v>96600.493906085831</v>
      </c>
      <c r="C119" s="43" t="s">
        <v>7</v>
      </c>
      <c r="D119" s="28"/>
      <c r="E119" s="28"/>
      <c r="F119" s="28"/>
      <c r="G119" s="28"/>
      <c r="H119" s="28"/>
      <c r="I119" s="29"/>
    </row>
    <row r="120" spans="1:9" ht="32">
      <c r="A120" s="67" t="s">
        <v>685</v>
      </c>
      <c r="B120" s="65">
        <f>B110*data_2tier!B91</f>
        <v>23183.222397233818</v>
      </c>
      <c r="C120" s="43" t="s">
        <v>7</v>
      </c>
      <c r="D120" s="28"/>
      <c r="E120" s="28"/>
      <c r="F120" s="28"/>
      <c r="G120" s="28"/>
      <c r="H120" s="28"/>
      <c r="I120" s="29"/>
    </row>
    <row r="121" spans="1:9" ht="32">
      <c r="A121" s="67" t="s">
        <v>686</v>
      </c>
      <c r="B121" s="65">
        <f>B111*data_2tier!B92</f>
        <v>412474.30259454605</v>
      </c>
      <c r="C121" s="43" t="s">
        <v>7</v>
      </c>
      <c r="D121" s="28"/>
      <c r="E121" s="28"/>
      <c r="F121" s="28"/>
      <c r="G121" s="28"/>
      <c r="H121" s="28"/>
      <c r="I121" s="29"/>
    </row>
    <row r="122" spans="1:9" ht="48">
      <c r="A122" s="67" t="s">
        <v>697</v>
      </c>
      <c r="B122" s="26">
        <f>B112*data_4tier!AA5</f>
        <v>4730813.1494403286</v>
      </c>
      <c r="C122" s="43" t="s">
        <v>7</v>
      </c>
      <c r="D122" s="28"/>
      <c r="E122" s="28"/>
      <c r="F122" s="28"/>
      <c r="G122" s="28"/>
      <c r="H122" s="28"/>
      <c r="I122" s="29"/>
    </row>
    <row r="123" spans="1:9" ht="48">
      <c r="A123" s="67" t="s">
        <v>694</v>
      </c>
      <c r="B123" s="65">
        <f>SUM(B113:B122)</f>
        <v>105068689.52861372</v>
      </c>
      <c r="C123" s="43" t="s">
        <v>7</v>
      </c>
      <c r="D123" s="28"/>
      <c r="E123" s="28"/>
      <c r="F123" s="28"/>
      <c r="G123" s="28"/>
      <c r="H123" s="28"/>
      <c r="I123" s="29"/>
    </row>
    <row r="124" spans="1:9" ht="32">
      <c r="A124" s="67" t="s">
        <v>687</v>
      </c>
      <c r="B124" s="65">
        <f>B103*data_3tier!B8</f>
        <v>349504898.49082267</v>
      </c>
      <c r="C124" s="43" t="s">
        <v>7</v>
      </c>
      <c r="D124" s="28"/>
      <c r="E124" s="28"/>
      <c r="F124" s="28"/>
      <c r="G124" s="28"/>
      <c r="H124" s="28"/>
      <c r="I124" s="29"/>
    </row>
    <row r="125" spans="1:9" ht="32">
      <c r="A125" s="67" t="s">
        <v>688</v>
      </c>
      <c r="B125" s="65">
        <f>B104*data_2tier!B95</f>
        <v>383644.21021357866</v>
      </c>
      <c r="C125" s="43" t="s">
        <v>7</v>
      </c>
      <c r="D125" s="28"/>
      <c r="E125" s="28"/>
      <c r="F125" s="28"/>
      <c r="G125" s="28"/>
      <c r="H125" s="28"/>
      <c r="I125" s="29"/>
    </row>
    <row r="126" spans="1:9" ht="32">
      <c r="A126" s="67" t="s">
        <v>1061</v>
      </c>
      <c r="B126" s="65">
        <f>B105*data_2tier!B96</f>
        <v>183770.61002699714</v>
      </c>
      <c r="C126" s="43" t="s">
        <v>7</v>
      </c>
      <c r="D126" s="28"/>
      <c r="E126" s="28"/>
      <c r="F126" s="28"/>
      <c r="G126" s="28"/>
      <c r="H126" s="28"/>
      <c r="I126" s="29"/>
    </row>
    <row r="127" spans="1:9" ht="32">
      <c r="A127" s="67" t="s">
        <v>1062</v>
      </c>
      <c r="B127" s="65">
        <f>B106*data_2tier!B97</f>
        <v>554312.64096337592</v>
      </c>
      <c r="C127" s="43" t="s">
        <v>7</v>
      </c>
      <c r="D127" s="28"/>
      <c r="E127" s="28"/>
      <c r="F127" s="28"/>
      <c r="G127" s="28"/>
      <c r="H127" s="28"/>
      <c r="I127" s="29"/>
    </row>
    <row r="128" spans="1:9" ht="32">
      <c r="A128" s="67" t="s">
        <v>689</v>
      </c>
      <c r="B128" s="65">
        <f>B107*data_2tier!B97</f>
        <v>554312.64096337592</v>
      </c>
      <c r="C128" s="43" t="s">
        <v>7</v>
      </c>
      <c r="D128" s="28"/>
      <c r="E128" s="28"/>
      <c r="F128" s="28"/>
      <c r="G128" s="28"/>
      <c r="H128" s="28"/>
      <c r="I128" s="29"/>
    </row>
    <row r="129" spans="1:9" ht="32">
      <c r="A129" s="67" t="s">
        <v>690</v>
      </c>
      <c r="B129" s="65">
        <f>B108*data_2tier!B98</f>
        <v>47531903.867483616</v>
      </c>
      <c r="C129" s="43" t="s">
        <v>7</v>
      </c>
      <c r="D129" s="28"/>
      <c r="E129" s="28"/>
      <c r="F129" s="28"/>
      <c r="G129" s="28"/>
      <c r="H129" s="28"/>
      <c r="I129" s="29"/>
    </row>
    <row r="130" spans="1:9" ht="32">
      <c r="A130" s="67" t="s">
        <v>691</v>
      </c>
      <c r="B130" s="65">
        <f>B109*data_2tier!B99</f>
        <v>390736.61317141127</v>
      </c>
      <c r="C130" s="43" t="s">
        <v>7</v>
      </c>
      <c r="D130" s="28"/>
      <c r="E130" s="28"/>
      <c r="F130" s="28"/>
      <c r="G130" s="28"/>
      <c r="H130" s="28"/>
      <c r="I130" s="29"/>
    </row>
    <row r="131" spans="1:9" ht="32">
      <c r="A131" s="67" t="s">
        <v>692</v>
      </c>
      <c r="B131" s="65">
        <f>B110*data_2tier!B100</f>
        <v>124093.10202439345</v>
      </c>
      <c r="C131" s="43" t="s">
        <v>7</v>
      </c>
      <c r="D131" s="28"/>
      <c r="E131" s="28"/>
      <c r="F131" s="28"/>
      <c r="G131" s="28"/>
      <c r="H131" s="28"/>
      <c r="I131" s="29"/>
    </row>
    <row r="132" spans="1:9" ht="32">
      <c r="A132" s="67" t="s">
        <v>693</v>
      </c>
      <c r="B132" s="65">
        <f>B111*data_2tier!B101</f>
        <v>4900316.2606626898</v>
      </c>
      <c r="C132" s="43" t="s">
        <v>7</v>
      </c>
      <c r="D132" s="28"/>
      <c r="E132" s="28"/>
      <c r="F132" s="28"/>
      <c r="G132" s="28"/>
      <c r="H132" s="28"/>
      <c r="I132" s="29"/>
    </row>
    <row r="133" spans="1:9" ht="32">
      <c r="A133" s="67" t="s">
        <v>698</v>
      </c>
      <c r="B133" s="65">
        <f>B112*data_4tier!AA6</f>
        <v>57732057.757453203</v>
      </c>
      <c r="C133" s="43" t="s">
        <v>7</v>
      </c>
      <c r="D133" s="28"/>
      <c r="E133" s="28"/>
      <c r="F133" s="28"/>
      <c r="G133" s="28"/>
      <c r="H133" s="28"/>
      <c r="I133" s="29"/>
    </row>
    <row r="134" spans="1:9" ht="32">
      <c r="A134" s="68" t="s">
        <v>695</v>
      </c>
      <c r="B134" s="112">
        <f>SUM(B124:B133)</f>
        <v>461860046.19378531</v>
      </c>
      <c r="C134" s="132" t="s">
        <v>7</v>
      </c>
      <c r="D134" s="37"/>
      <c r="E134" s="37"/>
      <c r="F134" s="37"/>
      <c r="G134" s="37"/>
      <c r="H134" s="37"/>
      <c r="I134" s="42"/>
    </row>
    <row r="136" spans="1:9">
      <c r="A136" s="118" t="s">
        <v>699</v>
      </c>
    </row>
    <row r="137" spans="1:9" ht="32">
      <c r="A137" s="60" t="s">
        <v>0</v>
      </c>
      <c r="B137" s="23" t="s">
        <v>1</v>
      </c>
      <c r="C137" s="23" t="s">
        <v>558</v>
      </c>
      <c r="D137" s="23" t="s">
        <v>3</v>
      </c>
      <c r="E137" s="23"/>
      <c r="F137" s="114" t="s">
        <v>631</v>
      </c>
      <c r="G137" s="114" t="s">
        <v>424</v>
      </c>
      <c r="H137" s="114" t="s">
        <v>429</v>
      </c>
      <c r="I137" s="115" t="s">
        <v>527</v>
      </c>
    </row>
    <row r="138" spans="1:9" ht="32">
      <c r="A138" s="67" t="s">
        <v>700</v>
      </c>
      <c r="B138" s="142">
        <f>(44/(44+53))*'[1]Weight%'!$B$152</f>
        <v>5.4287835051546388E-4</v>
      </c>
      <c r="C138" s="28" t="s">
        <v>1064</v>
      </c>
      <c r="D138" s="171" t="s">
        <v>208</v>
      </c>
      <c r="E138" s="28"/>
      <c r="F138" s="130">
        <v>56</v>
      </c>
      <c r="G138" s="34">
        <f>[23]Production!$S$5</f>
        <v>1.1406834942510149E-2</v>
      </c>
      <c r="H138" s="48">
        <f t="shared" ref="H138:H147" si="8">G138/$G$148</f>
        <v>1.1931622226698543E-2</v>
      </c>
      <c r="I138" s="66">
        <f t="shared" ref="I138:I147" si="9">H138*$B$142</f>
        <v>32532.412792114956</v>
      </c>
    </row>
    <row r="139" spans="1:9" ht="32">
      <c r="A139" s="67" t="s">
        <v>701</v>
      </c>
      <c r="B139" s="142">
        <f>(2/3)*'[1]Weight%'!$B$152</f>
        <v>7.9786666666666669E-4</v>
      </c>
      <c r="C139" s="28" t="s">
        <v>1066</v>
      </c>
      <c r="D139" s="171"/>
      <c r="E139" s="28"/>
      <c r="F139" s="130">
        <v>156</v>
      </c>
      <c r="G139" s="34">
        <f>[23]Production!$AT$5</f>
        <v>0.57456933900502705</v>
      </c>
      <c r="H139" s="48">
        <f t="shared" si="8"/>
        <v>0.6010031994504571</v>
      </c>
      <c r="I139" s="66">
        <f t="shared" si="9"/>
        <v>1638677.7759485007</v>
      </c>
    </row>
    <row r="140" spans="1:9" ht="32">
      <c r="A140" s="67" t="s">
        <v>702</v>
      </c>
      <c r="B140" s="65">
        <f>B138*(data_2tier!B193+data_2tier!B194+data_2tier!B195+data_2tier!B196)</f>
        <v>1785756.7465847072</v>
      </c>
      <c r="C140" s="43" t="s">
        <v>7</v>
      </c>
      <c r="D140" s="28"/>
      <c r="E140" s="28"/>
      <c r="F140" s="130">
        <v>251</v>
      </c>
      <c r="G140" s="34">
        <f>[23]Production!$BW$5</f>
        <v>2.2781136687529253E-2</v>
      </c>
      <c r="H140" s="48">
        <f t="shared" si="8"/>
        <v>2.3829214520970945E-2</v>
      </c>
      <c r="I140" s="66">
        <f t="shared" si="9"/>
        <v>64972.040564059083</v>
      </c>
    </row>
    <row r="141" spans="1:9" ht="48">
      <c r="A141" s="67" t="s">
        <v>703</v>
      </c>
      <c r="B141" s="65">
        <f>B139*(data_2tier!B197+data_2tier!B198+data_2tier!B199+data_2tier!B200)</f>
        <v>940814.05611129908</v>
      </c>
      <c r="C141" s="43" t="s">
        <v>7</v>
      </c>
      <c r="D141" s="28"/>
      <c r="E141" s="28"/>
      <c r="F141" s="130">
        <v>276</v>
      </c>
      <c r="G141" s="34">
        <f>[23]Production!$CE$5</f>
        <v>1.4587618521262427E-2</v>
      </c>
      <c r="H141" s="48">
        <f t="shared" si="8"/>
        <v>1.5258742171699416E-2</v>
      </c>
      <c r="I141" s="66">
        <f t="shared" si="9"/>
        <v>41604.040891221877</v>
      </c>
    </row>
    <row r="142" spans="1:9" ht="32">
      <c r="A142" s="67" t="s">
        <v>704</v>
      </c>
      <c r="B142" s="65">
        <f>SUM(B140:B141)</f>
        <v>2726570.8026960064</v>
      </c>
      <c r="C142" s="43" t="s">
        <v>7</v>
      </c>
      <c r="D142" s="28"/>
      <c r="E142" s="28"/>
      <c r="F142" s="130">
        <v>376</v>
      </c>
      <c r="G142" s="34">
        <f>[23]Production!$DA$5</f>
        <v>2.106712193989884E-2</v>
      </c>
      <c r="H142" s="48">
        <f t="shared" si="8"/>
        <v>2.2036344144325017E-2</v>
      </c>
      <c r="I142" s="66">
        <f t="shared" si="9"/>
        <v>60083.652542077703</v>
      </c>
    </row>
    <row r="143" spans="1:9" ht="32">
      <c r="A143" s="67" t="s">
        <v>705</v>
      </c>
      <c r="B143" s="65">
        <f>B138*(data_2tier!B202+data_2tier!B203+data_2tier!B204+data_2tier!B205)</f>
        <v>23433666.700752445</v>
      </c>
      <c r="C143" s="43" t="s">
        <v>7</v>
      </c>
      <c r="D143" s="28"/>
      <c r="E143" s="28"/>
      <c r="F143" s="130">
        <v>392</v>
      </c>
      <c r="G143" s="34">
        <f>[23]Production!$DE$5</f>
        <v>2.8409272686373034E-2</v>
      </c>
      <c r="H143" s="48">
        <f t="shared" si="8"/>
        <v>2.971628073321415E-2</v>
      </c>
      <c r="I143" s="66">
        <f t="shared" si="9"/>
        <v>81023.543411899576</v>
      </c>
    </row>
    <row r="144" spans="1:9" ht="32">
      <c r="A144" s="67" t="s">
        <v>706</v>
      </c>
      <c r="B144" s="65">
        <f>B139*(data_2tier!B206+data_2tier!B207+data_2tier!B208+data_2tier!B209)</f>
        <v>10766208.844787536</v>
      </c>
      <c r="C144" s="43" t="s">
        <v>7</v>
      </c>
      <c r="D144" s="28"/>
      <c r="E144" s="28"/>
      <c r="F144" s="130">
        <v>528</v>
      </c>
      <c r="G144" s="34">
        <f>[23]Production!$EO$5</f>
        <v>9.496524941245918E-2</v>
      </c>
      <c r="H144" s="48">
        <f t="shared" si="8"/>
        <v>9.9334257606459656E-2</v>
      </c>
      <c r="I144" s="66">
        <f t="shared" si="9"/>
        <v>270841.88649725658</v>
      </c>
    </row>
    <row r="145" spans="1:9" ht="32">
      <c r="A145" s="67" t="s">
        <v>707</v>
      </c>
      <c r="B145" s="65">
        <f>SUM(B143:B144)</f>
        <v>34199875.545539983</v>
      </c>
      <c r="C145" s="43" t="s">
        <v>7</v>
      </c>
      <c r="D145" s="28"/>
      <c r="E145" s="28"/>
      <c r="F145" s="130">
        <v>699</v>
      </c>
      <c r="G145" s="34">
        <f>[23]Production!$GK$5</f>
        <v>2.3459011961912673E-2</v>
      </c>
      <c r="H145" s="48">
        <f t="shared" si="8"/>
        <v>2.4538276388835822E-2</v>
      </c>
      <c r="I145" s="66">
        <f t="shared" si="9"/>
        <v>66905.347950284544</v>
      </c>
    </row>
    <row r="146" spans="1:9">
      <c r="A146" s="30"/>
      <c r="B146" s="28"/>
      <c r="C146" s="28"/>
      <c r="D146" s="28"/>
      <c r="E146" s="28"/>
      <c r="F146" s="130">
        <v>826</v>
      </c>
      <c r="G146" s="34">
        <f>[23]Production!$HR$5</f>
        <v>2.6736843336544813E-2</v>
      </c>
      <c r="H146" s="48">
        <f t="shared" si="8"/>
        <v>2.7966908948353186E-2</v>
      </c>
      <c r="I146" s="66">
        <f t="shared" si="9"/>
        <v>76253.757380237468</v>
      </c>
    </row>
    <row r="147" spans="1:9">
      <c r="A147" s="30"/>
      <c r="B147" s="28"/>
      <c r="C147" s="28"/>
      <c r="D147" s="28"/>
      <c r="E147" s="28"/>
      <c r="F147" s="130">
        <v>842</v>
      </c>
      <c r="G147" s="34">
        <f>[23]Production!$HT$5</f>
        <v>0.13803467679044684</v>
      </c>
      <c r="H147" s="48">
        <f t="shared" si="8"/>
        <v>0.14438515380898609</v>
      </c>
      <c r="I147" s="66">
        <f t="shared" si="9"/>
        <v>393676.34471835353</v>
      </c>
    </row>
    <row r="148" spans="1:9">
      <c r="A148" s="30"/>
      <c r="B148" s="28"/>
      <c r="C148" s="28"/>
      <c r="D148" s="28"/>
      <c r="E148" s="28"/>
      <c r="F148" s="28" t="s">
        <v>27</v>
      </c>
      <c r="G148" s="34">
        <f>SUM(G138:G147)</f>
        <v>0.95601710528396433</v>
      </c>
      <c r="H148" s="28"/>
      <c r="I148" s="29"/>
    </row>
    <row r="149" spans="1:9">
      <c r="A149" s="30" t="s">
        <v>1063</v>
      </c>
      <c r="B149" s="28"/>
      <c r="C149" s="28"/>
      <c r="D149" s="28"/>
      <c r="E149" s="28"/>
      <c r="F149" s="28"/>
      <c r="G149" s="34"/>
      <c r="H149" s="28"/>
      <c r="I149" s="29"/>
    </row>
    <row r="150" spans="1:9">
      <c r="A150" s="39" t="s">
        <v>1065</v>
      </c>
      <c r="B150" s="37"/>
      <c r="C150" s="37"/>
      <c r="D150" s="37"/>
      <c r="E150" s="37"/>
      <c r="F150" s="37"/>
      <c r="G150" s="40"/>
      <c r="H150" s="37"/>
      <c r="I150" s="42"/>
    </row>
    <row r="152" spans="1:9">
      <c r="A152" s="118" t="s">
        <v>708</v>
      </c>
    </row>
    <row r="153" spans="1:9" ht="32">
      <c r="A153" s="60" t="s">
        <v>0</v>
      </c>
      <c r="B153" s="23" t="s">
        <v>1</v>
      </c>
      <c r="C153" s="23" t="s">
        <v>558</v>
      </c>
      <c r="D153" s="23" t="s">
        <v>3</v>
      </c>
      <c r="E153" s="23"/>
      <c r="F153" s="114" t="s">
        <v>631</v>
      </c>
      <c r="G153" s="114" t="s">
        <v>424</v>
      </c>
      <c r="H153" s="114" t="s">
        <v>429</v>
      </c>
      <c r="I153" s="115" t="s">
        <v>527</v>
      </c>
    </row>
    <row r="154" spans="1:9" ht="32">
      <c r="A154" s="67" t="s">
        <v>709</v>
      </c>
      <c r="B154" s="48">
        <f>'[1]Weight%'!$B$153</f>
        <v>3.5399999999999997E-3</v>
      </c>
      <c r="C154" s="28" t="s">
        <v>33</v>
      </c>
      <c r="D154" s="171" t="s">
        <v>208</v>
      </c>
      <c r="E154" s="28"/>
      <c r="F154" s="130">
        <v>36</v>
      </c>
      <c r="G154" s="34">
        <f>[24]Production!$L$3</f>
        <v>0.68069069929711234</v>
      </c>
      <c r="H154" s="48">
        <f>G154/$G$158</f>
        <v>0.71402827972605087</v>
      </c>
      <c r="I154" s="66">
        <f>H154*$B$158</f>
        <v>80905146.687092081</v>
      </c>
    </row>
    <row r="155" spans="1:9" ht="32">
      <c r="A155" s="67" t="s">
        <v>710</v>
      </c>
      <c r="B155" s="82">
        <f>'[1]Weight%'!$B$154</f>
        <v>0.3</v>
      </c>
      <c r="C155" s="28" t="s">
        <v>33</v>
      </c>
      <c r="D155" s="171"/>
      <c r="E155" s="28"/>
      <c r="F155" s="130">
        <v>156</v>
      </c>
      <c r="G155" s="34">
        <f>[24]Production!$AT$3</f>
        <v>0.16179190588742143</v>
      </c>
      <c r="H155" s="48">
        <f>G155/$G$158</f>
        <v>0.16971584355961644</v>
      </c>
      <c r="I155" s="66">
        <f>H155*$B$158</f>
        <v>19230170.020132013</v>
      </c>
    </row>
    <row r="156" spans="1:9" ht="32">
      <c r="A156" s="67" t="s">
        <v>711</v>
      </c>
      <c r="B156" s="65">
        <f>B154*data_2tier!B333</f>
        <v>18691779.541571509</v>
      </c>
      <c r="C156" s="43" t="s">
        <v>7</v>
      </c>
      <c r="D156" s="28"/>
      <c r="E156" s="28"/>
      <c r="F156" s="130">
        <v>704</v>
      </c>
      <c r="G156" s="34">
        <f>[24]Production!$GN$3</f>
        <v>8.0493148441535503E-2</v>
      </c>
      <c r="H156" s="48">
        <f>G156/$G$158</f>
        <v>8.4435389481289869E-2</v>
      </c>
      <c r="I156" s="66">
        <f>H156*$B$158</f>
        <v>9567208.7024150304</v>
      </c>
    </row>
    <row r="157" spans="1:9" ht="32">
      <c r="A157" s="67" t="s">
        <v>712</v>
      </c>
      <c r="B157" s="65">
        <f>B155*data_4tier!AA5</f>
        <v>94616262.988806576</v>
      </c>
      <c r="C157" s="43" t="s">
        <v>7</v>
      </c>
      <c r="D157" s="28"/>
      <c r="E157" s="28"/>
      <c r="F157" s="130">
        <v>764</v>
      </c>
      <c r="G157" s="34">
        <f>[24]Production!$HC$3</f>
        <v>3.0334806507866848E-2</v>
      </c>
      <c r="H157" s="48">
        <f>G157/$G$158</f>
        <v>3.1820487233042857E-2</v>
      </c>
      <c r="I157" s="66">
        <f>H157*$B$158</f>
        <v>3605517.1207389729</v>
      </c>
    </row>
    <row r="158" spans="1:9" ht="32">
      <c r="A158" s="67" t="s">
        <v>715</v>
      </c>
      <c r="B158" s="65">
        <f>SUM(B156:B157)</f>
        <v>113308042.53037809</v>
      </c>
      <c r="C158" s="43" t="s">
        <v>7</v>
      </c>
      <c r="D158" s="28"/>
      <c r="E158" s="28"/>
      <c r="F158" s="28" t="s">
        <v>27</v>
      </c>
      <c r="G158" s="34">
        <f>SUM(G154:G157)</f>
        <v>0.95331056013393611</v>
      </c>
      <c r="H158" s="28"/>
      <c r="I158" s="29"/>
    </row>
    <row r="159" spans="1:9" ht="32">
      <c r="A159" s="67" t="s">
        <v>713</v>
      </c>
      <c r="B159" s="65">
        <f>B154*data_2tier!B342</f>
        <v>237544742.95535815</v>
      </c>
      <c r="C159" s="43" t="s">
        <v>7</v>
      </c>
      <c r="D159" s="28"/>
      <c r="E159" s="28"/>
      <c r="F159" s="28"/>
      <c r="G159" s="28"/>
      <c r="H159" s="28"/>
      <c r="I159" s="29"/>
    </row>
    <row r="160" spans="1:9" ht="32">
      <c r="A160" s="67" t="s">
        <v>714</v>
      </c>
      <c r="B160" s="65">
        <f>B155*data_4tier!AA6</f>
        <v>1154641155.1490641</v>
      </c>
      <c r="C160" s="43" t="s">
        <v>7</v>
      </c>
      <c r="D160" s="28"/>
      <c r="E160" s="28"/>
      <c r="F160" s="28"/>
      <c r="G160" s="28"/>
      <c r="H160" s="28"/>
      <c r="I160" s="29"/>
    </row>
    <row r="161" spans="1:9" ht="32">
      <c r="A161" s="68" t="s">
        <v>716</v>
      </c>
      <c r="B161" s="112">
        <f>SUM(B159:B160)</f>
        <v>1392185898.1044221</v>
      </c>
      <c r="C161" s="132" t="s">
        <v>7</v>
      </c>
      <c r="D161" s="37"/>
      <c r="E161" s="37"/>
      <c r="F161" s="37"/>
      <c r="G161" s="37"/>
      <c r="H161" s="37"/>
      <c r="I161" s="42"/>
    </row>
    <row r="163" spans="1:9">
      <c r="A163" s="118" t="s">
        <v>720</v>
      </c>
    </row>
    <row r="164" spans="1:9" ht="32">
      <c r="A164" s="60" t="s">
        <v>0</v>
      </c>
      <c r="B164" s="23" t="s">
        <v>1</v>
      </c>
      <c r="C164" s="23" t="s">
        <v>558</v>
      </c>
      <c r="D164" s="23" t="s">
        <v>3</v>
      </c>
      <c r="E164" s="23"/>
      <c r="F164" s="114" t="s">
        <v>631</v>
      </c>
      <c r="G164" s="114" t="s">
        <v>424</v>
      </c>
      <c r="H164" s="114" t="s">
        <v>429</v>
      </c>
      <c r="I164" s="115" t="s">
        <v>527</v>
      </c>
    </row>
    <row r="165" spans="1:9">
      <c r="A165" s="67" t="s">
        <v>717</v>
      </c>
      <c r="B165" s="48">
        <f>'[1]Weight%'!$B$155</f>
        <v>7.0000000000000007E-2</v>
      </c>
      <c r="C165" s="28" t="s">
        <v>33</v>
      </c>
      <c r="D165" s="28" t="s">
        <v>208</v>
      </c>
      <c r="E165" s="28"/>
      <c r="F165" s="130">
        <v>32</v>
      </c>
      <c r="G165" s="34">
        <f>[25]Production!$K$5</f>
        <v>0.10930144184740619</v>
      </c>
      <c r="H165" s="48">
        <f>G165/$G$173</f>
        <v>0.11286425966592221</v>
      </c>
      <c r="I165" s="66">
        <f>H165*$B$166</f>
        <v>10829827.915104887</v>
      </c>
    </row>
    <row r="166" spans="1:9" ht="32">
      <c r="A166" s="67" t="s">
        <v>718</v>
      </c>
      <c r="B166" s="65">
        <f>B165*data_3tier!B7</f>
        <v>95954449.594239458</v>
      </c>
      <c r="C166" s="43" t="s">
        <v>7</v>
      </c>
      <c r="D166" s="28"/>
      <c r="E166" s="28"/>
      <c r="F166" s="130">
        <v>56</v>
      </c>
      <c r="G166" s="34">
        <f>[25]Production!$S$5</f>
        <v>1.4776903564388532E-2</v>
      </c>
      <c r="H166" s="48">
        <f t="shared" ref="H166:H172" si="10">G166/$G$173</f>
        <v>1.5258575301118195E-2</v>
      </c>
      <c r="I166" s="66">
        <f t="shared" ref="I166:I172" si="11">H166*$B$166</f>
        <v>1464128.194611053</v>
      </c>
    </row>
    <row r="167" spans="1:9" ht="32">
      <c r="A167" s="67" t="s">
        <v>719</v>
      </c>
      <c r="B167" s="65">
        <f>B165*data_3tier!B8</f>
        <v>349504898.49082267</v>
      </c>
      <c r="C167" s="43" t="s">
        <v>7</v>
      </c>
      <c r="D167" s="28"/>
      <c r="E167" s="28"/>
      <c r="F167" s="130">
        <v>152</v>
      </c>
      <c r="G167" s="34">
        <f>[25]Production!$AS$5</f>
        <v>0.4547250977180029</v>
      </c>
      <c r="H167" s="48">
        <f t="shared" si="10"/>
        <v>0.46954743357463269</v>
      </c>
      <c r="I167" s="66">
        <f t="shared" si="11"/>
        <v>45055165.547041595</v>
      </c>
    </row>
    <row r="168" spans="1:9">
      <c r="A168" s="30"/>
      <c r="B168" s="28"/>
      <c r="C168" s="28"/>
      <c r="D168" s="28"/>
      <c r="E168" s="28"/>
      <c r="F168" s="130">
        <v>156</v>
      </c>
      <c r="G168" s="34">
        <f>[25]Production!$AT$5</f>
        <v>0.26004764648756634</v>
      </c>
      <c r="H168" s="48">
        <f t="shared" si="10"/>
        <v>0.26852422623719607</v>
      </c>
      <c r="I168" s="66">
        <f t="shared" si="11"/>
        <v>25766094.331309184</v>
      </c>
    </row>
    <row r="169" spans="1:9">
      <c r="A169" s="30"/>
      <c r="B169" s="28"/>
      <c r="C169" s="28"/>
      <c r="D169" s="28"/>
      <c r="E169" s="28"/>
      <c r="F169" s="130">
        <v>276</v>
      </c>
      <c r="G169" s="34">
        <f>[25]Production!$CE$5</f>
        <v>1.13471666246977E-2</v>
      </c>
      <c r="H169" s="48">
        <f t="shared" si="10"/>
        <v>1.1717041776908263E-2</v>
      </c>
      <c r="I169" s="66">
        <f t="shared" si="11"/>
        <v>1124302.2945759417</v>
      </c>
    </row>
    <row r="170" spans="1:9">
      <c r="A170" s="30"/>
      <c r="B170" s="28"/>
      <c r="C170" s="28"/>
      <c r="D170" s="28"/>
      <c r="E170" s="28"/>
      <c r="F170" s="130">
        <v>528</v>
      </c>
      <c r="G170" s="34">
        <f>[25]Production!$EO$5</f>
        <v>5.202298662266315E-2</v>
      </c>
      <c r="H170" s="48">
        <f t="shared" si="10"/>
        <v>5.3718741231009552E-2</v>
      </c>
      <c r="I170" s="66">
        <f t="shared" si="11"/>
        <v>5154552.247716899</v>
      </c>
    </row>
    <row r="171" spans="1:9">
      <c r="A171" s="30"/>
      <c r="B171" s="28"/>
      <c r="C171" s="28"/>
      <c r="D171" s="28"/>
      <c r="E171" s="28"/>
      <c r="F171" s="130">
        <v>643</v>
      </c>
      <c r="G171" s="34">
        <f>[25]Production!$FU$5</f>
        <v>3.6686964696762671E-2</v>
      </c>
      <c r="H171" s="48">
        <f t="shared" si="10"/>
        <v>3.7882822402934335E-2</v>
      </c>
      <c r="I171" s="66">
        <f t="shared" si="11"/>
        <v>3635025.3727498879</v>
      </c>
    </row>
    <row r="172" spans="1:9">
      <c r="A172" s="30"/>
      <c r="B172" s="28"/>
      <c r="C172" s="28"/>
      <c r="D172" s="28"/>
      <c r="E172" s="28"/>
      <c r="F172" s="130">
        <v>842</v>
      </c>
      <c r="G172" s="34">
        <f>[25]Production!$HT$5</f>
        <v>2.9524511272074571E-2</v>
      </c>
      <c r="H172" s="48">
        <f t="shared" si="10"/>
        <v>3.0486899810278661E-2</v>
      </c>
      <c r="I172" s="66">
        <f t="shared" si="11"/>
        <v>2925353.6911300123</v>
      </c>
    </row>
    <row r="173" spans="1:9">
      <c r="A173" s="39"/>
      <c r="B173" s="37"/>
      <c r="C173" s="37"/>
      <c r="D173" s="37"/>
      <c r="E173" s="37"/>
      <c r="F173" s="37" t="s">
        <v>27</v>
      </c>
      <c r="G173" s="40">
        <f>SUM(G165:G172)</f>
        <v>0.96843271883356208</v>
      </c>
      <c r="H173" s="37"/>
      <c r="I173" s="42"/>
    </row>
    <row r="175" spans="1:9">
      <c r="A175" s="119" t="s">
        <v>721</v>
      </c>
    </row>
    <row r="176" spans="1:9" ht="32">
      <c r="A176" s="60" t="s">
        <v>0</v>
      </c>
      <c r="B176" s="23" t="s">
        <v>1</v>
      </c>
      <c r="C176" s="23" t="s">
        <v>558</v>
      </c>
      <c r="D176" s="23" t="s">
        <v>3</v>
      </c>
      <c r="E176" s="23"/>
      <c r="F176" s="114" t="s">
        <v>631</v>
      </c>
      <c r="G176" s="114" t="s">
        <v>424</v>
      </c>
      <c r="H176" s="114" t="s">
        <v>429</v>
      </c>
      <c r="I176" s="115" t="s">
        <v>527</v>
      </c>
    </row>
    <row r="177" spans="1:9" ht="32">
      <c r="A177" s="67" t="s">
        <v>722</v>
      </c>
      <c r="B177" s="34">
        <f>'[1]Weight%'!$B$156</f>
        <v>0.1</v>
      </c>
      <c r="C177" s="28" t="s">
        <v>33</v>
      </c>
      <c r="D177" s="171" t="s">
        <v>208</v>
      </c>
      <c r="E177" s="28"/>
      <c r="F177" s="130">
        <v>40</v>
      </c>
      <c r="G177" s="34">
        <f>[26]Production!$M$3</f>
        <v>4.7803506181348737E-2</v>
      </c>
      <c r="H177" s="35">
        <f t="shared" ref="H177:H185" si="12">G177/$G$186</f>
        <v>5.030987265264901E-2</v>
      </c>
      <c r="I177" s="144">
        <f>H177*$B$185</f>
        <v>79781237.339626387</v>
      </c>
    </row>
    <row r="178" spans="1:9" ht="32">
      <c r="A178" s="67" t="s">
        <v>723</v>
      </c>
      <c r="B178" s="82">
        <f>'[1]Weight%'!$B$157</f>
        <v>6.2921511627906978E-3</v>
      </c>
      <c r="C178" s="28" t="s">
        <v>33</v>
      </c>
      <c r="D178" s="171"/>
      <c r="E178" s="28"/>
      <c r="F178" s="130">
        <v>156</v>
      </c>
      <c r="G178" s="34">
        <f>[26]Production!$AT$3</f>
        <v>0.74679786570042106</v>
      </c>
      <c r="H178" s="35">
        <f t="shared" si="12"/>
        <v>0.78595292525461824</v>
      </c>
      <c r="I178" s="144">
        <f t="shared" ref="I178:I179" si="13">H178*$B$185</f>
        <v>1246361669.4170008</v>
      </c>
    </row>
    <row r="179" spans="1:9" ht="32">
      <c r="A179" s="67" t="s">
        <v>727</v>
      </c>
      <c r="B179" s="82">
        <f>'[1]Weight%'!$B$158</f>
        <v>6.7325038880248845E-3</v>
      </c>
      <c r="C179" s="28" t="s">
        <v>33</v>
      </c>
      <c r="D179" s="171"/>
      <c r="E179" s="28"/>
      <c r="F179" s="130">
        <v>276</v>
      </c>
      <c r="G179" s="34">
        <f>[26]Production!$CE$3</f>
        <v>4.4481931934810655E-2</v>
      </c>
      <c r="H179" s="35">
        <f t="shared" si="12"/>
        <v>4.6814146278192213E-2</v>
      </c>
      <c r="I179" s="144">
        <f t="shared" si="13"/>
        <v>74237725.483007833</v>
      </c>
    </row>
    <row r="180" spans="1:9" ht="32">
      <c r="A180" s="67" t="s">
        <v>1067</v>
      </c>
      <c r="B180" s="82">
        <f>'[1]Weight%'!$B$159</f>
        <v>6.7500000000000008E-3</v>
      </c>
      <c r="C180" s="28" t="s">
        <v>33</v>
      </c>
      <c r="D180" s="171"/>
      <c r="E180" s="28"/>
      <c r="F180" s="130">
        <v>528</v>
      </c>
      <c r="G180" s="34">
        <f>[26]Production!$EO$3</f>
        <v>1.4807060979248887E-2</v>
      </c>
      <c r="H180" s="35">
        <f t="shared" si="12"/>
        <v>1.5583404058271149E-2</v>
      </c>
      <c r="I180" s="144">
        <f t="shared" ref="I180:I185" si="14">H180*$B$185</f>
        <v>24712112.994521063</v>
      </c>
    </row>
    <row r="181" spans="1:9" ht="32">
      <c r="A181" s="67" t="s">
        <v>724</v>
      </c>
      <c r="B181" s="26">
        <f>B177*data_2tier!B201</f>
        <v>446858539.67029947</v>
      </c>
      <c r="C181" s="43" t="s">
        <v>7</v>
      </c>
      <c r="D181" s="28"/>
      <c r="E181" s="28"/>
      <c r="F181" s="130">
        <v>642</v>
      </c>
      <c r="G181" s="34">
        <f>[26]Production!$FT$3</f>
        <v>1.447665628409437E-2</v>
      </c>
      <c r="H181" s="35">
        <f t="shared" si="12"/>
        <v>1.5235676046982583E-2</v>
      </c>
      <c r="I181" s="144">
        <f t="shared" si="14"/>
        <v>24160687.011199903</v>
      </c>
    </row>
    <row r="182" spans="1:9" ht="48">
      <c r="A182" s="67" t="s">
        <v>725</v>
      </c>
      <c r="B182" s="26">
        <f>B178*data_2tier!B94</f>
        <v>393256670.62754256</v>
      </c>
      <c r="C182" s="43" t="s">
        <v>7</v>
      </c>
      <c r="D182" s="28"/>
      <c r="E182" s="28"/>
      <c r="F182" s="130">
        <v>643</v>
      </c>
      <c r="G182" s="34">
        <f>[26]Production!$FU$3</f>
        <v>1.5881139256386938E-2</v>
      </c>
      <c r="H182" s="35">
        <f t="shared" si="12"/>
        <v>1.6713796903030206E-2</v>
      </c>
      <c r="I182" s="144">
        <f t="shared" si="14"/>
        <v>26504686.401680924</v>
      </c>
    </row>
    <row r="183" spans="1:9" ht="32">
      <c r="A183" s="67" t="s">
        <v>726</v>
      </c>
      <c r="B183" s="26">
        <f>B179*data_3tier!B100</f>
        <v>419696796.11426824</v>
      </c>
      <c r="C183" s="43" t="s">
        <v>7</v>
      </c>
      <c r="D183" s="28"/>
      <c r="E183" s="28"/>
      <c r="F183" s="130">
        <v>703</v>
      </c>
      <c r="G183" s="34">
        <f>[26]Production!$GM$3</f>
        <v>1.2668947912078879E-2</v>
      </c>
      <c r="H183" s="35">
        <f t="shared" si="12"/>
        <v>1.3333188441905812E-2</v>
      </c>
      <c r="I183" s="144">
        <f t="shared" si="14"/>
        <v>21143728.168861523</v>
      </c>
    </row>
    <row r="184" spans="1:9" ht="32">
      <c r="A184" s="67" t="s">
        <v>1068</v>
      </c>
      <c r="B184" s="26">
        <f>B180*data_4tier!AI40</f>
        <v>325984838.86037964</v>
      </c>
      <c r="C184" s="43" t="s">
        <v>7</v>
      </c>
      <c r="D184" s="28"/>
      <c r="E184" s="28"/>
      <c r="F184" s="130">
        <v>792</v>
      </c>
      <c r="G184" s="34">
        <f>[26]Production!$HJ$3</f>
        <v>3.4670930947631316E-2</v>
      </c>
      <c r="H184" s="35">
        <f t="shared" si="12"/>
        <v>3.6488748630841651E-2</v>
      </c>
      <c r="I184" s="144">
        <f t="shared" si="14"/>
        <v>57863742.467451133</v>
      </c>
    </row>
    <row r="185" spans="1:9" ht="48">
      <c r="A185" s="67" t="s">
        <v>731</v>
      </c>
      <c r="B185" s="108">
        <f>SUM(B178:B184)</f>
        <v>1585796845.2922647</v>
      </c>
      <c r="C185" s="43" t="s">
        <v>7</v>
      </c>
      <c r="D185" s="28"/>
      <c r="E185" s="28"/>
      <c r="F185" s="130">
        <v>842</v>
      </c>
      <c r="G185" s="34">
        <f>[26]Production!$HT$3</f>
        <v>1.8593379695559346E-2</v>
      </c>
      <c r="H185" s="35">
        <f t="shared" si="12"/>
        <v>1.9568241733509351E-2</v>
      </c>
      <c r="I185" s="144">
        <f t="shared" si="14"/>
        <v>31031256.008915566</v>
      </c>
    </row>
    <row r="186" spans="1:9" ht="32">
      <c r="A186" s="67" t="s">
        <v>728</v>
      </c>
      <c r="B186" s="28">
        <f>B177*data_2tier!B210</f>
        <v>5665933879.9848175</v>
      </c>
      <c r="C186" s="43" t="s">
        <v>7</v>
      </c>
      <c r="D186" s="28"/>
      <c r="E186" s="28"/>
      <c r="F186" s="28" t="s">
        <v>27</v>
      </c>
      <c r="G186" s="34">
        <f>SUM(G177:G185)</f>
        <v>0.95018141889158003</v>
      </c>
      <c r="H186" s="28"/>
      <c r="I186" s="145"/>
    </row>
    <row r="187" spans="1:9" ht="32">
      <c r="A187" s="67" t="s">
        <v>729</v>
      </c>
      <c r="B187" s="28">
        <f>B178*data_2tier!B103</f>
        <v>4828469885.6730089</v>
      </c>
      <c r="C187" s="43" t="s">
        <v>7</v>
      </c>
      <c r="D187" s="28"/>
      <c r="E187" s="28"/>
      <c r="F187" s="28"/>
      <c r="G187" s="28"/>
      <c r="H187" s="28"/>
      <c r="I187" s="29"/>
    </row>
    <row r="188" spans="1:9" ht="32">
      <c r="A188" s="67" t="s">
        <v>730</v>
      </c>
      <c r="B188" s="28">
        <f>data_3tier!B101*B179</f>
        <v>5206653099.0769634</v>
      </c>
      <c r="C188" s="43" t="s">
        <v>7</v>
      </c>
      <c r="D188" s="28"/>
      <c r="E188" s="28"/>
      <c r="F188" s="28"/>
      <c r="G188" s="28"/>
      <c r="H188" s="28"/>
      <c r="I188" s="29"/>
    </row>
    <row r="189" spans="1:9" ht="32">
      <c r="A189" s="67" t="s">
        <v>1069</v>
      </c>
      <c r="B189" s="28">
        <f>B180*data_4tier!AI41</f>
        <v>2928087413.9212532</v>
      </c>
      <c r="C189" s="43" t="s">
        <v>7</v>
      </c>
      <c r="D189" s="28"/>
      <c r="E189" s="28"/>
      <c r="F189" s="28"/>
      <c r="G189" s="34"/>
      <c r="H189" s="28"/>
      <c r="I189" s="145"/>
    </row>
    <row r="190" spans="1:9" ht="32">
      <c r="A190" s="68" t="s">
        <v>732</v>
      </c>
      <c r="B190" s="112">
        <f>SUM(B186:B189)</f>
        <v>18629144278.656044</v>
      </c>
      <c r="C190" s="132" t="s">
        <v>7</v>
      </c>
      <c r="D190" s="37"/>
      <c r="E190" s="37"/>
      <c r="F190" s="37"/>
      <c r="G190" s="37"/>
      <c r="H190" s="37"/>
      <c r="I190" s="42"/>
    </row>
    <row r="191" spans="1:9">
      <c r="I191" s="3"/>
    </row>
    <row r="192" spans="1:9">
      <c r="A192" s="119" t="s">
        <v>733</v>
      </c>
    </row>
    <row r="193" spans="1:9" ht="32">
      <c r="A193" s="60" t="s">
        <v>0</v>
      </c>
      <c r="B193" s="23" t="s">
        <v>1</v>
      </c>
      <c r="C193" s="23" t="s">
        <v>558</v>
      </c>
      <c r="D193" s="23" t="s">
        <v>3</v>
      </c>
      <c r="E193" s="23"/>
      <c r="F193" s="114" t="s">
        <v>737</v>
      </c>
      <c r="G193" s="61" t="s">
        <v>1119</v>
      </c>
      <c r="H193" s="114" t="s">
        <v>429</v>
      </c>
      <c r="I193" s="115" t="s">
        <v>527</v>
      </c>
    </row>
    <row r="194" spans="1:9" ht="48">
      <c r="A194" s="67" t="s">
        <v>734</v>
      </c>
      <c r="B194" s="82">
        <f>'[1]Weight%'!$B$160</f>
        <v>0.16</v>
      </c>
      <c r="C194" s="28" t="s">
        <v>33</v>
      </c>
      <c r="D194" s="32" t="s">
        <v>208</v>
      </c>
      <c r="E194" s="28"/>
      <c r="F194" s="130">
        <v>40</v>
      </c>
      <c r="G194" s="108">
        <v>16500000</v>
      </c>
      <c r="H194" s="35">
        <f t="shared" ref="H194:H209" si="15">G194/$G$210</f>
        <v>1.7216337365086518E-2</v>
      </c>
      <c r="I194" s="66">
        <f>H194*$B$195</f>
        <v>3775963.8306185501</v>
      </c>
    </row>
    <row r="195" spans="1:9" ht="32">
      <c r="A195" s="67" t="s">
        <v>735</v>
      </c>
      <c r="B195" s="65">
        <f>B194*data_3tier!B7</f>
        <v>219324456.21540448</v>
      </c>
      <c r="C195" s="43" t="s">
        <v>7</v>
      </c>
      <c r="D195" s="28"/>
      <c r="E195" s="28"/>
      <c r="F195" s="130">
        <v>76</v>
      </c>
      <c r="G195" s="108">
        <v>95000000</v>
      </c>
      <c r="H195" s="35">
        <f t="shared" si="15"/>
        <v>9.9124366647467849E-2</v>
      </c>
      <c r="I195" s="66">
        <f t="shared" ref="I195:I209" si="16">H195*$B$195</f>
        <v>21740397.812652264</v>
      </c>
    </row>
    <row r="196" spans="1:9" ht="32">
      <c r="A196" s="67" t="s">
        <v>736</v>
      </c>
      <c r="B196" s="65">
        <f>B194*data_3tier!B8</f>
        <v>798868339.40759456</v>
      </c>
      <c r="C196" s="43" t="s">
        <v>7</v>
      </c>
      <c r="D196" s="28"/>
      <c r="E196" s="28"/>
      <c r="F196" s="130">
        <v>124</v>
      </c>
      <c r="G196" s="108">
        <v>8841000</v>
      </c>
      <c r="H196" s="35">
        <f t="shared" si="15"/>
        <v>9.2248265845290868E-3</v>
      </c>
      <c r="I196" s="66">
        <f t="shared" si="16"/>
        <v>2023230.0743332489</v>
      </c>
    </row>
    <row r="197" spans="1:9">
      <c r="A197" s="30"/>
      <c r="B197" s="28"/>
      <c r="C197" s="28"/>
      <c r="D197" s="28"/>
      <c r="E197" s="28"/>
      <c r="F197" s="130">
        <v>144</v>
      </c>
      <c r="G197" s="108">
        <v>3700000</v>
      </c>
      <c r="H197" s="35">
        <f t="shared" si="15"/>
        <v>3.8606332273224317E-3</v>
      </c>
      <c r="I197" s="66">
        <f t="shared" si="16"/>
        <v>846731.28322961438</v>
      </c>
    </row>
    <row r="198" spans="1:9">
      <c r="A198" s="30"/>
      <c r="B198" s="28"/>
      <c r="C198" s="28"/>
      <c r="D198" s="28"/>
      <c r="E198" s="28"/>
      <c r="F198" s="130">
        <v>156</v>
      </c>
      <c r="G198" s="108">
        <v>650000000</v>
      </c>
      <c r="H198" s="35">
        <f t="shared" si="15"/>
        <v>0.67821935074583262</v>
      </c>
      <c r="I198" s="66">
        <f t="shared" si="16"/>
        <v>148750090.29709443</v>
      </c>
    </row>
    <row r="199" spans="1:9">
      <c r="A199" s="30"/>
      <c r="B199" s="28"/>
      <c r="C199" s="28"/>
      <c r="D199" s="28"/>
      <c r="E199" s="28"/>
      <c r="F199" s="130">
        <v>276</v>
      </c>
      <c r="G199" s="108">
        <v>108000</v>
      </c>
      <c r="H199" s="35">
        <f t="shared" si="15"/>
        <v>1.126887536623845E-4</v>
      </c>
      <c r="I199" s="66">
        <f t="shared" si="16"/>
        <v>24715.399618594151</v>
      </c>
    </row>
    <row r="200" spans="1:9">
      <c r="A200" s="30"/>
      <c r="B200" s="28"/>
      <c r="C200" s="28"/>
      <c r="D200" s="28"/>
      <c r="E200" s="28"/>
      <c r="F200" s="130">
        <v>408</v>
      </c>
      <c r="G200" s="108">
        <v>30000000</v>
      </c>
      <c r="H200" s="35">
        <f t="shared" si="15"/>
        <v>3.1302431572884579E-2</v>
      </c>
      <c r="I200" s="66">
        <f t="shared" si="16"/>
        <v>6865388.7829428185</v>
      </c>
    </row>
    <row r="201" spans="1:9">
      <c r="A201" s="30"/>
      <c r="B201" s="28"/>
      <c r="C201" s="28"/>
      <c r="D201" s="28"/>
      <c r="E201" s="28"/>
      <c r="F201" s="130">
        <v>450</v>
      </c>
      <c r="G201" s="108">
        <v>48500000</v>
      </c>
      <c r="H201" s="35">
        <f t="shared" si="15"/>
        <v>5.0605597709496741E-2</v>
      </c>
      <c r="I201" s="66">
        <f t="shared" si="16"/>
        <v>11099045.199090891</v>
      </c>
    </row>
    <row r="202" spans="1:9">
      <c r="A202" s="30"/>
      <c r="B202" s="28"/>
      <c r="C202" s="28"/>
      <c r="D202" s="28"/>
      <c r="E202" s="28"/>
      <c r="F202" s="130">
        <v>484</v>
      </c>
      <c r="G202" s="108">
        <v>1461000</v>
      </c>
      <c r="H202" s="35">
        <f t="shared" si="15"/>
        <v>1.5244284175994791E-3</v>
      </c>
      <c r="I202" s="66">
        <f t="shared" si="16"/>
        <v>334344.43372931529</v>
      </c>
    </row>
    <row r="203" spans="1:9">
      <c r="A203" s="30"/>
      <c r="B203" s="28"/>
      <c r="C203" s="28"/>
      <c r="D203" s="28"/>
      <c r="E203" s="28"/>
      <c r="F203" s="130">
        <v>508</v>
      </c>
      <c r="G203" s="108">
        <v>18159000</v>
      </c>
      <c r="H203" s="35">
        <f t="shared" si="15"/>
        <v>1.8947361831067037E-2</v>
      </c>
      <c r="I203" s="66">
        <f t="shared" si="16"/>
        <v>4155619.8303152886</v>
      </c>
    </row>
    <row r="204" spans="1:9">
      <c r="A204" s="30"/>
      <c r="B204" s="28"/>
      <c r="C204" s="28"/>
      <c r="D204" s="28"/>
      <c r="E204" s="28"/>
      <c r="F204" s="130">
        <v>579</v>
      </c>
      <c r="G204" s="108">
        <v>9000000</v>
      </c>
      <c r="H204" s="35">
        <f t="shared" si="15"/>
        <v>9.3907294718653753E-3</v>
      </c>
      <c r="I204" s="66">
        <f t="shared" si="16"/>
        <v>2059616.6348828459</v>
      </c>
    </row>
    <row r="205" spans="1:9">
      <c r="A205" s="30"/>
      <c r="B205" s="28"/>
      <c r="C205" s="28"/>
      <c r="D205" s="28"/>
      <c r="E205" s="28"/>
      <c r="F205" s="130">
        <v>643</v>
      </c>
      <c r="G205" s="108">
        <v>16600000</v>
      </c>
      <c r="H205" s="35">
        <f t="shared" si="15"/>
        <v>1.7320678803662802E-2</v>
      </c>
      <c r="I205" s="66">
        <f t="shared" si="16"/>
        <v>3798848.4598950269</v>
      </c>
    </row>
    <row r="206" spans="1:9">
      <c r="A206" s="30"/>
      <c r="B206" s="28"/>
      <c r="C206" s="28"/>
      <c r="D206" s="28"/>
      <c r="E206" s="28"/>
      <c r="F206" s="130">
        <v>699</v>
      </c>
      <c r="G206" s="108">
        <v>30168000</v>
      </c>
      <c r="H206" s="35">
        <f t="shared" si="15"/>
        <v>3.1477725189692739E-2</v>
      </c>
      <c r="I206" s="66">
        <f t="shared" si="16"/>
        <v>6903834.9601272997</v>
      </c>
    </row>
    <row r="207" spans="1:9">
      <c r="A207" s="30"/>
      <c r="B207" s="28"/>
      <c r="C207" s="28"/>
      <c r="D207" s="28"/>
      <c r="E207" s="28"/>
      <c r="F207" s="130">
        <v>716</v>
      </c>
      <c r="G207" s="108">
        <v>150000</v>
      </c>
      <c r="H207" s="35">
        <f t="shared" si="15"/>
        <v>1.565121578644229E-4</v>
      </c>
      <c r="I207" s="66">
        <f t="shared" si="16"/>
        <v>34326.943914714095</v>
      </c>
    </row>
    <row r="208" spans="1:9">
      <c r="A208" s="30"/>
      <c r="B208" s="28"/>
      <c r="C208" s="28"/>
      <c r="D208" s="28"/>
      <c r="E208" s="28"/>
      <c r="F208" s="130">
        <v>792</v>
      </c>
      <c r="G208" s="108">
        <v>15205000</v>
      </c>
      <c r="H208" s="35">
        <f t="shared" si="15"/>
        <v>1.5865115735523669E-2</v>
      </c>
      <c r="I208" s="66">
        <f t="shared" si="16"/>
        <v>3479607.8814881854</v>
      </c>
    </row>
    <row r="209" spans="1:9">
      <c r="A209" s="30"/>
      <c r="B209" s="28"/>
      <c r="C209" s="28"/>
      <c r="D209" s="28"/>
      <c r="E209" s="28"/>
      <c r="F209" s="130">
        <v>804</v>
      </c>
      <c r="G209" s="108">
        <v>15000000</v>
      </c>
      <c r="H209" s="35">
        <f t="shared" si="15"/>
        <v>1.5651215786442289E-2</v>
      </c>
      <c r="I209" s="66">
        <f t="shared" si="16"/>
        <v>3432694.3914714092</v>
      </c>
    </row>
    <row r="210" spans="1:9">
      <c r="A210" s="39"/>
      <c r="B210" s="37"/>
      <c r="C210" s="37"/>
      <c r="D210" s="37"/>
      <c r="E210" s="37"/>
      <c r="F210" s="37" t="s">
        <v>27</v>
      </c>
      <c r="G210" s="143">
        <f>SUM(G194:G209)</f>
        <v>958392000</v>
      </c>
      <c r="H210" s="37"/>
      <c r="I210" s="42"/>
    </row>
    <row r="212" spans="1:9">
      <c r="A212" s="119" t="s">
        <v>738</v>
      </c>
    </row>
    <row r="213" spans="1:9" ht="32">
      <c r="A213" s="60" t="s">
        <v>0</v>
      </c>
      <c r="B213" s="23" t="s">
        <v>1</v>
      </c>
      <c r="C213" s="23" t="s">
        <v>558</v>
      </c>
      <c r="D213" s="23" t="s">
        <v>3</v>
      </c>
      <c r="E213" s="23"/>
      <c r="F213" s="114" t="s">
        <v>737</v>
      </c>
      <c r="G213" s="61" t="s">
        <v>1079</v>
      </c>
      <c r="H213" s="114" t="s">
        <v>429</v>
      </c>
      <c r="I213" s="115" t="s">
        <v>527</v>
      </c>
    </row>
    <row r="214" spans="1:9" ht="32">
      <c r="A214" s="67" t="s">
        <v>739</v>
      </c>
      <c r="B214" s="48">
        <f>('[1]Weight%'!$B$69/('[1]Weight%'!$B$36+'[1]Weight%'!$B$68+'[1]Weight%'!$B$69))*'[1]Weight%'!$B$161</f>
        <v>2.4854651162790699E-2</v>
      </c>
      <c r="C214" s="28" t="s">
        <v>33</v>
      </c>
      <c r="D214" s="171" t="s">
        <v>208</v>
      </c>
      <c r="E214" s="28"/>
      <c r="F214" s="130">
        <v>50</v>
      </c>
      <c r="G214" s="28">
        <v>21900000</v>
      </c>
      <c r="H214" s="35">
        <f t="shared" ref="H214:H244" si="17">G214/$G$245</f>
        <v>1.4752522395036309E-3</v>
      </c>
      <c r="I214" s="66">
        <f>H214*$B$226</f>
        <v>3401537.8667804203</v>
      </c>
    </row>
    <row r="215" spans="1:9" ht="32">
      <c r="A215" s="67" t="s">
        <v>1070</v>
      </c>
      <c r="B215" s="48">
        <f>('[1]Weight%'!$B$78/('[1]Weight%'!$B$43+'[1]Weight%'!$B$78+'[1]Weight%'!$B$78))*'[1]Weight%'!$B$161</f>
        <v>2.1931851535608511E-2</v>
      </c>
      <c r="C215" s="28" t="s">
        <v>33</v>
      </c>
      <c r="D215" s="171"/>
      <c r="E215" s="28"/>
      <c r="F215" s="130">
        <v>68</v>
      </c>
      <c r="G215" s="28">
        <v>3700000</v>
      </c>
      <c r="H215" s="35">
        <f t="shared" si="17"/>
        <v>2.4924352904855861E-4</v>
      </c>
      <c r="I215" s="66">
        <f t="shared" ref="I215" si="18">H215*$B$226</f>
        <v>574689.04598573293</v>
      </c>
    </row>
    <row r="216" spans="1:9" ht="32">
      <c r="A216" s="67" t="s">
        <v>1071</v>
      </c>
      <c r="B216" s="48">
        <f>('[1]Weight%'!$B$79/('[1]Weight%'!$B$42+'[1]Weight%'!$B$79+'[1]Weight%'!$B$79))*'[1]Weight%'!$B$161</f>
        <v>3.1504814651645792E-2</v>
      </c>
      <c r="C216" s="28" t="s">
        <v>33</v>
      </c>
      <c r="D216" s="171"/>
      <c r="E216" s="28"/>
      <c r="F216" s="130">
        <v>76</v>
      </c>
      <c r="G216" s="28">
        <v>225622000</v>
      </c>
      <c r="H216" s="35">
        <f t="shared" si="17"/>
        <v>1.5198600948917269E-2</v>
      </c>
      <c r="I216" s="66">
        <f t="shared" ref="I216:I244" si="19">H216*$B$226</f>
        <v>35043916.738754883</v>
      </c>
    </row>
    <row r="217" spans="1:9" ht="32">
      <c r="A217" s="67" t="s">
        <v>1072</v>
      </c>
      <c r="B217" s="48">
        <f>('[1]Weight%'!$B$77/('[1]Weight%'!$B$40+'[1]Weight%'!$B$77+'[1]Weight%'!$B$77))*'[1]Weight%'!$B$161</f>
        <v>2.6453227865528547E-2</v>
      </c>
      <c r="C217" s="28" t="s">
        <v>33</v>
      </c>
      <c r="D217" s="171"/>
      <c r="E217" s="28"/>
      <c r="F217" s="130">
        <v>96</v>
      </c>
      <c r="G217" s="28">
        <v>263000</v>
      </c>
      <c r="H217" s="35">
        <f t="shared" si="17"/>
        <v>1.7716499497235384E-5</v>
      </c>
      <c r="I217" s="66">
        <f t="shared" si="19"/>
        <v>40849.51867412102</v>
      </c>
    </row>
    <row r="218" spans="1:9" ht="32">
      <c r="A218" s="67" t="s">
        <v>740</v>
      </c>
      <c r="B218" s="48">
        <f>('[1]Weight%'!$B$76/('[1]Weight%'!$B$41+'[1]Weight%'!$B$76+'[1]Weight%'!$B$76))*'[1]Weight%'!$B$161</f>
        <v>4.3181818181818189E-2</v>
      </c>
      <c r="C218" s="28" t="s">
        <v>33</v>
      </c>
      <c r="D218" s="171"/>
      <c r="E218" s="28"/>
      <c r="F218" s="130">
        <v>104</v>
      </c>
      <c r="G218" s="28">
        <v>259500000</v>
      </c>
      <c r="H218" s="35">
        <f t="shared" si="17"/>
        <v>1.7480728591378638E-2</v>
      </c>
      <c r="I218" s="66">
        <f t="shared" si="19"/>
        <v>40305893.900891274</v>
      </c>
    </row>
    <row r="219" spans="1:9" ht="32">
      <c r="A219" s="67" t="s">
        <v>741</v>
      </c>
      <c r="B219" s="48">
        <f>'[1]Weight%'!$B$162</f>
        <v>1.4999999999999999E-2</v>
      </c>
      <c r="C219" s="28" t="s">
        <v>33</v>
      </c>
      <c r="D219" s="171"/>
      <c r="E219" s="28"/>
      <c r="F219" s="130">
        <v>116</v>
      </c>
      <c r="G219" s="28">
        <v>349300000</v>
      </c>
      <c r="H219" s="35">
        <f t="shared" si="17"/>
        <v>2.3529936404503116E-2</v>
      </c>
      <c r="I219" s="66">
        <f t="shared" si="19"/>
        <v>54253752.368328795</v>
      </c>
    </row>
    <row r="220" spans="1:9" ht="32">
      <c r="A220" s="67" t="s">
        <v>742</v>
      </c>
      <c r="B220" s="65">
        <f>B214*(data_2tier!B86+data_2tier!B87+data_2tier!B88+data_2tier!B89)</f>
        <v>579888041.72107625</v>
      </c>
      <c r="C220" s="43" t="s">
        <v>7</v>
      </c>
      <c r="D220" s="28"/>
      <c r="E220" s="28"/>
      <c r="F220" s="130">
        <v>120</v>
      </c>
      <c r="G220" s="28">
        <v>47100000</v>
      </c>
      <c r="H220" s="35">
        <f t="shared" si="17"/>
        <v>3.1728027616721925E-3</v>
      </c>
      <c r="I220" s="66">
        <f t="shared" si="19"/>
        <v>7315636.2340346016</v>
      </c>
    </row>
    <row r="221" spans="1:9" ht="32">
      <c r="A221" s="67" t="s">
        <v>1073</v>
      </c>
      <c r="B221" s="65">
        <f>B215*(data_2tier!B90)</f>
        <v>9306175.6623653397</v>
      </c>
      <c r="C221" s="43" t="s">
        <v>7</v>
      </c>
      <c r="D221" s="28"/>
      <c r="E221" s="28"/>
      <c r="F221" s="130">
        <v>140</v>
      </c>
      <c r="G221" s="28">
        <v>1207000</v>
      </c>
      <c r="H221" s="35">
        <f t="shared" si="17"/>
        <v>8.1307280962597371E-5</v>
      </c>
      <c r="I221" s="66">
        <f t="shared" si="19"/>
        <v>187472.88608237292</v>
      </c>
    </row>
    <row r="222" spans="1:9" ht="32">
      <c r="A222" s="67" t="s">
        <v>1074</v>
      </c>
      <c r="B222" s="65">
        <f>B216*(data_2tier!B91)</f>
        <v>3820899.2657898464</v>
      </c>
      <c r="C222" s="43" t="s">
        <v>7</v>
      </c>
      <c r="D222" s="28"/>
      <c r="E222" s="28"/>
      <c r="F222" s="130">
        <v>144</v>
      </c>
      <c r="G222" s="28">
        <v>78204000</v>
      </c>
      <c r="H222" s="35">
        <f t="shared" si="17"/>
        <v>5.2680651204631028E-3</v>
      </c>
      <c r="I222" s="66">
        <f t="shared" si="19"/>
        <v>12146751.933045479</v>
      </c>
    </row>
    <row r="223" spans="1:9" ht="32">
      <c r="A223" s="67" t="s">
        <v>1075</v>
      </c>
      <c r="B223" s="65">
        <f>B217*(data_2tier!B92)</f>
        <v>34967789.250879787</v>
      </c>
      <c r="C223" s="43" t="s">
        <v>7</v>
      </c>
      <c r="D223" s="28"/>
      <c r="E223" s="28"/>
      <c r="F223" s="130">
        <v>156</v>
      </c>
      <c r="G223" s="28">
        <v>687600000</v>
      </c>
      <c r="H223" s="35">
        <f t="shared" si="17"/>
        <v>4.6318878533456467E-2</v>
      </c>
      <c r="I223" s="66">
        <f t="shared" si="19"/>
        <v>106798969.73507839</v>
      </c>
    </row>
    <row r="224" spans="1:9" ht="32">
      <c r="A224" s="67" t="s">
        <v>743</v>
      </c>
      <c r="B224" s="65">
        <f>B218*(data_2tier!B93)</f>
        <v>1610721377.4319067</v>
      </c>
      <c r="C224" s="43" t="s">
        <v>7</v>
      </c>
      <c r="D224" s="28"/>
      <c r="E224" s="28"/>
      <c r="F224" s="130">
        <v>170</v>
      </c>
      <c r="G224" s="28">
        <v>13400000</v>
      </c>
      <c r="H224" s="35">
        <f t="shared" si="17"/>
        <v>9.0266575385153673E-4</v>
      </c>
      <c r="I224" s="66">
        <f t="shared" si="19"/>
        <v>2081306.2746510333</v>
      </c>
    </row>
    <row r="225" spans="1:9" ht="32">
      <c r="A225" s="67" t="s">
        <v>744</v>
      </c>
      <c r="B225" s="65">
        <f>B219*data_2tier!B201</f>
        <v>67028780.950544916</v>
      </c>
      <c r="C225" s="43" t="s">
        <v>7</v>
      </c>
      <c r="D225" s="28"/>
      <c r="E225" s="28"/>
      <c r="F225" s="130">
        <v>178</v>
      </c>
      <c r="G225" s="28">
        <v>2348000</v>
      </c>
      <c r="H225" s="35">
        <f t="shared" si="17"/>
        <v>1.5816859627189612E-4</v>
      </c>
      <c r="I225" s="66">
        <f t="shared" si="19"/>
        <v>364694.5621552706</v>
      </c>
    </row>
    <row r="226" spans="1:9" ht="32">
      <c r="A226" s="67" t="s">
        <v>748</v>
      </c>
      <c r="B226" s="65">
        <f>SUM(B220:B225)</f>
        <v>2305733064.2825627</v>
      </c>
      <c r="C226" s="43" t="s">
        <v>7</v>
      </c>
      <c r="D226" s="28"/>
      <c r="E226" s="28"/>
      <c r="F226" s="130">
        <v>180</v>
      </c>
      <c r="G226" s="28">
        <v>12500000</v>
      </c>
      <c r="H226" s="35">
        <f t="shared" si="17"/>
        <v>8.4203894948837381E-4</v>
      </c>
      <c r="I226" s="66">
        <f t="shared" si="19"/>
        <v>1941517.0472490983</v>
      </c>
    </row>
    <row r="227" spans="1:9" ht="32">
      <c r="A227" s="67" t="s">
        <v>745</v>
      </c>
      <c r="B227" s="65">
        <f>B214*(data_2tier!B95+data_2tier!B96+data_2tier!B97+data_2tier!B98)</f>
        <v>7609604790.4804249</v>
      </c>
      <c r="C227" s="43" t="s">
        <v>7</v>
      </c>
      <c r="D227" s="28"/>
      <c r="E227" s="28"/>
      <c r="F227" s="130">
        <v>214</v>
      </c>
      <c r="G227" s="28">
        <v>63000</v>
      </c>
      <c r="H227" s="35">
        <f t="shared" si="17"/>
        <v>4.243876305421404E-6</v>
      </c>
      <c r="I227" s="66">
        <f t="shared" si="19"/>
        <v>9785.2459181354552</v>
      </c>
    </row>
    <row r="228" spans="1:9" ht="32">
      <c r="A228" s="67" t="s">
        <v>1076</v>
      </c>
      <c r="B228" s="65">
        <f>B215*(data_2tier!B99)</f>
        <v>37642287.454823911</v>
      </c>
      <c r="C228" s="43" t="s">
        <v>7</v>
      </c>
      <c r="D228" s="28"/>
      <c r="E228" s="28"/>
      <c r="F228" s="130">
        <v>218</v>
      </c>
      <c r="G228" s="28">
        <v>19129000</v>
      </c>
      <c r="H228" s="35">
        <f t="shared" si="17"/>
        <v>1.2885890451810481E-3</v>
      </c>
      <c r="I228" s="66">
        <f t="shared" si="19"/>
        <v>2971142.3677462395</v>
      </c>
    </row>
    <row r="229" spans="1:9" ht="32">
      <c r="A229" s="67" t="s">
        <v>1077</v>
      </c>
      <c r="B229" s="65">
        <f>B216*(data_2tier!B100)</f>
        <v>20452171.587292537</v>
      </c>
      <c r="C229" s="43" t="s">
        <v>7</v>
      </c>
      <c r="D229" s="28"/>
      <c r="E229" s="28"/>
      <c r="F229" s="130">
        <v>266</v>
      </c>
      <c r="G229" s="28">
        <v>23941000</v>
      </c>
      <c r="H229" s="35">
        <f t="shared" si="17"/>
        <v>1.6127403591760926E-3</v>
      </c>
      <c r="I229" s="66">
        <f t="shared" si="19"/>
        <v>3718548.7702552527</v>
      </c>
    </row>
    <row r="230" spans="1:9" ht="32">
      <c r="A230" s="67" t="s">
        <v>1078</v>
      </c>
      <c r="B230" s="65">
        <f>B217*(data_2tier!B101)</f>
        <v>415427640.43157619</v>
      </c>
      <c r="C230" s="43" t="s">
        <v>7</v>
      </c>
      <c r="D230" s="28"/>
      <c r="E230" s="28"/>
      <c r="F230" s="130">
        <v>288</v>
      </c>
      <c r="G230" s="28">
        <v>50400000</v>
      </c>
      <c r="H230" s="35">
        <f t="shared" si="17"/>
        <v>3.3951010443371231E-3</v>
      </c>
      <c r="I230" s="66">
        <f t="shared" si="19"/>
        <v>7828196.7345083635</v>
      </c>
    </row>
    <row r="231" spans="1:9" ht="32">
      <c r="A231" s="67" t="s">
        <v>746</v>
      </c>
      <c r="B231" s="65">
        <f>B218*data_2tier!B102</f>
        <v>19135844603.112843</v>
      </c>
      <c r="C231" s="43" t="s">
        <v>7</v>
      </c>
      <c r="D231" s="28"/>
      <c r="E231" s="28"/>
      <c r="F231" s="130">
        <v>320</v>
      </c>
      <c r="G231" s="28">
        <v>436409000</v>
      </c>
      <c r="H231" s="35">
        <f t="shared" si="17"/>
        <v>2.9397870072581735E-2</v>
      </c>
      <c r="I231" s="66">
        <f t="shared" si="19"/>
        <v>67783641.045834526</v>
      </c>
    </row>
    <row r="232" spans="1:9" ht="32">
      <c r="A232" s="67" t="s">
        <v>747</v>
      </c>
      <c r="B232" s="65">
        <f>SUM(B227:B231)</f>
        <v>27218971493.066959</v>
      </c>
      <c r="C232" s="43" t="s">
        <v>7</v>
      </c>
      <c r="D232" s="28"/>
      <c r="E232" s="28"/>
      <c r="F232" s="130">
        <v>324</v>
      </c>
      <c r="G232" s="28">
        <v>14950000</v>
      </c>
      <c r="H232" s="35">
        <f t="shared" si="17"/>
        <v>1.007078583588095E-3</v>
      </c>
      <c r="I232" s="66">
        <f t="shared" si="19"/>
        <v>2322054.3885099213</v>
      </c>
    </row>
    <row r="233" spans="1:9" ht="32">
      <c r="A233" s="67" t="s">
        <v>749</v>
      </c>
      <c r="B233" s="65">
        <f>SUM(B227:B232)</f>
        <v>54437942986.133919</v>
      </c>
      <c r="C233" s="43" t="s">
        <v>7</v>
      </c>
      <c r="D233" s="28"/>
      <c r="E233" s="28"/>
      <c r="F233" s="130">
        <v>360</v>
      </c>
      <c r="G233" s="28">
        <v>3366415000</v>
      </c>
      <c r="H233" s="35">
        <f t="shared" si="17"/>
        <v>0.22677220401135231</v>
      </c>
      <c r="I233" s="66">
        <f t="shared" si="19"/>
        <v>522876168.84920585</v>
      </c>
    </row>
    <row r="234" spans="1:9">
      <c r="A234" s="30"/>
      <c r="B234" s="28"/>
      <c r="C234" s="28"/>
      <c r="D234" s="28"/>
      <c r="E234" s="28"/>
      <c r="F234" s="130">
        <v>384</v>
      </c>
      <c r="G234" s="28">
        <v>936061000</v>
      </c>
      <c r="H234" s="35">
        <f t="shared" si="17"/>
        <v>6.3055985687762925E-2</v>
      </c>
      <c r="I234" s="66">
        <f t="shared" si="19"/>
        <v>145390271.10120302</v>
      </c>
    </row>
    <row r="235" spans="1:9">
      <c r="A235" s="30"/>
      <c r="B235" s="28"/>
      <c r="C235" s="28"/>
      <c r="D235" s="28"/>
      <c r="E235" s="28"/>
      <c r="F235" s="130">
        <v>418</v>
      </c>
      <c r="G235" s="28">
        <v>154200000</v>
      </c>
      <c r="H235" s="35">
        <f t="shared" si="17"/>
        <v>1.0387392480888579E-2</v>
      </c>
      <c r="I235" s="66">
        <f t="shared" si="19"/>
        <v>23950554.294864874</v>
      </c>
    </row>
    <row r="236" spans="1:9">
      <c r="A236" s="30"/>
      <c r="B236" s="28"/>
      <c r="C236" s="28"/>
      <c r="D236" s="28"/>
      <c r="E236" s="28"/>
      <c r="F236" s="130">
        <v>430</v>
      </c>
      <c r="G236" s="28">
        <v>64878000</v>
      </c>
      <c r="H236" s="35">
        <f t="shared" si="17"/>
        <v>4.370384237192537E-3</v>
      </c>
      <c r="I236" s="66">
        <f t="shared" si="19"/>
        <v>10076939.439314159</v>
      </c>
    </row>
    <row r="237" spans="1:9">
      <c r="A237" s="30"/>
      <c r="B237" s="28"/>
      <c r="C237" s="28"/>
      <c r="D237" s="28"/>
      <c r="E237" s="28"/>
      <c r="F237" s="130">
        <v>458</v>
      </c>
      <c r="G237" s="28">
        <v>514702000</v>
      </c>
      <c r="H237" s="35">
        <f t="shared" si="17"/>
        <v>3.4671930510365198E-2</v>
      </c>
      <c r="I237" s="66">
        <f t="shared" si="19"/>
        <v>79944216.580256432</v>
      </c>
    </row>
    <row r="238" spans="1:9">
      <c r="A238" s="30"/>
      <c r="B238" s="28"/>
      <c r="C238" s="28"/>
      <c r="D238" s="28"/>
      <c r="E238" s="28"/>
      <c r="F238" s="130">
        <v>484</v>
      </c>
      <c r="G238" s="28">
        <v>92711000</v>
      </c>
      <c r="H238" s="35">
        <f t="shared" si="17"/>
        <v>6.2453018436813296E-3</v>
      </c>
      <c r="I238" s="66">
        <f t="shared" si="19"/>
        <v>14399998.95740089</v>
      </c>
    </row>
    <row r="239" spans="1:9">
      <c r="A239" s="30"/>
      <c r="B239" s="28"/>
      <c r="C239" s="28"/>
      <c r="D239" s="28"/>
      <c r="E239" s="28"/>
      <c r="F239" s="130">
        <v>566</v>
      </c>
      <c r="G239" s="28">
        <v>148435000</v>
      </c>
      <c r="H239" s="35">
        <f t="shared" si="17"/>
        <v>9.9990441173845417E-3</v>
      </c>
      <c r="I239" s="66">
        <f t="shared" si="19"/>
        <v>23055126.632673591</v>
      </c>
    </row>
    <row r="240" spans="1:9">
      <c r="A240" s="30"/>
      <c r="B240" s="28"/>
      <c r="C240" s="28"/>
      <c r="D240" s="28"/>
      <c r="E240" s="28"/>
      <c r="F240" s="130">
        <v>598</v>
      </c>
      <c r="G240" s="28">
        <v>5500000</v>
      </c>
      <c r="H240" s="35">
        <f t="shared" si="17"/>
        <v>3.7049713777488445E-4</v>
      </c>
      <c r="I240" s="66">
        <f t="shared" si="19"/>
        <v>854267.5007896031</v>
      </c>
    </row>
    <row r="241" spans="1:9">
      <c r="A241" s="30"/>
      <c r="B241" s="28"/>
      <c r="C241" s="28"/>
      <c r="D241" s="28"/>
      <c r="E241" s="28"/>
      <c r="F241" s="130">
        <v>608</v>
      </c>
      <c r="G241" s="28">
        <v>422407000</v>
      </c>
      <c r="H241" s="35">
        <f t="shared" si="17"/>
        <v>2.8454651722922841E-2</v>
      </c>
      <c r="I241" s="66">
        <f t="shared" si="19"/>
        <v>65608831.310187988</v>
      </c>
    </row>
    <row r="242" spans="1:9">
      <c r="A242" s="30"/>
      <c r="B242" s="28"/>
      <c r="C242" s="28"/>
      <c r="D242" s="28"/>
      <c r="E242" s="28"/>
      <c r="F242" s="130">
        <v>699</v>
      </c>
      <c r="G242" s="28">
        <v>962807000</v>
      </c>
      <c r="H242" s="35">
        <f t="shared" si="17"/>
        <v>6.4857679587204217E-2</v>
      </c>
      <c r="I242" s="66">
        <f t="shared" si="19"/>
        <v>149544496.29686099</v>
      </c>
    </row>
    <row r="243" spans="1:9">
      <c r="A243" s="30"/>
      <c r="B243" s="28"/>
      <c r="C243" s="28"/>
      <c r="D243" s="28"/>
      <c r="E243" s="28"/>
      <c r="F243" s="130">
        <v>704</v>
      </c>
      <c r="G243" s="28">
        <v>1226096000</v>
      </c>
      <c r="H243" s="35">
        <f t="shared" si="17"/>
        <v>8.2593647024951769E-2</v>
      </c>
      <c r="I243" s="66">
        <f t="shared" si="19"/>
        <v>190438902.84511441</v>
      </c>
    </row>
    <row r="244" spans="1:9">
      <c r="A244" s="30"/>
      <c r="B244" s="28"/>
      <c r="C244" s="28"/>
      <c r="D244" s="28"/>
      <c r="E244" s="28"/>
      <c r="F244" s="130">
        <v>764</v>
      </c>
      <c r="G244" s="28">
        <v>4703171000</v>
      </c>
      <c r="H244" s="35">
        <f t="shared" si="17"/>
        <v>0.31682025344833475</v>
      </c>
      <c r="I244" s="66">
        <f t="shared" si="19"/>
        <v>730502933.81020701</v>
      </c>
    </row>
    <row r="245" spans="1:9">
      <c r="A245" s="39"/>
      <c r="B245" s="37"/>
      <c r="C245" s="37"/>
      <c r="D245" s="37"/>
      <c r="E245" s="37"/>
      <c r="F245" s="37" t="s">
        <v>27</v>
      </c>
      <c r="G245" s="37">
        <f>SUM(G214:G244)</f>
        <v>14844919000</v>
      </c>
      <c r="H245" s="37"/>
      <c r="I245" s="42"/>
    </row>
    <row r="247" spans="1:9">
      <c r="A247" s="119" t="s">
        <v>750</v>
      </c>
    </row>
    <row r="248" spans="1:9" ht="32">
      <c r="A248" s="60" t="s">
        <v>0</v>
      </c>
      <c r="B248" s="23" t="s">
        <v>1</v>
      </c>
      <c r="C248" s="23" t="s">
        <v>558</v>
      </c>
      <c r="D248" s="23" t="s">
        <v>3</v>
      </c>
      <c r="E248" s="23"/>
      <c r="F248" s="114" t="s">
        <v>631</v>
      </c>
      <c r="G248" s="114" t="s">
        <v>424</v>
      </c>
      <c r="H248" s="114" t="s">
        <v>429</v>
      </c>
      <c r="I248" s="115" t="s">
        <v>527</v>
      </c>
    </row>
    <row r="249" spans="1:9" ht="48">
      <c r="A249" s="67" t="s">
        <v>751</v>
      </c>
      <c r="B249" s="34">
        <f>'[1]Weight%'!$B$163</f>
        <v>1</v>
      </c>
      <c r="C249" s="28" t="s">
        <v>33</v>
      </c>
      <c r="D249" s="32" t="s">
        <v>208</v>
      </c>
      <c r="E249" s="28"/>
      <c r="F249" s="130">
        <v>76</v>
      </c>
      <c r="G249" s="34">
        <f>[27]Production!$Z$3</f>
        <v>7.6465489718119631E-2</v>
      </c>
      <c r="H249" s="48">
        <f>G249/$G$258</f>
        <v>8.0465147610475032E-2</v>
      </c>
      <c r="I249" s="66">
        <f>H249*$B$250</f>
        <v>80993462.189098969</v>
      </c>
    </row>
    <row r="250" spans="1:9" ht="32">
      <c r="A250" s="67" t="s">
        <v>752</v>
      </c>
      <c r="B250" s="28">
        <f>B249*data_4tier!B64</f>
        <v>1006565756.6575465</v>
      </c>
      <c r="C250" s="28" t="s">
        <v>7</v>
      </c>
      <c r="D250" s="28"/>
      <c r="E250" s="28"/>
      <c r="F250" s="130">
        <v>156</v>
      </c>
      <c r="G250" s="34">
        <f>[27]Production!$AT$3</f>
        <v>2.4006477566767253E-2</v>
      </c>
      <c r="H250" s="48">
        <f t="shared" ref="H250:H257" si="20">G250/$G$258</f>
        <v>2.5262177331740059E-2</v>
      </c>
      <c r="I250" s="66">
        <f t="shared" ref="I250:I257" si="21">H250*$B$250</f>
        <v>25428042.640740052</v>
      </c>
    </row>
    <row r="251" spans="1:9" ht="32">
      <c r="A251" s="67" t="s">
        <v>753</v>
      </c>
      <c r="B251" s="28">
        <f>B249*data_4tier!B65</f>
        <v>12303061836.305834</v>
      </c>
      <c r="C251" s="28" t="s">
        <v>7</v>
      </c>
      <c r="D251" s="28"/>
      <c r="E251" s="28"/>
      <c r="F251" s="130">
        <v>233</v>
      </c>
      <c r="G251" s="34">
        <f>[27]Production!$BQ$3</f>
        <v>1.4556226667026476E-2</v>
      </c>
      <c r="H251" s="48">
        <f t="shared" si="20"/>
        <v>1.5317614936248409E-2</v>
      </c>
      <c r="I251" s="66">
        <f t="shared" si="21"/>
        <v>15418186.668493817</v>
      </c>
    </row>
    <row r="252" spans="1:9">
      <c r="A252" s="30"/>
      <c r="B252" s="28"/>
      <c r="C252" s="28"/>
      <c r="D252" s="28"/>
      <c r="E252" s="28"/>
      <c r="F252" s="130">
        <v>276</v>
      </c>
      <c r="G252" s="34">
        <f>[27]Production!$CE$3</f>
        <v>3.2934018106085559E-2</v>
      </c>
      <c r="H252" s="48">
        <f t="shared" si="20"/>
        <v>3.4656688109646221E-2</v>
      </c>
      <c r="I252" s="66">
        <f t="shared" si="21"/>
        <v>34884235.490330644</v>
      </c>
    </row>
    <row r="253" spans="1:9">
      <c r="A253" s="30"/>
      <c r="B253" s="28"/>
      <c r="C253" s="28"/>
      <c r="D253" s="28"/>
      <c r="E253" s="28"/>
      <c r="F253" s="130">
        <v>372</v>
      </c>
      <c r="G253" s="34">
        <f>[27]Production!$CZ$3</f>
        <v>0.70252956326329485</v>
      </c>
      <c r="H253" s="48">
        <f t="shared" si="20"/>
        <v>0.73927657060840291</v>
      </c>
      <c r="I253" s="66">
        <f t="shared" si="21"/>
        <v>744130480.67364323</v>
      </c>
    </row>
    <row r="254" spans="1:9">
      <c r="A254" s="30"/>
      <c r="B254" s="28"/>
      <c r="C254" s="28"/>
      <c r="D254" s="28"/>
      <c r="E254" s="28"/>
      <c r="F254" s="130">
        <v>410</v>
      </c>
      <c r="G254" s="34">
        <f>[27]Production!$DJ$3</f>
        <v>1.2112598859968951E-2</v>
      </c>
      <c r="H254" s="48">
        <f t="shared" si="20"/>
        <v>1.274616900783305E-2</v>
      </c>
      <c r="I254" s="66">
        <f t="shared" si="21"/>
        <v>12829857.251854444</v>
      </c>
    </row>
    <row r="255" spans="1:9">
      <c r="A255" s="30"/>
      <c r="B255" s="28"/>
      <c r="C255" s="28"/>
      <c r="D255" s="28"/>
      <c r="E255" s="28"/>
      <c r="F255" s="130">
        <v>608</v>
      </c>
      <c r="G255" s="34">
        <f>[27]Production!$FM$3</f>
        <v>3.3361847047949499E-2</v>
      </c>
      <c r="H255" s="48">
        <f t="shared" si="20"/>
        <v>3.5106895374204646E-2</v>
      </c>
      <c r="I255" s="66">
        <f t="shared" si="21"/>
        <v>35337398.706233621</v>
      </c>
    </row>
    <row r="256" spans="1:9">
      <c r="A256" s="30"/>
      <c r="B256" s="28"/>
      <c r="C256" s="28"/>
      <c r="D256" s="28"/>
      <c r="E256" s="28"/>
      <c r="F256" s="130">
        <v>643</v>
      </c>
      <c r="G256" s="34">
        <f>[27]Production!$FU$3</f>
        <v>3.9867878240770351E-2</v>
      </c>
      <c r="H256" s="48">
        <f t="shared" si="20"/>
        <v>4.1953235628069935E-2</v>
      </c>
      <c r="I256" s="66">
        <f t="shared" si="21"/>
        <v>42228690.364200555</v>
      </c>
    </row>
    <row r="257" spans="1:9">
      <c r="A257" s="30"/>
      <c r="B257" s="28"/>
      <c r="C257" s="28"/>
      <c r="D257" s="28"/>
      <c r="E257" s="28"/>
      <c r="F257" s="130">
        <v>842</v>
      </c>
      <c r="G257" s="34">
        <f>[27]Production!$HT$3</f>
        <v>1.4459188852591611E-2</v>
      </c>
      <c r="H257" s="48">
        <f t="shared" si="20"/>
        <v>1.5215501393379814E-2</v>
      </c>
      <c r="I257" s="66">
        <f t="shared" si="21"/>
        <v>15315402.672951305</v>
      </c>
    </row>
    <row r="258" spans="1:9">
      <c r="A258" s="39"/>
      <c r="B258" s="37"/>
      <c r="C258" s="37"/>
      <c r="D258" s="37"/>
      <c r="E258" s="37"/>
      <c r="F258" s="37" t="s">
        <v>27</v>
      </c>
      <c r="G258" s="40">
        <f>SUM(G249:G257)</f>
        <v>0.95029328832257409</v>
      </c>
      <c r="H258" s="37"/>
      <c r="I258" s="42"/>
    </row>
    <row r="260" spans="1:9">
      <c r="A260" s="119" t="s">
        <v>754</v>
      </c>
    </row>
    <row r="261" spans="1:9" ht="32">
      <c r="A261" s="60" t="s">
        <v>0</v>
      </c>
      <c r="B261" s="23" t="s">
        <v>1</v>
      </c>
      <c r="C261" s="23" t="s">
        <v>558</v>
      </c>
      <c r="D261" s="23" t="s">
        <v>3</v>
      </c>
      <c r="E261" s="23"/>
      <c r="F261" s="114" t="s">
        <v>631</v>
      </c>
      <c r="G261" s="114" t="s">
        <v>424</v>
      </c>
      <c r="H261" s="114" t="s">
        <v>429</v>
      </c>
      <c r="I261" s="115" t="s">
        <v>527</v>
      </c>
    </row>
    <row r="262" spans="1:9" ht="48">
      <c r="A262" s="67" t="s">
        <v>755</v>
      </c>
      <c r="B262" s="82">
        <f>'[1]Weight%'!$B$164</f>
        <v>2.3999999999999998E-3</v>
      </c>
      <c r="C262" s="28" t="s">
        <v>33</v>
      </c>
      <c r="D262" s="171" t="s">
        <v>208</v>
      </c>
      <c r="E262" s="28"/>
      <c r="F262" s="130">
        <v>56</v>
      </c>
      <c r="G262" s="82">
        <f>[28]Production!$S$5</f>
        <v>4.391489860751329E-2</v>
      </c>
      <c r="H262" s="48">
        <f>G262/$G$275</f>
        <v>4.5869278949994693E-2</v>
      </c>
      <c r="I262" s="66">
        <f>$B$266*H262</f>
        <v>6884737.2631217465</v>
      </c>
    </row>
    <row r="263" spans="1:9" ht="32">
      <c r="A263" s="67" t="s">
        <v>756</v>
      </c>
      <c r="B263" s="146">
        <f>'[1]Weight%'!$B$165</f>
        <v>5.0000000000000002E-5</v>
      </c>
      <c r="C263" s="28" t="s">
        <v>33</v>
      </c>
      <c r="D263" s="171"/>
      <c r="E263" s="28"/>
      <c r="F263" s="130">
        <v>104</v>
      </c>
      <c r="G263" s="82">
        <f>[28]Production!$AH$5</f>
        <v>4.8911225091665428E-2</v>
      </c>
      <c r="H263" s="48">
        <f t="shared" ref="H263:H274" si="22">G263/$G$275</f>
        <v>5.1087961003096628E-2</v>
      </c>
      <c r="I263" s="66">
        <f t="shared" ref="I263:I274" si="23">$B$266*H263</f>
        <v>7668033.9623034494</v>
      </c>
    </row>
    <row r="264" spans="1:9" ht="48">
      <c r="A264" s="67" t="s">
        <v>757</v>
      </c>
      <c r="B264" s="65">
        <f>B262*data_3tier!B100</f>
        <v>149613327.73470515</v>
      </c>
      <c r="C264" s="43" t="s">
        <v>7</v>
      </c>
      <c r="D264" s="28"/>
      <c r="E264" s="28"/>
      <c r="F264" s="130">
        <v>203</v>
      </c>
      <c r="G264" s="82">
        <f>[28]Production!$BG$5</f>
        <v>1.1755250713144977E-2</v>
      </c>
      <c r="H264" s="48">
        <f t="shared" si="22"/>
        <v>1.2278404167740007E-2</v>
      </c>
      <c r="I264" s="66">
        <f t="shared" si="23"/>
        <v>1842923.8183025497</v>
      </c>
    </row>
    <row r="265" spans="1:9" ht="32">
      <c r="A265" s="67" t="s">
        <v>758</v>
      </c>
      <c r="B265" s="65">
        <f>B263*data_2tier!B172</f>
        <v>481407.14497936383</v>
      </c>
      <c r="C265" s="43" t="s">
        <v>7</v>
      </c>
      <c r="D265" s="28"/>
      <c r="E265" s="28"/>
      <c r="F265" s="130">
        <v>276</v>
      </c>
      <c r="G265" s="82">
        <f>[28]Production!$CE$5</f>
        <v>0.14966214002131675</v>
      </c>
      <c r="H265" s="48">
        <f t="shared" si="22"/>
        <v>0.1563226755968519</v>
      </c>
      <c r="I265" s="66">
        <f t="shared" si="23"/>
        <v>23463210.549392413</v>
      </c>
    </row>
    <row r="266" spans="1:9" ht="32">
      <c r="A266" s="67" t="s">
        <v>761</v>
      </c>
      <c r="B266" s="65">
        <f>SUM(B264:B265)</f>
        <v>150094734.87968451</v>
      </c>
      <c r="C266" s="43" t="s">
        <v>7</v>
      </c>
      <c r="D266" s="28"/>
      <c r="E266" s="28"/>
      <c r="F266" s="130">
        <v>344</v>
      </c>
      <c r="G266" s="82">
        <f>[28]Production!$CT$5</f>
        <v>8.0869088312700704E-2</v>
      </c>
      <c r="H266" s="48">
        <f t="shared" si="22"/>
        <v>8.4468070925077604E-2</v>
      </c>
      <c r="I266" s="66">
        <f t="shared" si="23"/>
        <v>12678212.711297911</v>
      </c>
    </row>
    <row r="267" spans="1:9" ht="48">
      <c r="A267" s="67" t="s">
        <v>759</v>
      </c>
      <c r="B267" s="65">
        <f>B262*data_3tier!B101</f>
        <v>1856065387.5018637</v>
      </c>
      <c r="C267" s="43" t="s">
        <v>7</v>
      </c>
      <c r="D267" s="28"/>
      <c r="E267" s="28"/>
      <c r="F267" s="130">
        <v>381</v>
      </c>
      <c r="G267" s="82">
        <f>[28]Production!$DB$5</f>
        <v>5.320734151279867E-2</v>
      </c>
      <c r="H267" s="48">
        <f t="shared" si="22"/>
        <v>5.5575270976958184E-2</v>
      </c>
      <c r="I267" s="66">
        <f t="shared" si="23"/>
        <v>8341555.5631531635</v>
      </c>
    </row>
    <row r="268" spans="1:9" ht="32">
      <c r="A268" s="67" t="s">
        <v>760</v>
      </c>
      <c r="B268" s="65">
        <f>B263*data_2tier!B181</f>
        <v>5914600.2263584994</v>
      </c>
      <c r="C268" s="43" t="s">
        <v>7</v>
      </c>
      <c r="D268" s="28"/>
      <c r="E268" s="28"/>
      <c r="F268" s="130">
        <v>392</v>
      </c>
      <c r="G268" s="82">
        <f>[28]Production!$DE$5</f>
        <v>0.16346283195303418</v>
      </c>
      <c r="H268" s="48">
        <f t="shared" si="22"/>
        <v>0.17073755091232365</v>
      </c>
      <c r="I268" s="66">
        <f t="shared" si="23"/>
        <v>25626807.438191853</v>
      </c>
    </row>
    <row r="269" spans="1:9" ht="32">
      <c r="A269" s="67" t="s">
        <v>762</v>
      </c>
      <c r="B269" s="65">
        <f>SUM(B267:B268)</f>
        <v>1861979987.7282221</v>
      </c>
      <c r="C269" s="43" t="s">
        <v>7</v>
      </c>
      <c r="D269" s="28"/>
      <c r="E269" s="28"/>
      <c r="F269" s="130">
        <v>410</v>
      </c>
      <c r="G269" s="82">
        <f>[28]Production!$DJ$5</f>
        <v>1.2750376837189088E-2</v>
      </c>
      <c r="H269" s="48">
        <f t="shared" si="22"/>
        <v>1.3317817196611192E-2</v>
      </c>
      <c r="I269" s="66">
        <f t="shared" si="23"/>
        <v>1998934.24130146</v>
      </c>
    </row>
    <row r="270" spans="1:9">
      <c r="A270" s="30"/>
      <c r="B270" s="28"/>
      <c r="C270" s="28"/>
      <c r="D270" s="28"/>
      <c r="E270" s="28"/>
      <c r="F270" s="130">
        <v>643</v>
      </c>
      <c r="G270" s="82">
        <f>[28]Production!$FU$5</f>
        <v>3.5912497887297223E-2</v>
      </c>
      <c r="H270" s="48">
        <f t="shared" si="22"/>
        <v>3.7510740901533182E-2</v>
      </c>
      <c r="I270" s="66">
        <f t="shared" si="23"/>
        <v>5630164.7107561613</v>
      </c>
    </row>
    <row r="271" spans="1:9">
      <c r="A271" s="30"/>
      <c r="B271" s="28"/>
      <c r="C271" s="28"/>
      <c r="D271" s="28"/>
      <c r="E271" s="28"/>
      <c r="F271" s="130">
        <v>710</v>
      </c>
      <c r="G271" s="82">
        <f>[28]Production!$GQ$5</f>
        <v>0.19940292432557352</v>
      </c>
      <c r="H271" s="48">
        <f t="shared" si="22"/>
        <v>0.20827711435885152</v>
      </c>
      <c r="I271" s="66">
        <f t="shared" si="23"/>
        <v>31261298.261197548</v>
      </c>
    </row>
    <row r="272" spans="1:9">
      <c r="A272" s="30"/>
      <c r="B272" s="28"/>
      <c r="C272" s="28"/>
      <c r="D272" s="28"/>
      <c r="E272" s="28"/>
      <c r="F272" s="130">
        <v>757</v>
      </c>
      <c r="G272" s="82">
        <f>[28]Production!$GZ$5</f>
        <v>1.5540869157298914E-2</v>
      </c>
      <c r="H272" s="48">
        <f t="shared" si="22"/>
        <v>1.623249705919971E-2</v>
      </c>
      <c r="I272" s="66">
        <f t="shared" si="23"/>
        <v>2436412.342535839</v>
      </c>
    </row>
    <row r="273" spans="1:9">
      <c r="A273" s="30"/>
      <c r="B273" s="28"/>
      <c r="C273" s="28"/>
      <c r="D273" s="28"/>
      <c r="E273" s="28"/>
      <c r="F273" s="130">
        <v>826</v>
      </c>
      <c r="G273" s="82">
        <f>[28]Production!$HR$5</f>
        <v>9.0270184503626949E-2</v>
      </c>
      <c r="H273" s="48">
        <f t="shared" si="22"/>
        <v>9.4287551722957705E-2</v>
      </c>
      <c r="I273" s="66">
        <f t="shared" si="23"/>
        <v>14152065.078311877</v>
      </c>
    </row>
    <row r="274" spans="1:9">
      <c r="A274" s="30"/>
      <c r="B274" s="28"/>
      <c r="C274" s="28"/>
      <c r="D274" s="28"/>
      <c r="E274" s="28"/>
      <c r="F274" s="130">
        <v>842</v>
      </c>
      <c r="G274" s="82">
        <f>[28]Production!$HT$5</f>
        <v>5.1732761207672645E-2</v>
      </c>
      <c r="H274" s="48">
        <f t="shared" si="22"/>
        <v>5.4035066228804177E-2</v>
      </c>
      <c r="I274" s="66">
        <f t="shared" si="23"/>
        <v>8110378.9398185564</v>
      </c>
    </row>
    <row r="275" spans="1:9">
      <c r="A275" s="39"/>
      <c r="B275" s="37"/>
      <c r="C275" s="37"/>
      <c r="D275" s="37"/>
      <c r="E275" s="37"/>
      <c r="F275" s="37" t="s">
        <v>27</v>
      </c>
      <c r="G275" s="131">
        <f>SUM(G262:G274)</f>
        <v>0.95739239013083222</v>
      </c>
      <c r="H275" s="37"/>
      <c r="I275" s="42"/>
    </row>
    <row r="277" spans="1:9">
      <c r="A277" s="119" t="s">
        <v>763</v>
      </c>
    </row>
    <row r="278" spans="1:9" ht="32">
      <c r="A278" s="60" t="s">
        <v>0</v>
      </c>
      <c r="B278" s="23" t="s">
        <v>1</v>
      </c>
      <c r="C278" s="23" t="s">
        <v>558</v>
      </c>
      <c r="D278" s="23" t="s">
        <v>3</v>
      </c>
      <c r="E278" s="23"/>
      <c r="F278" s="114" t="s">
        <v>631</v>
      </c>
      <c r="G278" s="114" t="s">
        <v>424</v>
      </c>
      <c r="H278" s="114" t="s">
        <v>429</v>
      </c>
      <c r="I278" s="115" t="s">
        <v>527</v>
      </c>
    </row>
    <row r="279" spans="1:9" ht="32">
      <c r="A279" s="67" t="s">
        <v>764</v>
      </c>
      <c r="B279" s="141">
        <f>'[1]Weight%'!$B$166</f>
        <v>3.0000000000000001E-3</v>
      </c>
      <c r="C279" s="28" t="s">
        <v>33</v>
      </c>
      <c r="D279" s="28" t="s">
        <v>208</v>
      </c>
      <c r="E279" s="28"/>
      <c r="F279" s="130">
        <v>156</v>
      </c>
      <c r="G279" s="34">
        <f>[29]Production!$AT$5</f>
        <v>2.3317757629965071E-2</v>
      </c>
      <c r="H279" s="48">
        <f t="shared" ref="H279:H284" si="24">G279/$G$285</f>
        <v>2.3747258093027315E-2</v>
      </c>
      <c r="I279" s="66">
        <f t="shared" ref="I279:I284" si="25">$B$280*H279</f>
        <v>3440553.8234806019</v>
      </c>
    </row>
    <row r="280" spans="1:9" ht="32">
      <c r="A280" s="67" t="s">
        <v>765</v>
      </c>
      <c r="B280" s="65">
        <f>B279*data_4tier!AI40</f>
        <v>144882150.60461316</v>
      </c>
      <c r="C280" s="28" t="s">
        <v>7</v>
      </c>
      <c r="D280" s="28"/>
      <c r="E280" s="28"/>
      <c r="F280" s="130">
        <v>233</v>
      </c>
      <c r="G280" s="34">
        <f>[29]Production!$BQ$5</f>
        <v>3.5493002382839887E-2</v>
      </c>
      <c r="H280" s="48">
        <f t="shared" si="24"/>
        <v>3.6146764258266066E-2</v>
      </c>
      <c r="I280" s="66">
        <f t="shared" si="25"/>
        <v>5237020.9431355521</v>
      </c>
    </row>
    <row r="281" spans="1:9" ht="32">
      <c r="A281" s="67" t="s">
        <v>766</v>
      </c>
      <c r="B281" s="65">
        <f>B279*data_4tier!AI41</f>
        <v>1301372183.9650013</v>
      </c>
      <c r="C281" s="28" t="s">
        <v>7</v>
      </c>
      <c r="D281" s="28"/>
      <c r="E281" s="28"/>
      <c r="F281" s="130">
        <v>392</v>
      </c>
      <c r="G281" s="34">
        <f>[29]Production!$DE$5</f>
        <v>2.1022848792024287E-2</v>
      </c>
      <c r="H281" s="48">
        <f t="shared" si="24"/>
        <v>2.1410078277567038E-2</v>
      </c>
      <c r="I281" s="66">
        <f t="shared" si="25"/>
        <v>3101938.1854670243</v>
      </c>
    </row>
    <row r="282" spans="1:9">
      <c r="A282" s="30"/>
      <c r="B282" s="28"/>
      <c r="C282" s="28"/>
      <c r="D282" s="28"/>
      <c r="E282" s="28"/>
      <c r="F282" s="130">
        <v>458</v>
      </c>
      <c r="G282" s="34">
        <f>[29]Production!$DX$5</f>
        <v>2.9333249066076063E-2</v>
      </c>
      <c r="H282" s="48">
        <f t="shared" si="24"/>
        <v>2.9873551622476669E-2</v>
      </c>
      <c r="I282" s="66">
        <f t="shared" si="25"/>
        <v>4328144.4052623501</v>
      </c>
    </row>
    <row r="283" spans="1:9">
      <c r="A283" s="30"/>
      <c r="B283" s="28"/>
      <c r="C283" s="28"/>
      <c r="D283" s="28"/>
      <c r="E283" s="28"/>
      <c r="F283" s="130">
        <v>704</v>
      </c>
      <c r="G283" s="34">
        <f>[29]Production!$GN$5</f>
        <v>0.63387525423294122</v>
      </c>
      <c r="H283" s="48">
        <f t="shared" si="24"/>
        <v>0.64555089301164115</v>
      </c>
      <c r="I283" s="66">
        <f t="shared" si="25"/>
        <v>93528801.704255104</v>
      </c>
    </row>
    <row r="284" spans="1:9">
      <c r="A284" s="30"/>
      <c r="B284" s="28"/>
      <c r="C284" s="28"/>
      <c r="D284" s="28"/>
      <c r="E284" s="28"/>
      <c r="F284" s="130">
        <v>764</v>
      </c>
      <c r="G284" s="34">
        <f>[29]Production!$HC$5</f>
        <v>0.2388715698303068</v>
      </c>
      <c r="H284" s="48">
        <f t="shared" si="24"/>
        <v>0.2432714547370218</v>
      </c>
      <c r="I284" s="66">
        <f t="shared" si="25"/>
        <v>35245691.543012522</v>
      </c>
    </row>
    <row r="285" spans="1:9">
      <c r="A285" s="39"/>
      <c r="B285" s="37"/>
      <c r="C285" s="37"/>
      <c r="D285" s="37"/>
      <c r="E285" s="37"/>
      <c r="F285" s="37" t="s">
        <v>27</v>
      </c>
      <c r="G285" s="40">
        <f>SUM(G279:G284)</f>
        <v>0.98191368193415329</v>
      </c>
      <c r="H285" s="37"/>
      <c r="I285" s="42"/>
    </row>
    <row r="287" spans="1:9">
      <c r="A287" s="119" t="s">
        <v>767</v>
      </c>
    </row>
    <row r="288" spans="1:9" ht="32">
      <c r="A288" s="60" t="s">
        <v>0</v>
      </c>
      <c r="B288" s="23" t="s">
        <v>1</v>
      </c>
      <c r="C288" s="23" t="s">
        <v>558</v>
      </c>
      <c r="D288" s="23" t="s">
        <v>3</v>
      </c>
      <c r="E288" s="23"/>
      <c r="F288" s="114" t="s">
        <v>631</v>
      </c>
      <c r="G288" s="114" t="s">
        <v>424</v>
      </c>
      <c r="H288" s="114" t="s">
        <v>429</v>
      </c>
      <c r="I288" s="115" t="s">
        <v>527</v>
      </c>
    </row>
    <row r="289" spans="1:9" ht="32">
      <c r="A289" s="67" t="s">
        <v>768</v>
      </c>
      <c r="B289" s="82">
        <f>'[1]Weight%'!$B$167</f>
        <v>0.15</v>
      </c>
      <c r="C289" s="28" t="s">
        <v>33</v>
      </c>
      <c r="D289" s="171" t="s">
        <v>208</v>
      </c>
      <c r="E289" s="28"/>
      <c r="F289" s="130">
        <v>36</v>
      </c>
      <c r="G289" s="82">
        <f>[30]Production!$L$5</f>
        <v>2.6894398335594771E-2</v>
      </c>
      <c r="H289" s="48">
        <f t="shared" ref="H289:H300" si="26">G289/$G$301</f>
        <v>2.8989570612883476E-2</v>
      </c>
      <c r="I289" s="66">
        <f>$B$293*H289</f>
        <v>47467454.382776171</v>
      </c>
    </row>
    <row r="290" spans="1:9" ht="32">
      <c r="A290" s="67" t="s">
        <v>1080</v>
      </c>
      <c r="B290" s="82">
        <f>'[1]Weight%'!$B$168</f>
        <v>4.0000000000000001E-3</v>
      </c>
      <c r="C290" s="28" t="s">
        <v>33</v>
      </c>
      <c r="D290" s="171"/>
      <c r="E290" s="28"/>
      <c r="F290" s="130">
        <v>76</v>
      </c>
      <c r="G290" s="82">
        <f>[30]Production!$Z$5</f>
        <v>0.11876503288440385</v>
      </c>
      <c r="H290" s="48">
        <f t="shared" si="26"/>
        <v>0.12801726456870047</v>
      </c>
      <c r="I290" s="66">
        <f t="shared" ref="I290" si="27">$B$293*H290</f>
        <v>209615166.33923531</v>
      </c>
    </row>
    <row r="291" spans="1:9" ht="32">
      <c r="A291" s="67" t="s">
        <v>1081</v>
      </c>
      <c r="B291" s="65">
        <f>B289*data_2tier!B172</f>
        <v>1444221434.9380915</v>
      </c>
      <c r="C291" s="28" t="s">
        <v>7</v>
      </c>
      <c r="D291" s="28"/>
      <c r="E291" s="28"/>
      <c r="F291" s="130">
        <v>124</v>
      </c>
      <c r="G291" s="82">
        <f>[30]Production!$AM$5</f>
        <v>1.4586561577749128E-2</v>
      </c>
      <c r="H291" s="48">
        <f t="shared" si="26"/>
        <v>1.5722908227237715E-2</v>
      </c>
      <c r="I291" s="66">
        <f t="shared" ref="I291:I300" si="28">$B$293*H291</f>
        <v>25744652.758302733</v>
      </c>
    </row>
    <row r="292" spans="1:9" ht="32">
      <c r="A292" s="67" t="s">
        <v>1082</v>
      </c>
      <c r="B292" s="65">
        <f>B290*data_4tier!AI40</f>
        <v>193176200.80615088</v>
      </c>
      <c r="C292" s="28" t="s">
        <v>7</v>
      </c>
      <c r="D292" s="28"/>
      <c r="E292" s="28"/>
      <c r="F292" s="130">
        <v>156</v>
      </c>
      <c r="G292" s="82">
        <f>[30]Production!$AT$5</f>
        <v>0.37806438274209836</v>
      </c>
      <c r="H292" s="48">
        <f t="shared" si="26"/>
        <v>0.40751698487386467</v>
      </c>
      <c r="I292" s="66">
        <f t="shared" si="28"/>
        <v>667267347.55808818</v>
      </c>
    </row>
    <row r="293" spans="1:9" ht="32">
      <c r="A293" s="67" t="s">
        <v>769</v>
      </c>
      <c r="B293" s="65">
        <f>SUM(B291:B292)</f>
        <v>1637397635.7442424</v>
      </c>
      <c r="C293" s="28" t="s">
        <v>7</v>
      </c>
      <c r="D293" s="28"/>
      <c r="E293" s="28"/>
      <c r="F293" s="130">
        <v>251</v>
      </c>
      <c r="G293" s="82">
        <f>[30]Production!$BW$5</f>
        <v>5.257083344338391E-2</v>
      </c>
      <c r="H293" s="48">
        <f t="shared" si="26"/>
        <v>5.666629419510346E-2</v>
      </c>
      <c r="I293" s="66">
        <f t="shared" si="28"/>
        <v>92785256.141450092</v>
      </c>
    </row>
    <row r="294" spans="1:9" ht="32">
      <c r="A294" s="67" t="s">
        <v>1083</v>
      </c>
      <c r="B294" s="65">
        <f>B289*data_2tier!B181</f>
        <v>17743800679.075497</v>
      </c>
      <c r="C294" s="28" t="s">
        <v>7</v>
      </c>
      <c r="D294" s="28"/>
      <c r="E294" s="28"/>
      <c r="F294" s="130">
        <v>276</v>
      </c>
      <c r="G294" s="82">
        <f>[30]Production!$CE$5</f>
        <v>5.4323876618742231E-2</v>
      </c>
      <c r="H294" s="48">
        <f t="shared" si="26"/>
        <v>5.8555905863873277E-2</v>
      </c>
      <c r="I294" s="66">
        <f t="shared" si="28"/>
        <v>95879301.820368528</v>
      </c>
    </row>
    <row r="295" spans="1:9" ht="32">
      <c r="A295" s="67" t="s">
        <v>1084</v>
      </c>
      <c r="B295" s="65">
        <f>B290*data_4tier!AI41</f>
        <v>1735162911.953335</v>
      </c>
      <c r="C295" s="28" t="s">
        <v>7</v>
      </c>
      <c r="D295" s="28"/>
      <c r="E295" s="28"/>
      <c r="F295" s="130">
        <v>352</v>
      </c>
      <c r="G295" s="82">
        <f>[30]Production!$CV$5</f>
        <v>1.2462915862716126E-2</v>
      </c>
      <c r="H295" s="48">
        <f t="shared" si="26"/>
        <v>1.3433822721605966E-2</v>
      </c>
      <c r="I295" s="66">
        <f t="shared" si="28"/>
        <v>21996509.563364893</v>
      </c>
    </row>
    <row r="296" spans="1:9" ht="32">
      <c r="A296" s="67" t="s">
        <v>770</v>
      </c>
      <c r="B296" s="65">
        <f>SUM(B294:B295)</f>
        <v>19478963591.028831</v>
      </c>
      <c r="C296" s="28" t="s">
        <v>7</v>
      </c>
      <c r="D296" s="28"/>
      <c r="E296" s="28"/>
      <c r="F296" s="130">
        <v>410</v>
      </c>
      <c r="G296" s="82">
        <f>[30]Production!$DJ$5</f>
        <v>1.1698937823172034E-2</v>
      </c>
      <c r="H296" s="48">
        <f t="shared" si="26"/>
        <v>1.2610327990558437E-2</v>
      </c>
      <c r="I296" s="66">
        <f t="shared" si="28"/>
        <v>20648121.237699829</v>
      </c>
    </row>
    <row r="297" spans="1:9">
      <c r="A297" s="30"/>
      <c r="B297" s="28"/>
      <c r="C297" s="28"/>
      <c r="D297" s="28"/>
      <c r="E297" s="28"/>
      <c r="F297" s="130">
        <v>458</v>
      </c>
      <c r="G297" s="82">
        <f>[30]Production!$DX$5</f>
        <v>3.7603506886013889E-2</v>
      </c>
      <c r="H297" s="48">
        <f t="shared" si="26"/>
        <v>4.0532957999710607E-2</v>
      </c>
      <c r="I297" s="66">
        <f t="shared" si="28"/>
        <v>66368569.598446824</v>
      </c>
    </row>
    <row r="298" spans="1:9">
      <c r="A298" s="30"/>
      <c r="B298" s="28"/>
      <c r="C298" s="28"/>
      <c r="D298" s="28"/>
      <c r="E298" s="28"/>
      <c r="F298" s="130">
        <v>528</v>
      </c>
      <c r="G298" s="82">
        <f>[30]Production!$EO$5</f>
        <v>5.2987008386638668E-2</v>
      </c>
      <c r="H298" s="48">
        <f t="shared" si="26"/>
        <v>5.7114890692941032E-2</v>
      </c>
      <c r="I298" s="66">
        <f t="shared" si="28"/>
        <v>93519786.98641248</v>
      </c>
    </row>
    <row r="299" spans="1:9">
      <c r="A299" s="30"/>
      <c r="B299" s="28"/>
      <c r="C299" s="28"/>
      <c r="D299" s="28"/>
      <c r="E299" s="28"/>
      <c r="F299" s="130">
        <v>579</v>
      </c>
      <c r="G299" s="82">
        <f>[30]Production!$FB$5</f>
        <v>0.14980886661484616</v>
      </c>
      <c r="H299" s="48">
        <f t="shared" si="26"/>
        <v>0.16147952681355573</v>
      </c>
      <c r="I299" s="66">
        <f t="shared" si="28"/>
        <v>264406195.42561516</v>
      </c>
    </row>
    <row r="300" spans="1:9">
      <c r="A300" s="30"/>
      <c r="B300" s="28"/>
      <c r="C300" s="28"/>
      <c r="D300" s="28"/>
      <c r="E300" s="28"/>
      <c r="F300" s="130">
        <v>842</v>
      </c>
      <c r="G300" s="82">
        <f>[30]Production!$HT$5</f>
        <v>1.7960366975117679E-2</v>
      </c>
      <c r="H300" s="48">
        <f t="shared" si="26"/>
        <v>1.935954543996531E-2</v>
      </c>
      <c r="I300" s="66">
        <f t="shared" si="28"/>
        <v>31699273.932482429</v>
      </c>
    </row>
    <row r="301" spans="1:9">
      <c r="A301" s="39"/>
      <c r="B301" s="37"/>
      <c r="C301" s="37"/>
      <c r="D301" s="37"/>
      <c r="E301" s="37"/>
      <c r="F301" s="137" t="s">
        <v>27</v>
      </c>
      <c r="G301" s="131">
        <f>SUM(G289:G300)</f>
        <v>0.92772668815047665</v>
      </c>
      <c r="H301" s="139"/>
      <c r="I301" s="89"/>
    </row>
    <row r="303" spans="1:9">
      <c r="A303" s="119" t="s">
        <v>771</v>
      </c>
    </row>
    <row r="304" spans="1:9" ht="32">
      <c r="A304" s="60" t="s">
        <v>0</v>
      </c>
      <c r="B304" s="23" t="s">
        <v>1</v>
      </c>
      <c r="C304" s="23" t="s">
        <v>558</v>
      </c>
      <c r="D304" s="23" t="s">
        <v>3</v>
      </c>
      <c r="E304" s="23"/>
      <c r="F304" s="114" t="s">
        <v>631</v>
      </c>
      <c r="G304" s="114" t="s">
        <v>424</v>
      </c>
      <c r="H304" s="114" t="s">
        <v>429</v>
      </c>
      <c r="I304" s="115" t="s">
        <v>527</v>
      </c>
    </row>
    <row r="305" spans="1:9" ht="48">
      <c r="A305" s="67" t="s">
        <v>772</v>
      </c>
      <c r="B305" s="48">
        <f>'[1]Weight%'!$B$169</f>
        <v>1.892E-3</v>
      </c>
      <c r="C305" s="28" t="s">
        <v>33</v>
      </c>
      <c r="D305" s="150" t="s">
        <v>208</v>
      </c>
      <c r="E305" s="28"/>
      <c r="F305" s="130">
        <v>156</v>
      </c>
      <c r="G305" s="82">
        <f>[31]Production!$AT$3</f>
        <v>0.18516566385331315</v>
      </c>
      <c r="H305" s="48">
        <f>G305/$G$316</f>
        <v>0.19133500523024471</v>
      </c>
      <c r="I305" s="66">
        <f>H305*$B$306</f>
        <v>3485443.860718742</v>
      </c>
    </row>
    <row r="306" spans="1:9" ht="32">
      <c r="A306" s="67" t="s">
        <v>773</v>
      </c>
      <c r="B306" s="65">
        <f>B305*data_2tier!B172</f>
        <v>18216446.366019126</v>
      </c>
      <c r="C306" s="28" t="s">
        <v>7</v>
      </c>
      <c r="D306" s="28"/>
      <c r="E306" s="28"/>
      <c r="F306" s="130">
        <v>203</v>
      </c>
      <c r="G306" s="82">
        <f>[31]Production!$BG$3</f>
        <v>2.0492074466021856E-2</v>
      </c>
      <c r="H306" s="48">
        <f t="shared" ref="H306:H315" si="29">G306/$G$316</f>
        <v>2.1174828494341828E-2</v>
      </c>
      <c r="I306" s="66">
        <f t="shared" ref="I306:I315" si="30">H306*$B$306</f>
        <v>385730.12757683144</v>
      </c>
    </row>
    <row r="307" spans="1:9" ht="32">
      <c r="A307" s="67" t="s">
        <v>774</v>
      </c>
      <c r="B307" s="65">
        <f>B305*data_2tier!B181</f>
        <v>223808472.56540561</v>
      </c>
      <c r="C307" s="28" t="s">
        <v>7</v>
      </c>
      <c r="D307" s="28"/>
      <c r="E307" s="28"/>
      <c r="F307" s="130">
        <v>233</v>
      </c>
      <c r="G307" s="82">
        <f>[31]Production!$BQ$3</f>
        <v>2.7291582528458678E-2</v>
      </c>
      <c r="H307" s="48">
        <f t="shared" si="29"/>
        <v>2.8200882264872794E-2</v>
      </c>
      <c r="I307" s="66">
        <f t="shared" si="30"/>
        <v>513719.8592524752</v>
      </c>
    </row>
    <row r="308" spans="1:9">
      <c r="A308" s="30"/>
      <c r="B308" s="28"/>
      <c r="C308" s="28"/>
      <c r="D308" s="28"/>
      <c r="E308" s="28"/>
      <c r="F308" s="130">
        <v>276</v>
      </c>
      <c r="G308" s="82">
        <f>[31]Production!$CE$3</f>
        <v>0.13568441155733835</v>
      </c>
      <c r="H308" s="48">
        <f t="shared" si="29"/>
        <v>0.14020513876456198</v>
      </c>
      <c r="I308" s="66">
        <f t="shared" si="30"/>
        <v>2554039.3905449123</v>
      </c>
    </row>
    <row r="309" spans="1:9">
      <c r="A309" s="30"/>
      <c r="B309" s="28"/>
      <c r="C309" s="28"/>
      <c r="D309" s="28"/>
      <c r="E309" s="28"/>
      <c r="F309" s="130">
        <v>360</v>
      </c>
      <c r="G309" s="82">
        <f>[31]Production!$CW$3</f>
        <v>5.3484139424901565E-2</v>
      </c>
      <c r="H309" s="48">
        <f t="shared" si="29"/>
        <v>5.5266121610459545E-2</v>
      </c>
      <c r="I309" s="66">
        <f t="shared" si="30"/>
        <v>1006752.3401748269</v>
      </c>
    </row>
    <row r="310" spans="1:9">
      <c r="A310" s="30"/>
      <c r="B310" s="28"/>
      <c r="C310" s="28"/>
      <c r="D310" s="28"/>
      <c r="E310" s="28"/>
      <c r="F310" s="130">
        <v>376</v>
      </c>
      <c r="G310" s="82">
        <f>[31]Production!$DA$3</f>
        <v>1.6769838173229256E-2</v>
      </c>
      <c r="H310" s="48">
        <f t="shared" si="29"/>
        <v>1.7328574897811783E-2</v>
      </c>
      <c r="I310" s="66">
        <f t="shared" si="30"/>
        <v>315665.05522553372</v>
      </c>
    </row>
    <row r="311" spans="1:9">
      <c r="A311" s="30"/>
      <c r="B311" s="28"/>
      <c r="C311" s="28"/>
      <c r="D311" s="28"/>
      <c r="E311" s="28"/>
      <c r="F311" s="130">
        <v>392</v>
      </c>
      <c r="G311" s="82">
        <f>[31]Production!$DE$3</f>
        <v>0.11096356026501349</v>
      </c>
      <c r="H311" s="48">
        <f t="shared" si="29"/>
        <v>0.11466063924514719</v>
      </c>
      <c r="I311" s="66">
        <f t="shared" si="30"/>
        <v>2088709.3851026916</v>
      </c>
    </row>
    <row r="312" spans="1:9">
      <c r="A312" s="30"/>
      <c r="B312" s="28"/>
      <c r="C312" s="28"/>
      <c r="D312" s="28"/>
      <c r="E312" s="28"/>
      <c r="F312" s="130">
        <v>398</v>
      </c>
      <c r="G312" s="82">
        <f>[31]Production!$DF$3</f>
        <v>0.10624497547537612</v>
      </c>
      <c r="H312" s="48">
        <f t="shared" si="29"/>
        <v>0.10978484085673844</v>
      </c>
      <c r="I312" s="66">
        <f t="shared" si="30"/>
        <v>1999889.6652687211</v>
      </c>
    </row>
    <row r="313" spans="1:9">
      <c r="A313" s="30"/>
      <c r="B313" s="28"/>
      <c r="C313" s="28"/>
      <c r="D313" s="28"/>
      <c r="E313" s="28"/>
      <c r="F313" s="130">
        <v>764</v>
      </c>
      <c r="G313" s="82">
        <f>[31]Production!$HC$3</f>
        <v>0.13527218187391096</v>
      </c>
      <c r="H313" s="48">
        <f t="shared" si="29"/>
        <v>0.13977917443082286</v>
      </c>
      <c r="I313" s="66">
        <f t="shared" si="30"/>
        <v>2546279.8341055163</v>
      </c>
    </row>
    <row r="314" spans="1:9">
      <c r="A314" s="30"/>
      <c r="B314" s="28"/>
      <c r="C314" s="28"/>
      <c r="D314" s="28"/>
      <c r="E314" s="28"/>
      <c r="F314" s="130">
        <v>826</v>
      </c>
      <c r="G314" s="82">
        <f>[31]Production!$HR$3</f>
        <v>1.698051644317277E-2</v>
      </c>
      <c r="H314" s="48">
        <f t="shared" si="29"/>
        <v>1.7546272537010566E-2</v>
      </c>
      <c r="I314" s="66">
        <f t="shared" si="30"/>
        <v>319630.73259400734</v>
      </c>
    </row>
    <row r="315" spans="1:9">
      <c r="A315" s="30"/>
      <c r="B315" s="28"/>
      <c r="C315" s="28"/>
      <c r="D315" s="28"/>
      <c r="E315" s="28"/>
      <c r="F315" s="130">
        <v>842</v>
      </c>
      <c r="G315" s="82">
        <f>[31]Production!$HT$3</f>
        <v>0.15940739321007513</v>
      </c>
      <c r="H315" s="48">
        <f t="shared" si="29"/>
        <v>0.16471852166798831</v>
      </c>
      <c r="I315" s="66">
        <f t="shared" si="30"/>
        <v>3000586.1154548684</v>
      </c>
    </row>
    <row r="316" spans="1:9">
      <c r="A316" s="39"/>
      <c r="B316" s="37"/>
      <c r="C316" s="37"/>
      <c r="D316" s="37"/>
      <c r="E316" s="37"/>
      <c r="F316" s="37" t="s">
        <v>27</v>
      </c>
      <c r="G316" s="40">
        <f>SUM(G305:G315)</f>
        <v>0.96775633727081134</v>
      </c>
      <c r="H316" s="37"/>
      <c r="I316" s="42"/>
    </row>
    <row r="319" spans="1:9">
      <c r="A319" s="119" t="s">
        <v>775</v>
      </c>
    </row>
    <row r="320" spans="1:9" ht="32">
      <c r="A320" s="60" t="s">
        <v>0</v>
      </c>
      <c r="B320" s="23" t="s">
        <v>1</v>
      </c>
      <c r="C320" s="23" t="s">
        <v>558</v>
      </c>
      <c r="D320" s="23" t="s">
        <v>3</v>
      </c>
      <c r="E320" s="23"/>
      <c r="F320" s="114" t="s">
        <v>631</v>
      </c>
      <c r="G320" s="114" t="s">
        <v>424</v>
      </c>
      <c r="H320" s="114" t="s">
        <v>429</v>
      </c>
      <c r="I320" s="115" t="s">
        <v>527</v>
      </c>
    </row>
    <row r="321" spans="1:9" ht="32">
      <c r="A321" s="67" t="s">
        <v>776</v>
      </c>
      <c r="B321" s="82">
        <f>'[1]Weight%'!$B$170</f>
        <v>0.10890261627906976</v>
      </c>
      <c r="C321" s="28" t="s">
        <v>33</v>
      </c>
      <c r="D321" s="171" t="s">
        <v>208</v>
      </c>
      <c r="E321" s="28"/>
      <c r="F321" s="130">
        <v>124</v>
      </c>
      <c r="G321" s="34">
        <f>[32]Production!$AM$3</f>
        <v>1.6276315843921314E-2</v>
      </c>
      <c r="H321" s="48">
        <f t="shared" ref="H321:H334" si="31">G321/$G$335</f>
        <v>1.7051994415751899E-2</v>
      </c>
      <c r="I321" s="66">
        <f>H321*$B$329</f>
        <v>261866391.61388791</v>
      </c>
    </row>
    <row r="322" spans="1:9" ht="48">
      <c r="A322" s="67" t="s">
        <v>777</v>
      </c>
      <c r="B322" s="82">
        <f>'[1]Weight%'!$B$171</f>
        <v>0.11652410575427684</v>
      </c>
      <c r="C322" s="28" t="s">
        <v>33</v>
      </c>
      <c r="D322" s="171"/>
      <c r="E322" s="28"/>
      <c r="F322" s="130">
        <v>156</v>
      </c>
      <c r="G322" s="34">
        <f>[32]Production!$AT$3</f>
        <v>3.9806480509998098E-2</v>
      </c>
      <c r="H322" s="48">
        <f t="shared" si="31"/>
        <v>4.1703533519271627E-2</v>
      </c>
      <c r="I322" s="66">
        <f t="shared" ref="I322:I323" si="32">H322*$B$329</f>
        <v>640438506.72108841</v>
      </c>
    </row>
    <row r="323" spans="1:9" ht="32">
      <c r="A323" s="67" t="s">
        <v>778</v>
      </c>
      <c r="B323" s="82">
        <f>'[1]Weight%'!$B$172</f>
        <v>0.14899999999999999</v>
      </c>
      <c r="C323" s="28" t="s">
        <v>33</v>
      </c>
      <c r="D323" s="171"/>
      <c r="E323" s="28"/>
      <c r="F323" s="130">
        <v>203</v>
      </c>
      <c r="G323" s="34">
        <f>[32]Production!$BG$3</f>
        <v>1.7923675794424887E-2</v>
      </c>
      <c r="H323" s="48">
        <f t="shared" si="31"/>
        <v>1.8777862415985579E-2</v>
      </c>
      <c r="I323" s="66">
        <f t="shared" si="32"/>
        <v>288370436.51350278</v>
      </c>
    </row>
    <row r="324" spans="1:9" ht="32">
      <c r="A324" s="67" t="s">
        <v>1087</v>
      </c>
      <c r="B324" s="82">
        <f>'[1]Weight%'!$B$173</f>
        <v>1.035E-2</v>
      </c>
      <c r="C324" s="28" t="s">
        <v>33</v>
      </c>
      <c r="D324" s="171"/>
      <c r="E324" s="28"/>
      <c r="F324" s="130">
        <v>233</v>
      </c>
      <c r="G324" s="34">
        <f>[32]Production!$BQ$3</f>
        <v>1.0029917883137469E-2</v>
      </c>
      <c r="H324" s="48">
        <f t="shared" si="31"/>
        <v>1.0507912562877952E-2</v>
      </c>
      <c r="I324" s="66">
        <f t="shared" ref="I324:I334" si="33">H324*$B$329</f>
        <v>161369343.61726138</v>
      </c>
    </row>
    <row r="325" spans="1:9" ht="32">
      <c r="A325" s="67" t="s">
        <v>779</v>
      </c>
      <c r="B325" s="65">
        <f>B321*data_2tier!B94</f>
        <v>6806365453.1690054</v>
      </c>
      <c r="C325" s="43" t="s">
        <v>7</v>
      </c>
      <c r="D325" s="28"/>
      <c r="E325" s="28"/>
      <c r="F325" s="130">
        <v>251</v>
      </c>
      <c r="G325" s="34">
        <f>[32]Production!$BW$3</f>
        <v>1.0920505357808152E-2</v>
      </c>
      <c r="H325" s="48">
        <f t="shared" si="31"/>
        <v>1.1440942665663445E-2</v>
      </c>
      <c r="I325" s="66">
        <f t="shared" si="33"/>
        <v>175697827.44891635</v>
      </c>
    </row>
    <row r="326" spans="1:9" ht="48">
      <c r="A326" s="67" t="s">
        <v>780</v>
      </c>
      <c r="B326" s="65">
        <f>B322*data_3tier!B100</f>
        <v>7263983009.6700268</v>
      </c>
      <c r="C326" s="43" t="s">
        <v>7</v>
      </c>
      <c r="D326" s="28"/>
      <c r="E326" s="28"/>
      <c r="F326" s="130">
        <v>276</v>
      </c>
      <c r="G326" s="34">
        <f>[32]Production!$CE$3</f>
        <v>2.4860095690994372E-2</v>
      </c>
      <c r="H326" s="48">
        <f t="shared" si="31"/>
        <v>2.6044850503206003E-2</v>
      </c>
      <c r="I326" s="66">
        <f t="shared" si="33"/>
        <v>399969109.48419243</v>
      </c>
    </row>
    <row r="327" spans="1:9" ht="32">
      <c r="A327" s="67" t="s">
        <v>781</v>
      </c>
      <c r="B327" s="65">
        <f>B323*data_2tier!B333</f>
        <v>786744393.13394213</v>
      </c>
      <c r="C327" s="43" t="s">
        <v>7</v>
      </c>
      <c r="D327" s="28"/>
      <c r="E327" s="28"/>
      <c r="F327" s="130">
        <v>381</v>
      </c>
      <c r="G327" s="34">
        <f>[32]Production!$DB$3</f>
        <v>1.8216233794123241E-2</v>
      </c>
      <c r="H327" s="48">
        <f t="shared" si="31"/>
        <v>1.9084362819699666E-2</v>
      </c>
      <c r="I327" s="66">
        <f t="shared" si="33"/>
        <v>293077343.68177313</v>
      </c>
    </row>
    <row r="328" spans="1:9" ht="32">
      <c r="A328" s="67" t="s">
        <v>1085</v>
      </c>
      <c r="B328" s="65">
        <f>B324*data_4tier!AI40</f>
        <v>499843419.58591539</v>
      </c>
      <c r="C328" s="43" t="s">
        <v>7</v>
      </c>
      <c r="D328" s="28"/>
      <c r="E328" s="28"/>
      <c r="F328" s="130">
        <v>392</v>
      </c>
      <c r="G328" s="34">
        <f>[32]Production!$DE$3</f>
        <v>0.31556314953533604</v>
      </c>
      <c r="H328" s="48">
        <f t="shared" si="31"/>
        <v>0.33060190741526169</v>
      </c>
      <c r="I328" s="66">
        <f t="shared" si="33"/>
        <v>5077032424.7543926</v>
      </c>
    </row>
    <row r="329" spans="1:9" ht="32">
      <c r="A329" s="67" t="s">
        <v>785</v>
      </c>
      <c r="B329" s="65">
        <f>SUM(B325:B328)</f>
        <v>15356936275.558887</v>
      </c>
      <c r="C329" s="43" t="s">
        <v>7</v>
      </c>
      <c r="D329" s="28"/>
      <c r="E329" s="28"/>
      <c r="F329" s="130">
        <v>398</v>
      </c>
      <c r="G329" s="34">
        <f>[32]Production!$DF$3</f>
        <v>0.18381546258138523</v>
      </c>
      <c r="H329" s="48">
        <f t="shared" si="31"/>
        <v>0.19257553561405233</v>
      </c>
      <c r="I329" s="66">
        <f t="shared" si="33"/>
        <v>2957370228.6566229</v>
      </c>
    </row>
    <row r="330" spans="1:9" ht="32">
      <c r="A330" s="67" t="s">
        <v>782</v>
      </c>
      <c r="B330" s="65">
        <f>B321*data_2tier!B103</f>
        <v>83569671098.186691</v>
      </c>
      <c r="C330" s="43" t="s">
        <v>7</v>
      </c>
      <c r="D330" s="28"/>
      <c r="E330" s="28"/>
      <c r="F330" s="130">
        <v>528</v>
      </c>
      <c r="G330" s="34">
        <f>[32]Production!$EO$3</f>
        <v>1.2302661046379639E-2</v>
      </c>
      <c r="H330" s="48">
        <f t="shared" si="31"/>
        <v>1.2888967593984236E-2</v>
      </c>
      <c r="I330" s="66">
        <f t="shared" si="33"/>
        <v>197935053.99855947</v>
      </c>
    </row>
    <row r="331" spans="1:9" ht="48">
      <c r="A331" s="67" t="s">
        <v>783</v>
      </c>
      <c r="B331" s="65">
        <f>B322*data_3tier!B101</f>
        <v>90115149791.716675</v>
      </c>
      <c r="C331" s="43" t="s">
        <v>7</v>
      </c>
      <c r="D331" s="28"/>
      <c r="E331" s="28"/>
      <c r="F331" s="130">
        <v>643</v>
      </c>
      <c r="G331" s="34">
        <f>[32]Production!$FU$3</f>
        <v>0.13297065730161442</v>
      </c>
      <c r="H331" s="48">
        <f t="shared" si="31"/>
        <v>0.13930762511055569</v>
      </c>
      <c r="I331" s="66">
        <f t="shared" si="33"/>
        <v>2139338321.5222509</v>
      </c>
    </row>
    <row r="332" spans="1:9" ht="32">
      <c r="A332" s="67" t="s">
        <v>784</v>
      </c>
      <c r="B332" s="65">
        <f>B323*data_2tier!B342</f>
        <v>9998352175.2396507</v>
      </c>
      <c r="C332" s="43" t="s">
        <v>7</v>
      </c>
      <c r="D332" s="28"/>
      <c r="E332" s="28"/>
      <c r="F332" s="130">
        <v>804</v>
      </c>
      <c r="G332" s="34">
        <f>[32]Production!$HO$3</f>
        <v>6.9633498440323266E-2</v>
      </c>
      <c r="H332" s="48">
        <f t="shared" si="31"/>
        <v>7.2952014321908926E-2</v>
      </c>
      <c r="I332" s="66">
        <f t="shared" si="33"/>
        <v>1120319435.1152146</v>
      </c>
    </row>
    <row r="333" spans="1:9" ht="32">
      <c r="A333" s="67" t="s">
        <v>1086</v>
      </c>
      <c r="B333" s="65">
        <f>B324*data_4tier!AI41</f>
        <v>4489734034.6792545</v>
      </c>
      <c r="C333" s="43" t="s">
        <v>7</v>
      </c>
      <c r="D333" s="28"/>
      <c r="E333" s="28"/>
      <c r="F333" s="130">
        <v>826</v>
      </c>
      <c r="G333" s="34">
        <f>[32]Production!$HR$3</f>
        <v>1.990441745028633E-2</v>
      </c>
      <c r="H333" s="48">
        <f t="shared" si="31"/>
        <v>2.0853000056387822E-2</v>
      </c>
      <c r="I333" s="66">
        <f t="shared" si="33"/>
        <v>320238193.02017367</v>
      </c>
    </row>
    <row r="334" spans="1:9" ht="32">
      <c r="A334" s="67" t="s">
        <v>786</v>
      </c>
      <c r="B334" s="65">
        <f>SUM(B330:B333)</f>
        <v>188172907099.8223</v>
      </c>
      <c r="C334" s="43" t="s">
        <v>7</v>
      </c>
      <c r="D334" s="28"/>
      <c r="E334" s="28"/>
      <c r="F334" s="130">
        <v>842</v>
      </c>
      <c r="G334" s="34">
        <f>[32]Production!$HT$3</f>
        <v>8.228790543854235E-2</v>
      </c>
      <c r="H334" s="48">
        <f t="shared" si="31"/>
        <v>8.6209490985393045E-2</v>
      </c>
      <c r="I334" s="66">
        <f t="shared" si="33"/>
        <v>1323913659.4110494</v>
      </c>
    </row>
    <row r="335" spans="1:9">
      <c r="A335" s="39"/>
      <c r="B335" s="37"/>
      <c r="C335" s="37"/>
      <c r="D335" s="37"/>
      <c r="E335" s="37"/>
      <c r="F335" s="37" t="s">
        <v>27</v>
      </c>
      <c r="G335" s="40">
        <f>SUM(G321:G334)</f>
        <v>0.95451097666827489</v>
      </c>
      <c r="H335" s="37"/>
      <c r="I335" s="42"/>
    </row>
    <row r="338" spans="1:9">
      <c r="A338" s="119" t="s">
        <v>787</v>
      </c>
    </row>
    <row r="339" spans="1:9" ht="32">
      <c r="A339" s="60" t="s">
        <v>0</v>
      </c>
      <c r="B339" s="23" t="s">
        <v>1</v>
      </c>
      <c r="C339" s="23" t="s">
        <v>558</v>
      </c>
      <c r="D339" s="23" t="s">
        <v>3</v>
      </c>
      <c r="E339" s="23"/>
      <c r="F339" s="114" t="s">
        <v>631</v>
      </c>
      <c r="G339" s="114" t="s">
        <v>424</v>
      </c>
      <c r="H339" s="114" t="s">
        <v>429</v>
      </c>
      <c r="I339" s="115" t="s">
        <v>527</v>
      </c>
    </row>
    <row r="340" spans="1:9" ht="48">
      <c r="A340" s="67" t="s">
        <v>788</v>
      </c>
      <c r="B340" s="148">
        <f>'[1]Weight%'!$B$174*'[1]Weight%'!$B$110</f>
        <v>4.3750000000000004E-2</v>
      </c>
      <c r="C340" s="28" t="s">
        <v>33</v>
      </c>
      <c r="D340" s="171" t="s">
        <v>208</v>
      </c>
      <c r="E340" s="28"/>
      <c r="F340" s="130">
        <v>76</v>
      </c>
      <c r="G340" s="34">
        <f>[33]Production!$Z$3</f>
        <v>7.5961126435226206E-2</v>
      </c>
      <c r="H340" s="147">
        <f>G340/$G$349</f>
        <v>7.9914537806475006E-2</v>
      </c>
      <c r="I340" s="66">
        <f>$B$344*H340</f>
        <v>11752412.166201757</v>
      </c>
    </row>
    <row r="341" spans="1:9" ht="32">
      <c r="A341" s="67" t="s">
        <v>789</v>
      </c>
      <c r="B341" s="34">
        <f>'[1]Weight%'!$B$175</f>
        <v>1</v>
      </c>
      <c r="C341" s="28" t="s">
        <v>33</v>
      </c>
      <c r="D341" s="171"/>
      <c r="E341" s="28"/>
      <c r="F341" s="130">
        <v>156</v>
      </c>
      <c r="G341" s="34">
        <f>[33]Production!$AT$3</f>
        <v>2.3853510610089921E-2</v>
      </c>
      <c r="H341" s="147">
        <f t="shared" ref="H341:H348" si="34">G341/$G$349</f>
        <v>2.5094971137542044E-2</v>
      </c>
      <c r="I341" s="66">
        <f t="shared" ref="I341:I348" si="35">$B$344*H341</f>
        <v>3690523.053784526</v>
      </c>
    </row>
    <row r="342" spans="1:9" ht="48">
      <c r="A342" s="67" t="s">
        <v>790</v>
      </c>
      <c r="B342" s="65">
        <f>B340*data_3tier!B7</f>
        <v>59971530.996399663</v>
      </c>
      <c r="C342" s="43" t="s">
        <v>7</v>
      </c>
      <c r="D342" s="28"/>
      <c r="E342" s="28"/>
      <c r="F342" s="130">
        <v>233</v>
      </c>
      <c r="G342" s="34">
        <f>[33]Production!$BQ$3</f>
        <v>1.4460214383637118E-2</v>
      </c>
      <c r="H342" s="147">
        <f t="shared" si="34"/>
        <v>1.5212799010244967E-2</v>
      </c>
      <c r="I342" s="66">
        <f t="shared" si="35"/>
        <v>2237228.532847736</v>
      </c>
    </row>
    <row r="343" spans="1:9" ht="32">
      <c r="A343" s="67" t="s">
        <v>791</v>
      </c>
      <c r="B343" s="65">
        <f>B341*data_4tier!B73</f>
        <v>87090724.36772418</v>
      </c>
      <c r="C343" s="43" t="s">
        <v>7</v>
      </c>
      <c r="D343" s="28"/>
      <c r="E343" s="28"/>
      <c r="F343" s="130">
        <v>276</v>
      </c>
      <c r="G343" s="34">
        <f>[33]Production!$CE$3</f>
        <v>3.2716942446720486E-2</v>
      </c>
      <c r="H343" s="147">
        <f t="shared" si="34"/>
        <v>3.4419701981383936E-2</v>
      </c>
      <c r="I343" s="66">
        <f t="shared" si="35"/>
        <v>5061839.002343324</v>
      </c>
    </row>
    <row r="344" spans="1:9" ht="32">
      <c r="A344" s="67" t="s">
        <v>794</v>
      </c>
      <c r="B344" s="65">
        <f>SUM(B342:B343)</f>
        <v>147062255.36412385</v>
      </c>
      <c r="C344" s="43" t="s">
        <v>7</v>
      </c>
      <c r="D344" s="28"/>
      <c r="E344" s="28"/>
      <c r="F344" s="130">
        <v>372</v>
      </c>
      <c r="G344" s="34">
        <f>[33]Production!$CZ$3</f>
        <v>0.70424021027043249</v>
      </c>
      <c r="H344" s="147">
        <f t="shared" si="34"/>
        <v>0.74089252687013274</v>
      </c>
      <c r="I344" s="66">
        <f t="shared" si="35"/>
        <v>108957325.98394646</v>
      </c>
    </row>
    <row r="345" spans="1:9" ht="48">
      <c r="A345" s="67" t="s">
        <v>792</v>
      </c>
      <c r="B345" s="65">
        <f>B340*data_3tier!B8</f>
        <v>218440561.55676416</v>
      </c>
      <c r="C345" s="43" t="s">
        <v>7</v>
      </c>
      <c r="D345" s="28"/>
      <c r="E345" s="28"/>
      <c r="F345" s="130">
        <v>410</v>
      </c>
      <c r="G345" s="34">
        <f>[33]Production!$DJ$3</f>
        <v>1.2033195399150782E-2</v>
      </c>
      <c r="H345" s="147">
        <f t="shared" si="34"/>
        <v>1.2659465357956978E-2</v>
      </c>
      <c r="I345" s="66">
        <f t="shared" si="35"/>
        <v>1861729.5272451488</v>
      </c>
    </row>
    <row r="346" spans="1:9" ht="32">
      <c r="A346" s="67" t="s">
        <v>793</v>
      </c>
      <c r="B346" s="65">
        <f>B341*data_4tier!B74</f>
        <v>1069314194.3656404</v>
      </c>
      <c r="C346" s="43" t="s">
        <v>7</v>
      </c>
      <c r="D346" s="28"/>
      <c r="E346" s="28"/>
      <c r="F346" s="130">
        <v>608</v>
      </c>
      <c r="G346" s="34">
        <f>[33]Production!$FM$3</f>
        <v>3.3292820142774966E-2</v>
      </c>
      <c r="H346" s="147">
        <f t="shared" si="34"/>
        <v>3.5025551342405384E-2</v>
      </c>
      <c r="I346" s="66">
        <f t="shared" si="35"/>
        <v>5150936.5757860513</v>
      </c>
    </row>
    <row r="347" spans="1:9" ht="32">
      <c r="A347" s="67" t="s">
        <v>795</v>
      </c>
      <c r="B347" s="65">
        <f>SUM(B345:B346)</f>
        <v>1287754755.9224045</v>
      </c>
      <c r="C347" s="43" t="s">
        <v>7</v>
      </c>
      <c r="D347" s="28"/>
      <c r="E347" s="28"/>
      <c r="F347" s="130">
        <v>643</v>
      </c>
      <c r="G347" s="34">
        <f>[33]Production!$FU$3</f>
        <v>3.9605539510650448E-2</v>
      </c>
      <c r="H347" s="147">
        <f t="shared" si="34"/>
        <v>4.1666817398615497E-2</v>
      </c>
      <c r="I347" s="66">
        <f t="shared" si="35"/>
        <v>6127616.1404855112</v>
      </c>
    </row>
    <row r="348" spans="1:9">
      <c r="A348" s="30"/>
      <c r="B348" s="28"/>
      <c r="C348" s="28"/>
      <c r="D348" s="28"/>
      <c r="E348" s="28"/>
      <c r="F348" s="130">
        <v>842</v>
      </c>
      <c r="G348" s="34">
        <f>[33]Production!$HT$3</f>
        <v>1.4365950452958427E-2</v>
      </c>
      <c r="H348" s="147">
        <f t="shared" si="34"/>
        <v>1.5113629095243341E-2</v>
      </c>
      <c r="I348" s="66">
        <f t="shared" si="35"/>
        <v>2222644.3814833285</v>
      </c>
    </row>
    <row r="349" spans="1:9">
      <c r="A349" s="39"/>
      <c r="B349" s="37"/>
      <c r="C349" s="37"/>
      <c r="D349" s="37"/>
      <c r="E349" s="37"/>
      <c r="F349" s="37" t="s">
        <v>27</v>
      </c>
      <c r="G349" s="40">
        <f>SUM(G340:G348)</f>
        <v>0.95052950965164096</v>
      </c>
      <c r="H349" s="37"/>
      <c r="I349" s="42"/>
    </row>
    <row r="351" spans="1:9">
      <c r="A351" s="20" t="s">
        <v>1043</v>
      </c>
    </row>
    <row r="352" spans="1:9">
      <c r="A352" t="s">
        <v>1088</v>
      </c>
    </row>
    <row r="353" spans="1:1">
      <c r="A353" t="s">
        <v>1089</v>
      </c>
    </row>
    <row r="354" spans="1:1">
      <c r="A354" t="s">
        <v>1090</v>
      </c>
    </row>
    <row r="355" spans="1:1">
      <c r="A355" t="s">
        <v>1091</v>
      </c>
    </row>
  </sheetData>
  <sortState ref="F169:G185">
    <sortCondition ref="F169"/>
  </sortState>
  <mergeCells count="13">
    <mergeCell ref="D289:D290"/>
    <mergeCell ref="D321:D324"/>
    <mergeCell ref="D340:D341"/>
    <mergeCell ref="D103:D112"/>
    <mergeCell ref="D138:D139"/>
    <mergeCell ref="D154:D155"/>
    <mergeCell ref="D177:D180"/>
    <mergeCell ref="D214:D219"/>
    <mergeCell ref="D262:D263"/>
    <mergeCell ref="D5:D6"/>
    <mergeCell ref="D21:D23"/>
    <mergeCell ref="D66:D69"/>
    <mergeCell ref="D92:D9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workbookViewId="0">
      <selection activeCell="D4" sqref="D4:D5"/>
    </sheetView>
  </sheetViews>
  <sheetFormatPr baseColWidth="10" defaultRowHeight="16"/>
  <cols>
    <col min="1" max="1" width="26.453125" customWidth="1"/>
    <col min="2" max="2" width="18.453125" customWidth="1"/>
    <col min="4" max="4" width="21.453125" customWidth="1"/>
    <col min="6" max="6" width="18.1796875" customWidth="1"/>
    <col min="7" max="7" width="20.54296875" customWidth="1"/>
    <col min="8" max="8" width="16.54296875" customWidth="1"/>
    <col min="9" max="9" width="19" customWidth="1"/>
    <col min="10" max="10" width="12" bestFit="1" customWidth="1"/>
  </cols>
  <sheetData>
    <row r="1" spans="1:9">
      <c r="A1" s="20" t="s">
        <v>796</v>
      </c>
    </row>
    <row r="3" spans="1:9">
      <c r="A3" s="84" t="s">
        <v>797</v>
      </c>
    </row>
    <row r="4" spans="1:9" ht="32">
      <c r="A4" s="60" t="s">
        <v>0</v>
      </c>
      <c r="B4" s="23" t="s">
        <v>1</v>
      </c>
      <c r="C4" s="23" t="s">
        <v>558</v>
      </c>
      <c r="D4" s="23" t="s">
        <v>3</v>
      </c>
      <c r="E4" s="23"/>
      <c r="F4" s="114" t="s">
        <v>631</v>
      </c>
      <c r="G4" s="114" t="s">
        <v>424</v>
      </c>
      <c r="H4" s="114" t="s">
        <v>429</v>
      </c>
      <c r="I4" s="115" t="s">
        <v>527</v>
      </c>
    </row>
    <row r="5" spans="1:9" ht="48">
      <c r="A5" s="67" t="s">
        <v>798</v>
      </c>
      <c r="B5" s="34">
        <f>'[1]Weight%'!$B$177</f>
        <v>0.8</v>
      </c>
      <c r="C5" s="28" t="s">
        <v>33</v>
      </c>
      <c r="D5" s="32" t="s">
        <v>208</v>
      </c>
      <c r="E5" s="28"/>
      <c r="F5" s="130">
        <v>56</v>
      </c>
      <c r="G5" s="34">
        <f>[18]Production!$S$6</f>
        <v>0.15565111109725258</v>
      </c>
      <c r="H5" s="35">
        <f>G5/$G$16</f>
        <v>0.16295672431304586</v>
      </c>
      <c r="I5" s="66">
        <f>H5*$B$6</f>
        <v>11505998.063822404</v>
      </c>
    </row>
    <row r="6" spans="1:9" ht="32">
      <c r="A6" s="67" t="s">
        <v>799</v>
      </c>
      <c r="B6" s="65">
        <f>B5*data_rawmat!B9</f>
        <v>70607691.166637331</v>
      </c>
      <c r="C6" s="28" t="s">
        <v>7</v>
      </c>
      <c r="D6" s="28"/>
      <c r="E6" s="28"/>
      <c r="F6" s="130">
        <v>68</v>
      </c>
      <c r="G6" s="34">
        <f>[18]Production!$V$6</f>
        <v>3.4147493751454497E-2</v>
      </c>
      <c r="H6" s="35">
        <f t="shared" ref="H6:H15" si="0">G6/$G$16</f>
        <v>3.5750234521361203E-2</v>
      </c>
      <c r="I6" s="66">
        <f t="shared" ref="I6:I15" si="1">H6*$B$6</f>
        <v>2524241.5182191283</v>
      </c>
    </row>
    <row r="7" spans="1:9" ht="32">
      <c r="A7" s="67" t="s">
        <v>800</v>
      </c>
      <c r="B7" s="65">
        <f>B5*data_rawmat!B12</f>
        <v>880980437.44904387</v>
      </c>
      <c r="C7" s="28" t="s">
        <v>7</v>
      </c>
      <c r="D7" s="28"/>
      <c r="E7" s="28"/>
      <c r="F7" s="130">
        <v>104</v>
      </c>
      <c r="G7" s="34">
        <f>[18]Production!$AH$6</f>
        <v>4.5934389686706267E-2</v>
      </c>
      <c r="H7" s="35">
        <f t="shared" si="0"/>
        <v>4.8090358134274411E-2</v>
      </c>
      <c r="I7" s="66">
        <f t="shared" si="1"/>
        <v>3395549.155237833</v>
      </c>
    </row>
    <row r="8" spans="1:9">
      <c r="A8" s="30"/>
      <c r="B8" s="28"/>
      <c r="C8" s="28"/>
      <c r="D8" s="28"/>
      <c r="E8" s="28"/>
      <c r="F8" s="130">
        <v>156</v>
      </c>
      <c r="G8" s="34">
        <f>[18]Production!$AT$6</f>
        <v>0.46388400947731928</v>
      </c>
      <c r="H8" s="35">
        <f t="shared" si="0"/>
        <v>0.4856567878811639</v>
      </c>
      <c r="I8" s="66">
        <f t="shared" si="1"/>
        <v>34291104.491694316</v>
      </c>
    </row>
    <row r="9" spans="1:9">
      <c r="A9" s="30"/>
      <c r="B9" s="28"/>
      <c r="C9" s="28"/>
      <c r="D9" s="28"/>
      <c r="E9" s="28"/>
      <c r="F9" s="130">
        <v>251</v>
      </c>
      <c r="G9" s="34">
        <f>[18]Production!$BW$6</f>
        <v>0.10607534735783873</v>
      </c>
      <c r="H9" s="35">
        <f t="shared" si="0"/>
        <v>0.11105408123300584</v>
      </c>
      <c r="I9" s="66">
        <f t="shared" si="1"/>
        <v>7841272.2704947311</v>
      </c>
    </row>
    <row r="10" spans="1:9">
      <c r="A10" s="30"/>
      <c r="B10" s="28"/>
      <c r="C10" s="28"/>
      <c r="D10" s="28"/>
      <c r="E10" s="28"/>
      <c r="F10" s="130">
        <v>381</v>
      </c>
      <c r="G10" s="34">
        <f>[18]Production!$DB$6</f>
        <v>1.2127030482754585E-2</v>
      </c>
      <c r="H10" s="35">
        <f t="shared" si="0"/>
        <v>1.2696222655804891E-2</v>
      </c>
      <c r="I10" s="66">
        <f t="shared" si="1"/>
        <v>896450.96826393576</v>
      </c>
    </row>
    <row r="11" spans="1:9">
      <c r="A11" s="30"/>
      <c r="B11" s="28"/>
      <c r="C11" s="28"/>
      <c r="D11" s="28"/>
      <c r="E11" s="28"/>
      <c r="F11" s="130">
        <v>392</v>
      </c>
      <c r="G11" s="34">
        <f>[18]Production!$DE$6</f>
        <v>2.5709893830670138E-2</v>
      </c>
      <c r="H11" s="35">
        <f t="shared" si="0"/>
        <v>2.6916608892463882E-2</v>
      </c>
      <c r="I11" s="66">
        <f t="shared" si="1"/>
        <v>1900519.607932254</v>
      </c>
    </row>
    <row r="12" spans="1:9">
      <c r="A12" s="30"/>
      <c r="B12" s="28"/>
      <c r="C12" s="28"/>
      <c r="D12" s="28"/>
      <c r="E12" s="28"/>
      <c r="F12" s="130">
        <v>410</v>
      </c>
      <c r="G12" s="34">
        <f>[18]Production!$DJ$6</f>
        <v>2.1395587554600082E-2</v>
      </c>
      <c r="H12" s="35">
        <f t="shared" si="0"/>
        <v>2.2399807094677027E-2</v>
      </c>
      <c r="I12" s="66">
        <f t="shared" si="1"/>
        <v>1581598.6615332074</v>
      </c>
    </row>
    <row r="13" spans="1:9">
      <c r="A13" s="30"/>
      <c r="B13" s="28"/>
      <c r="C13" s="28"/>
      <c r="D13" s="28"/>
      <c r="E13" s="28"/>
      <c r="F13" s="130">
        <v>724</v>
      </c>
      <c r="G13" s="34">
        <f>[18]Production!$GS$6</f>
        <v>3.0384045442099709E-2</v>
      </c>
      <c r="H13" s="35">
        <f t="shared" si="0"/>
        <v>3.1810145663076453E-2</v>
      </c>
      <c r="I13" s="66">
        <f t="shared" si="1"/>
        <v>2246040.9409442502</v>
      </c>
    </row>
    <row r="14" spans="1:9">
      <c r="A14" s="30"/>
      <c r="B14" s="28"/>
      <c r="C14" s="28"/>
      <c r="D14" s="28"/>
      <c r="E14" s="28"/>
      <c r="F14" s="130">
        <v>764</v>
      </c>
      <c r="G14" s="34">
        <f>[18]Production!$HC$6</f>
        <v>3.2830102010452389E-2</v>
      </c>
      <c r="H14" s="35">
        <f t="shared" si="0"/>
        <v>3.4371009912957148E-2</v>
      </c>
      <c r="I14" s="66">
        <f t="shared" si="1"/>
        <v>2426857.6530195088</v>
      </c>
    </row>
    <row r="15" spans="1:9">
      <c r="A15" s="30"/>
      <c r="B15" s="28"/>
      <c r="C15" s="28"/>
      <c r="D15" s="28"/>
      <c r="E15" s="28"/>
      <c r="F15" s="130">
        <v>842</v>
      </c>
      <c r="G15" s="34">
        <f>[18]Production!$HT$6</f>
        <v>2.7029373758216839E-2</v>
      </c>
      <c r="H15" s="35">
        <f t="shared" si="0"/>
        <v>2.8298019698169467E-2</v>
      </c>
      <c r="I15" s="66">
        <f t="shared" si="1"/>
        <v>1998057.8354757696</v>
      </c>
    </row>
    <row r="16" spans="1:9">
      <c r="A16" s="39"/>
      <c r="B16" s="37"/>
      <c r="C16" s="37"/>
      <c r="D16" s="37"/>
      <c r="E16" s="37"/>
      <c r="F16" s="37" t="s">
        <v>27</v>
      </c>
      <c r="G16" s="40">
        <f>SUM(G5:G15)</f>
        <v>0.95516838444936503</v>
      </c>
      <c r="H16" s="37"/>
      <c r="I16" s="42"/>
    </row>
    <row r="18" spans="1:10">
      <c r="A18" s="84" t="s">
        <v>801</v>
      </c>
    </row>
    <row r="19" spans="1:10" ht="48">
      <c r="A19" s="60" t="s">
        <v>0</v>
      </c>
      <c r="B19" s="23" t="s">
        <v>1</v>
      </c>
      <c r="C19" s="23" t="s">
        <v>558</v>
      </c>
      <c r="D19" s="23" t="s">
        <v>3</v>
      </c>
      <c r="E19" s="23"/>
      <c r="F19" s="114" t="s">
        <v>631</v>
      </c>
      <c r="G19" s="114" t="s">
        <v>1120</v>
      </c>
      <c r="H19" s="114" t="s">
        <v>429</v>
      </c>
      <c r="I19" s="115" t="s">
        <v>527</v>
      </c>
    </row>
    <row r="20" spans="1:10" ht="48">
      <c r="A20" s="67" t="s">
        <v>802</v>
      </c>
      <c r="B20" s="82">
        <f>'[1]Weight%'!$B$179</f>
        <v>0.65</v>
      </c>
      <c r="C20" s="28" t="s">
        <v>33</v>
      </c>
      <c r="D20" s="32" t="s">
        <v>208</v>
      </c>
      <c r="E20" s="28"/>
      <c r="F20" s="130">
        <v>36</v>
      </c>
      <c r="G20" s="173">
        <v>20836304000</v>
      </c>
      <c r="H20" s="179">
        <f>G20/$G$46</f>
        <v>0.15472028316042205</v>
      </c>
      <c r="I20" s="166">
        <f>$B$21*H20</f>
        <v>4576436868.0371141</v>
      </c>
      <c r="J20" s="11"/>
    </row>
    <row r="21" spans="1:10" ht="32">
      <c r="A21" s="67" t="s">
        <v>803</v>
      </c>
      <c r="B21" s="65">
        <f>B20*data_rawmat!B28</f>
        <v>29578777743.652565</v>
      </c>
      <c r="C21" s="43" t="s">
        <v>7</v>
      </c>
      <c r="D21" s="28"/>
      <c r="E21" s="28"/>
      <c r="F21" s="130">
        <v>70</v>
      </c>
      <c r="G21" s="173">
        <v>122241000</v>
      </c>
      <c r="H21" s="179">
        <f t="shared" ref="H21:H45" si="2">G21/$G$46</f>
        <v>9.0770235132935052E-4</v>
      </c>
      <c r="I21" s="166">
        <f t="shared" ref="I21:I45" si="3">$B$21*H21</f>
        <v>26848726.107361693</v>
      </c>
      <c r="J21" s="11"/>
    </row>
    <row r="22" spans="1:10" ht="32">
      <c r="A22" s="67" t="s">
        <v>804</v>
      </c>
      <c r="B22" s="65">
        <f>B20*data_rawmat!B33</f>
        <v>270108822196.784</v>
      </c>
      <c r="C22" s="43" t="s">
        <v>7</v>
      </c>
      <c r="D22" s="28"/>
      <c r="E22" s="28"/>
      <c r="F22" s="130">
        <v>76</v>
      </c>
      <c r="G22" s="173">
        <v>10185000000</v>
      </c>
      <c r="H22" s="179">
        <f t="shared" si="2"/>
        <v>7.5628867959926988E-2</v>
      </c>
      <c r="I22" s="166">
        <f t="shared" si="3"/>
        <v>2237009476.390727</v>
      </c>
      <c r="J22" s="11"/>
    </row>
    <row r="23" spans="1:10">
      <c r="A23" s="30"/>
      <c r="B23" s="28"/>
      <c r="C23" s="28"/>
      <c r="D23" s="28"/>
      <c r="E23" s="28"/>
      <c r="F23" s="130">
        <v>124</v>
      </c>
      <c r="G23" s="173">
        <v>1518000000</v>
      </c>
      <c r="H23" s="179">
        <f t="shared" si="2"/>
        <v>1.1271931424955245E-2</v>
      </c>
      <c r="I23" s="166">
        <f t="shared" si="3"/>
        <v>333409954.36044413</v>
      </c>
      <c r="J23" s="11"/>
    </row>
    <row r="24" spans="1:10">
      <c r="A24" s="30"/>
      <c r="B24" s="28"/>
      <c r="C24" s="28"/>
      <c r="D24" s="28"/>
      <c r="E24" s="28"/>
      <c r="F24" s="130">
        <v>156</v>
      </c>
      <c r="G24" s="173">
        <v>73131900000</v>
      </c>
      <c r="H24" s="179">
        <f t="shared" si="2"/>
        <v>0.54304200380545753</v>
      </c>
      <c r="I24" s="166">
        <f t="shared" si="3"/>
        <v>16062518736.029358</v>
      </c>
      <c r="J24" s="11"/>
    </row>
    <row r="25" spans="1:10">
      <c r="A25" s="30"/>
      <c r="B25" s="28"/>
      <c r="C25" s="28"/>
      <c r="D25" s="28"/>
      <c r="E25" s="28"/>
      <c r="F25" s="130">
        <v>251</v>
      </c>
      <c r="G25" s="173">
        <v>500000000</v>
      </c>
      <c r="H25" s="179">
        <f t="shared" si="2"/>
        <v>3.7127573863488948E-3</v>
      </c>
      <c r="I25" s="166">
        <f t="shared" si="3"/>
        <v>109818825.54691836</v>
      </c>
      <c r="J25" s="11"/>
    </row>
    <row r="26" spans="1:10">
      <c r="A26" s="30"/>
      <c r="B26" s="28"/>
      <c r="C26" s="28"/>
      <c r="D26" s="28"/>
      <c r="E26" s="28"/>
      <c r="F26" s="130">
        <v>276</v>
      </c>
      <c r="G26" s="173">
        <v>1050000000</v>
      </c>
      <c r="H26" s="179">
        <f t="shared" si="2"/>
        <v>7.7967905113326798E-3</v>
      </c>
      <c r="I26" s="166">
        <f t="shared" si="3"/>
        <v>230619533.64852858</v>
      </c>
      <c r="J26" s="11"/>
    </row>
    <row r="27" spans="1:10">
      <c r="A27" s="30"/>
      <c r="B27" s="28"/>
      <c r="C27" s="28"/>
      <c r="D27" s="28"/>
      <c r="E27" s="28"/>
      <c r="F27" s="130">
        <v>300</v>
      </c>
      <c r="G27" s="173">
        <v>680000000</v>
      </c>
      <c r="H27" s="179">
        <f t="shared" si="2"/>
        <v>5.0493500454344975E-3</v>
      </c>
      <c r="I27" s="166">
        <f t="shared" si="3"/>
        <v>149353602.74380898</v>
      </c>
      <c r="J27" s="11"/>
    </row>
    <row r="28" spans="1:10">
      <c r="A28" s="30"/>
      <c r="B28" s="28"/>
      <c r="C28" s="28"/>
      <c r="D28" s="28"/>
      <c r="E28" s="28"/>
      <c r="F28" s="130">
        <v>324</v>
      </c>
      <c r="G28" s="173">
        <v>453353000</v>
      </c>
      <c r="H28" s="179">
        <f t="shared" si="2"/>
        <v>3.3663793987468611E-3</v>
      </c>
      <c r="I28" s="166">
        <f t="shared" si="3"/>
        <v>99573388.036344156</v>
      </c>
      <c r="J28" s="11"/>
    </row>
    <row r="29" spans="1:10">
      <c r="A29" s="30"/>
      <c r="B29" s="28"/>
      <c r="C29" s="28"/>
      <c r="D29" s="28"/>
      <c r="E29" s="28"/>
      <c r="F29" s="130">
        <v>360</v>
      </c>
      <c r="G29" s="173">
        <v>1162100000</v>
      </c>
      <c r="H29" s="179">
        <f t="shared" si="2"/>
        <v>8.6291907173521015E-3</v>
      </c>
      <c r="I29" s="166">
        <f t="shared" si="3"/>
        <v>255240914.33614764</v>
      </c>
      <c r="J29" s="11"/>
    </row>
    <row r="30" spans="1:10">
      <c r="A30" s="30"/>
      <c r="B30" s="28"/>
      <c r="C30" s="28"/>
      <c r="D30" s="28"/>
      <c r="E30" s="28"/>
      <c r="F30" s="130">
        <v>364</v>
      </c>
      <c r="G30" s="173">
        <v>232000000</v>
      </c>
      <c r="H30" s="179">
        <f t="shared" si="2"/>
        <v>1.7227194272658873E-3</v>
      </c>
      <c r="I30" s="166">
        <f t="shared" si="3"/>
        <v>50955935.053770125</v>
      </c>
      <c r="J30" s="11"/>
    </row>
    <row r="31" spans="1:10">
      <c r="A31" s="30"/>
      <c r="B31" s="28"/>
      <c r="C31" s="28"/>
      <c r="D31" s="28"/>
      <c r="E31" s="28"/>
      <c r="F31" s="130">
        <v>372</v>
      </c>
      <c r="G31" s="173">
        <v>1822368000</v>
      </c>
      <c r="H31" s="179">
        <f t="shared" si="2"/>
        <v>1.3532020505291726E-2</v>
      </c>
      <c r="I31" s="166">
        <f t="shared" si="3"/>
        <v>400260626.94857305</v>
      </c>
      <c r="J31" s="11"/>
    </row>
    <row r="32" spans="1:10">
      <c r="A32" s="30"/>
      <c r="B32" s="28"/>
      <c r="C32" s="28"/>
      <c r="D32" s="28"/>
      <c r="E32" s="28"/>
      <c r="F32" s="130">
        <v>388</v>
      </c>
      <c r="G32" s="173">
        <v>1620943000</v>
      </c>
      <c r="H32" s="179">
        <f t="shared" si="2"/>
        <v>1.2036336192201074E-2</v>
      </c>
      <c r="I32" s="166">
        <f t="shared" si="3"/>
        <v>356020113.07699698</v>
      </c>
      <c r="J32" s="11"/>
    </row>
    <row r="33" spans="1:10">
      <c r="A33" s="30"/>
      <c r="B33" s="28"/>
      <c r="C33" s="28"/>
      <c r="D33" s="28"/>
      <c r="E33" s="28"/>
      <c r="F33" s="130">
        <v>392</v>
      </c>
      <c r="G33" s="173">
        <v>18000000</v>
      </c>
      <c r="H33" s="179">
        <f t="shared" si="2"/>
        <v>1.3365926590856023E-4</v>
      </c>
      <c r="I33" s="166">
        <f t="shared" si="3"/>
        <v>3953477.7196890614</v>
      </c>
      <c r="J33" s="11"/>
    </row>
    <row r="34" spans="1:10">
      <c r="A34" s="30"/>
      <c r="B34" s="28"/>
      <c r="C34" s="28"/>
      <c r="D34" s="28"/>
      <c r="E34" s="28"/>
      <c r="F34" s="130">
        <v>398</v>
      </c>
      <c r="G34" s="173">
        <v>1399949000</v>
      </c>
      <c r="H34" s="179">
        <f t="shared" si="2"/>
        <v>1.0395341980523498E-2</v>
      </c>
      <c r="I34" s="166">
        <f t="shared" si="3"/>
        <v>307481510.01116562</v>
      </c>
      <c r="J34" s="11"/>
    </row>
    <row r="35" spans="1:10">
      <c r="A35" s="30"/>
      <c r="B35" s="28"/>
      <c r="C35" s="28"/>
      <c r="D35" s="28"/>
      <c r="E35" s="28"/>
      <c r="F35" s="130">
        <v>642</v>
      </c>
      <c r="G35" s="173">
        <v>426393000</v>
      </c>
      <c r="H35" s="179">
        <f t="shared" si="2"/>
        <v>3.1661875204749288E-3</v>
      </c>
      <c r="I35" s="166">
        <f t="shared" si="3"/>
        <v>93651956.962854326</v>
      </c>
      <c r="J35" s="11"/>
    </row>
    <row r="36" spans="1:10">
      <c r="A36" s="30"/>
      <c r="B36" s="28"/>
      <c r="C36" s="28"/>
      <c r="D36" s="28"/>
      <c r="E36" s="28"/>
      <c r="F36" s="130">
        <v>643</v>
      </c>
      <c r="G36" s="173">
        <v>2873000000</v>
      </c>
      <c r="H36" s="179">
        <f t="shared" si="2"/>
        <v>2.1333503941960749E-2</v>
      </c>
      <c r="I36" s="166">
        <f t="shared" si="3"/>
        <v>631018971.59259284</v>
      </c>
      <c r="J36" s="11"/>
    </row>
    <row r="37" spans="1:10">
      <c r="A37" s="30"/>
      <c r="B37" s="28"/>
      <c r="C37" s="28"/>
      <c r="D37" s="28"/>
      <c r="E37" s="28"/>
      <c r="F37" s="130">
        <v>682</v>
      </c>
      <c r="G37" s="173">
        <v>1782041000</v>
      </c>
      <c r="H37" s="179">
        <f t="shared" si="2"/>
        <v>1.3232571771053142E-2</v>
      </c>
      <c r="I37" s="166">
        <f t="shared" si="3"/>
        <v>391403299.39291185</v>
      </c>
      <c r="J37" s="11"/>
    </row>
    <row r="38" spans="1:10">
      <c r="A38" s="30"/>
      <c r="B38" s="28"/>
      <c r="C38" s="28"/>
      <c r="D38" s="28"/>
      <c r="E38" s="28"/>
      <c r="F38" s="130">
        <v>699</v>
      </c>
      <c r="G38" s="173">
        <v>6624500000</v>
      </c>
      <c r="H38" s="179">
        <f t="shared" si="2"/>
        <v>4.919032261173651E-2</v>
      </c>
      <c r="I38" s="166">
        <f t="shared" si="3"/>
        <v>1454989619.6711214</v>
      </c>
      <c r="J38" s="11"/>
    </row>
    <row r="39" spans="1:10">
      <c r="A39" s="30"/>
      <c r="B39" s="28"/>
      <c r="C39" s="28"/>
      <c r="D39" s="28"/>
      <c r="E39" s="28"/>
      <c r="F39" s="130">
        <v>704</v>
      </c>
      <c r="G39" s="173">
        <v>1384706000</v>
      </c>
      <c r="H39" s="179">
        <f t="shared" si="2"/>
        <v>1.0282154858843266E-2</v>
      </c>
      <c r="I39" s="166">
        <f t="shared" si="3"/>
        <v>304133573.29554224</v>
      </c>
      <c r="J39" s="11"/>
    </row>
    <row r="40" spans="1:10">
      <c r="A40" s="30"/>
      <c r="B40" s="28"/>
      <c r="C40" s="28"/>
      <c r="D40" s="28"/>
      <c r="E40" s="28"/>
      <c r="F40" s="130">
        <v>724</v>
      </c>
      <c r="G40" s="173">
        <v>1553000000</v>
      </c>
      <c r="H40" s="179">
        <f t="shared" si="2"/>
        <v>1.1531824441999667E-2</v>
      </c>
      <c r="I40" s="166">
        <f t="shared" si="3"/>
        <v>341097272.14872843</v>
      </c>
      <c r="J40" s="11"/>
    </row>
    <row r="41" spans="1:10">
      <c r="A41" s="30"/>
      <c r="B41" s="28"/>
      <c r="C41" s="28"/>
      <c r="D41" s="28"/>
      <c r="E41" s="28"/>
      <c r="F41" s="130">
        <v>784</v>
      </c>
      <c r="G41" s="173">
        <v>1920000000</v>
      </c>
      <c r="H41" s="179">
        <f t="shared" si="2"/>
        <v>1.4256988363579757E-2</v>
      </c>
      <c r="I41" s="166">
        <f t="shared" si="3"/>
        <v>421704290.1001665</v>
      </c>
      <c r="J41" s="11"/>
    </row>
    <row r="42" spans="1:10">
      <c r="A42" s="30"/>
      <c r="B42" s="28"/>
      <c r="C42" s="28"/>
      <c r="D42" s="28"/>
      <c r="E42" s="28"/>
      <c r="F42" s="130">
        <v>792</v>
      </c>
      <c r="G42" s="173">
        <v>260000000</v>
      </c>
      <c r="H42" s="179">
        <f t="shared" si="2"/>
        <v>1.9306338409014255E-3</v>
      </c>
      <c r="I42" s="166">
        <f t="shared" si="3"/>
        <v>57105789.28439755</v>
      </c>
      <c r="J42" s="11"/>
    </row>
    <row r="43" spans="1:10">
      <c r="A43" s="30"/>
      <c r="B43" s="28"/>
      <c r="C43" s="28"/>
      <c r="D43" s="28"/>
      <c r="E43" s="28"/>
      <c r="F43" s="130">
        <v>804</v>
      </c>
      <c r="G43" s="173">
        <v>1725000000</v>
      </c>
      <c r="H43" s="179">
        <f t="shared" si="2"/>
        <v>1.2809012982903687E-2</v>
      </c>
      <c r="I43" s="166">
        <f t="shared" si="3"/>
        <v>378874948.13686836</v>
      </c>
      <c r="J43" s="11"/>
    </row>
    <row r="44" spans="1:10">
      <c r="A44" s="30"/>
      <c r="B44" s="28"/>
      <c r="C44" s="28"/>
      <c r="D44" s="28"/>
      <c r="E44" s="28"/>
      <c r="F44" s="130">
        <v>842</v>
      </c>
      <c r="G44" s="173">
        <v>1340000000</v>
      </c>
      <c r="H44" s="179">
        <f t="shared" si="2"/>
        <v>9.9501897954150393E-3</v>
      </c>
      <c r="I44" s="166">
        <f t="shared" si="3"/>
        <v>294314452.46574122</v>
      </c>
      <c r="J44" s="11"/>
    </row>
    <row r="45" spans="1:10">
      <c r="A45" s="30"/>
      <c r="B45" s="28"/>
      <c r="C45" s="28"/>
      <c r="D45" s="28"/>
      <c r="E45" s="28"/>
      <c r="F45" s="130">
        <v>862</v>
      </c>
      <c r="G45" s="173">
        <v>50000000</v>
      </c>
      <c r="H45" s="179">
        <f t="shared" si="2"/>
        <v>3.7127573863488948E-4</v>
      </c>
      <c r="I45" s="166">
        <f t="shared" si="3"/>
        <v>10981882.554691836</v>
      </c>
      <c r="J45" s="11"/>
    </row>
    <row r="46" spans="1:10">
      <c r="A46" s="39"/>
      <c r="B46" s="37"/>
      <c r="C46" s="37"/>
      <c r="D46" s="37"/>
      <c r="E46" s="37"/>
      <c r="F46" s="137" t="s">
        <v>27</v>
      </c>
      <c r="G46" s="138">
        <f>SUM(G20:G45)</f>
        <v>134670798000</v>
      </c>
      <c r="H46" s="113"/>
      <c r="I46" s="89"/>
    </row>
    <row r="47" spans="1:10">
      <c r="F47" s="117"/>
      <c r="G47" s="122"/>
      <c r="H47" s="12"/>
      <c r="I47" s="11"/>
    </row>
    <row r="48" spans="1:10">
      <c r="A48" s="84" t="s">
        <v>805</v>
      </c>
    </row>
    <row r="49" spans="1:9" ht="32">
      <c r="A49" s="60" t="s">
        <v>0</v>
      </c>
      <c r="B49" s="23" t="s">
        <v>1</v>
      </c>
      <c r="C49" s="23" t="s">
        <v>558</v>
      </c>
      <c r="D49" s="23" t="s">
        <v>3</v>
      </c>
      <c r="E49" s="23"/>
      <c r="F49" s="114" t="s">
        <v>631</v>
      </c>
      <c r="G49" s="114" t="s">
        <v>424</v>
      </c>
      <c r="H49" s="114" t="s">
        <v>429</v>
      </c>
      <c r="I49" s="115" t="s">
        <v>527</v>
      </c>
    </row>
    <row r="50" spans="1:9" ht="48">
      <c r="A50" s="67" t="s">
        <v>806</v>
      </c>
      <c r="B50" s="82">
        <f>'[1]Weight%'!$B$180</f>
        <v>0.35</v>
      </c>
      <c r="C50" s="28" t="s">
        <v>33</v>
      </c>
      <c r="D50" s="32" t="s">
        <v>208</v>
      </c>
      <c r="E50" s="28"/>
      <c r="F50" s="130">
        <v>36</v>
      </c>
      <c r="G50" s="34">
        <f>[34]Production!$L$11</f>
        <v>2.5532204241762578E-2</v>
      </c>
      <c r="H50" s="35">
        <f>G50/$G$72</f>
        <v>3.1300386876594283E-2</v>
      </c>
      <c r="I50" s="66">
        <f>H50*$B$51</f>
        <v>498522331.30706555</v>
      </c>
    </row>
    <row r="51" spans="1:9" ht="32">
      <c r="A51" s="67" t="s">
        <v>807</v>
      </c>
      <c r="B51" s="65">
        <f>B50*data_rawmat!B28</f>
        <v>15927034169.659073</v>
      </c>
      <c r="C51" s="43" t="s">
        <v>7</v>
      </c>
      <c r="D51" s="28"/>
      <c r="E51" s="28"/>
      <c r="F51" s="130">
        <v>40</v>
      </c>
      <c r="G51" s="34">
        <f>[34]Production!$M$11</f>
        <v>1.7694640733066445E-2</v>
      </c>
      <c r="H51" s="35">
        <f t="shared" ref="H51:H71" si="4">G51/$G$72</f>
        <v>2.1692177273178882E-2</v>
      </c>
      <c r="I51" s="66">
        <f t="shared" ref="I51:I71" si="5">H51*$B$51</f>
        <v>345492048.64422202</v>
      </c>
    </row>
    <row r="52" spans="1:9" ht="32">
      <c r="A52" s="67" t="s">
        <v>808</v>
      </c>
      <c r="B52" s="65">
        <f>B50*data_rawmat!B33</f>
        <v>145443211952.11444</v>
      </c>
      <c r="C52" s="43" t="s">
        <v>7</v>
      </c>
      <c r="D52" s="28"/>
      <c r="E52" s="28"/>
      <c r="F52" s="130">
        <v>56</v>
      </c>
      <c r="G52" s="34">
        <f>[34]Production!$S$11</f>
        <v>2.8929553924792743E-2</v>
      </c>
      <c r="H52" s="35">
        <f t="shared" si="4"/>
        <v>3.5465258754752899E-2</v>
      </c>
      <c r="I52" s="66">
        <f t="shared" si="5"/>
        <v>564856388.02275002</v>
      </c>
    </row>
    <row r="53" spans="1:9">
      <c r="A53" s="30"/>
      <c r="B53" s="28"/>
      <c r="C53" s="28"/>
      <c r="D53" s="28"/>
      <c r="E53" s="28"/>
      <c r="F53" s="130">
        <v>124</v>
      </c>
      <c r="G53" s="34">
        <f>[34]Production!$AM$11</f>
        <v>5.2342653714016772E-2</v>
      </c>
      <c r="H53" s="35">
        <f t="shared" si="4"/>
        <v>6.4167797495388867E-2</v>
      </c>
      <c r="I53" s="66">
        <f t="shared" si="5"/>
        <v>1022002703.3008224</v>
      </c>
    </row>
    <row r="54" spans="1:9">
      <c r="A54" s="30"/>
      <c r="B54" s="28"/>
      <c r="C54" s="28"/>
      <c r="D54" s="28"/>
      <c r="E54" s="28"/>
      <c r="F54" s="130">
        <v>208</v>
      </c>
      <c r="G54" s="34">
        <f>[34]Production!$BI$11</f>
        <v>1.3432602565140214E-2</v>
      </c>
      <c r="H54" s="35">
        <f t="shared" si="4"/>
        <v>1.6467268280766213E-2</v>
      </c>
      <c r="I54" s="66">
        <f t="shared" si="5"/>
        <v>262274744.58870649</v>
      </c>
    </row>
    <row r="55" spans="1:9">
      <c r="A55" s="30"/>
      <c r="B55" s="28"/>
      <c r="C55" s="28"/>
      <c r="D55" s="28"/>
      <c r="E55" s="28"/>
      <c r="F55" s="130">
        <v>251</v>
      </c>
      <c r="G55" s="34">
        <f>[34]Production!$BW$11</f>
        <v>5.1023392662757107E-2</v>
      </c>
      <c r="H55" s="35">
        <f t="shared" si="4"/>
        <v>6.2550491723249252E-2</v>
      </c>
      <c r="I55" s="66">
        <f t="shared" si="5"/>
        <v>996243819.00516784</v>
      </c>
    </row>
    <row r="56" spans="1:9">
      <c r="A56" s="30"/>
      <c r="B56" s="28"/>
      <c r="C56" s="28"/>
      <c r="D56" s="28"/>
      <c r="E56" s="28"/>
      <c r="F56" s="130">
        <v>276</v>
      </c>
      <c r="G56" s="34">
        <f>[34]Production!$CE$11</f>
        <v>0.11284180018185373</v>
      </c>
      <c r="H56" s="35">
        <f t="shared" si="4"/>
        <v>0.13833478567299534</v>
      </c>
      <c r="I56" s="66">
        <f>H56*$B$51</f>
        <v>2203262858.2662611</v>
      </c>
    </row>
    <row r="57" spans="1:9">
      <c r="A57" s="30"/>
      <c r="B57" s="28"/>
      <c r="C57" s="28"/>
      <c r="D57" s="28"/>
      <c r="E57" s="28"/>
      <c r="F57" s="130">
        <v>344</v>
      </c>
      <c r="G57" s="34">
        <f>[34]Production!$CT$11</f>
        <v>2.031875350631385E-2</v>
      </c>
      <c r="H57" s="35">
        <f t="shared" si="4"/>
        <v>2.490912416239844E-2</v>
      </c>
      <c r="I57" s="66">
        <f t="shared" si="5"/>
        <v>396728471.67080039</v>
      </c>
    </row>
    <row r="58" spans="1:9">
      <c r="A58" s="30"/>
      <c r="B58" s="28"/>
      <c r="C58" s="28"/>
      <c r="D58" s="28"/>
      <c r="E58" s="28"/>
      <c r="F58" s="130">
        <v>381</v>
      </c>
      <c r="G58" s="34">
        <f>[34]Production!$DB$11</f>
        <v>1.405989900462443E-2</v>
      </c>
      <c r="H58" s="35">
        <f t="shared" si="4"/>
        <v>1.7236282231001269E-2</v>
      </c>
      <c r="I58" s="66">
        <f t="shared" si="5"/>
        <v>274522856.0510447</v>
      </c>
    </row>
    <row r="59" spans="1:9">
      <c r="A59" s="30"/>
      <c r="B59" s="28"/>
      <c r="C59" s="28"/>
      <c r="D59" s="28"/>
      <c r="E59" s="28"/>
      <c r="F59" s="130">
        <v>392</v>
      </c>
      <c r="G59" s="34">
        <f>[34]Production!$DE$11</f>
        <v>3.100149687836817E-2</v>
      </c>
      <c r="H59" s="35">
        <f t="shared" si="4"/>
        <v>3.8005290763703618E-2</v>
      </c>
      <c r="I59" s="66">
        <f t="shared" si="5"/>
        <v>605311564.62133586</v>
      </c>
    </row>
    <row r="60" spans="1:9">
      <c r="A60" s="30"/>
      <c r="B60" s="28"/>
      <c r="C60" s="28"/>
      <c r="D60" s="28"/>
      <c r="E60" s="28"/>
      <c r="F60" s="130">
        <v>458</v>
      </c>
      <c r="G60" s="34">
        <f>[34]Production!$DX$11</f>
        <v>1.6334250021547276E-2</v>
      </c>
      <c r="H60" s="35">
        <f t="shared" si="4"/>
        <v>2.0024449913226668E-2</v>
      </c>
      <c r="I60" s="66">
        <f t="shared" si="5"/>
        <v>318930097.99658781</v>
      </c>
    </row>
    <row r="61" spans="1:9">
      <c r="A61" s="30"/>
      <c r="B61" s="28"/>
      <c r="C61" s="28"/>
      <c r="D61" s="28"/>
      <c r="E61" s="28"/>
      <c r="F61" s="130">
        <v>484</v>
      </c>
      <c r="G61" s="34">
        <f>[34]Production!$ED$11</f>
        <v>2.691285176538695E-2</v>
      </c>
      <c r="H61" s="35">
        <f t="shared" si="4"/>
        <v>3.2992947425634897E-2</v>
      </c>
      <c r="I61" s="66">
        <f t="shared" si="5"/>
        <v>525479801.00585234</v>
      </c>
    </row>
    <row r="62" spans="1:9">
      <c r="A62" s="30"/>
      <c r="B62" s="28"/>
      <c r="C62" s="28"/>
      <c r="D62" s="28"/>
      <c r="E62" s="28"/>
      <c r="F62" s="130">
        <v>528</v>
      </c>
      <c r="G62" s="34">
        <f>[34]Production!$EO$11</f>
        <v>5.2216585317632985E-2</v>
      </c>
      <c r="H62" s="35">
        <f t="shared" si="4"/>
        <v>6.4013247988328678E-2</v>
      </c>
      <c r="I62" s="66">
        <f t="shared" si="5"/>
        <v>1019541188.0209708</v>
      </c>
    </row>
    <row r="63" spans="1:9">
      <c r="A63" s="30"/>
      <c r="B63" s="28"/>
      <c r="C63" s="28"/>
      <c r="D63" s="28"/>
      <c r="E63" s="28"/>
      <c r="F63" s="130">
        <v>616</v>
      </c>
      <c r="G63" s="34">
        <f>[34]Production!$FO$11</f>
        <v>2.5607197893740115E-2</v>
      </c>
      <c r="H63" s="35">
        <f t="shared" si="4"/>
        <v>3.1392322938908326E-2</v>
      </c>
      <c r="I63" s="66">
        <f t="shared" si="5"/>
        <v>499986600.11296523</v>
      </c>
    </row>
    <row r="64" spans="1:9">
      <c r="A64" s="30"/>
      <c r="B64" s="28"/>
      <c r="C64" s="28"/>
      <c r="D64" s="28"/>
      <c r="E64" s="28"/>
      <c r="F64" s="130">
        <v>682</v>
      </c>
      <c r="G64" s="34">
        <f>[34]Production!$GF$11</f>
        <v>1.6696022102710876E-2</v>
      </c>
      <c r="H64" s="35">
        <f t="shared" si="4"/>
        <v>2.0467952792741065E-2</v>
      </c>
      <c r="I64" s="66">
        <f t="shared" si="5"/>
        <v>325993783.51295578</v>
      </c>
    </row>
    <row r="65" spans="1:9">
      <c r="A65" s="30"/>
      <c r="B65" s="28"/>
      <c r="C65" s="28"/>
      <c r="D65" s="28"/>
      <c r="E65" s="28"/>
      <c r="F65" s="130">
        <v>724</v>
      </c>
      <c r="G65" s="34">
        <f>[34]Production!$GS$11</f>
        <v>1.6162069600167861E-2</v>
      </c>
      <c r="H65" s="35">
        <f t="shared" si="4"/>
        <v>1.9813370848108761E-2</v>
      </c>
      <c r="I65" s="66">
        <f t="shared" si="5"/>
        <v>315568234.51395518</v>
      </c>
    </row>
    <row r="66" spans="1:9">
      <c r="A66" s="30"/>
      <c r="B66" s="28"/>
      <c r="C66" s="28"/>
      <c r="D66" s="28"/>
      <c r="E66" s="28"/>
      <c r="F66" s="130">
        <v>752</v>
      </c>
      <c r="G66" s="34">
        <f>[34]Production!$GY$11</f>
        <v>1.8024395276316101E-2</v>
      </c>
      <c r="H66" s="35">
        <f t="shared" si="4"/>
        <v>2.2096429279010257E-2</v>
      </c>
      <c r="I66" s="66">
        <f t="shared" si="5"/>
        <v>351930584.15425158</v>
      </c>
    </row>
    <row r="67" spans="1:9">
      <c r="A67" s="30"/>
      <c r="B67" s="28"/>
      <c r="C67" s="28"/>
      <c r="D67" s="28"/>
      <c r="E67" s="28"/>
      <c r="F67" s="130">
        <v>757</v>
      </c>
      <c r="G67" s="34">
        <f>[34]Production!$GZ$11</f>
        <v>1.5872864663093209E-2</v>
      </c>
      <c r="H67" s="35">
        <f t="shared" si="4"/>
        <v>1.9458829331389607E-2</v>
      </c>
      <c r="I67" s="66">
        <f t="shared" si="5"/>
        <v>309921439.66260648</v>
      </c>
    </row>
    <row r="68" spans="1:9">
      <c r="A68" s="30"/>
      <c r="B68" s="28"/>
      <c r="C68" s="28"/>
      <c r="D68" s="28"/>
      <c r="E68" s="28"/>
      <c r="F68" s="130">
        <v>764</v>
      </c>
      <c r="G68" s="34">
        <f>[34]Production!$HC$11</f>
        <v>1.1863803280694354E-2</v>
      </c>
      <c r="H68" s="35">
        <f t="shared" si="4"/>
        <v>1.454404911527947E-2</v>
      </c>
      <c r="I68" s="66">
        <f t="shared" si="5"/>
        <v>231643567.22425592</v>
      </c>
    </row>
    <row r="69" spans="1:9">
      <c r="A69" s="30"/>
      <c r="B69" s="28"/>
      <c r="C69" s="28"/>
      <c r="D69" s="28"/>
      <c r="E69" s="28"/>
      <c r="F69" s="130">
        <v>784</v>
      </c>
      <c r="G69" s="34">
        <f>[34]Production!$HH$11</f>
        <v>2.0121966487574201E-2</v>
      </c>
      <c r="H69" s="35">
        <f t="shared" si="4"/>
        <v>2.466787942847266E-2</v>
      </c>
      <c r="I69" s="66">
        <f t="shared" si="5"/>
        <v>392886158.55031419</v>
      </c>
    </row>
    <row r="70" spans="1:9">
      <c r="A70" s="30"/>
      <c r="B70" s="28"/>
      <c r="C70" s="28"/>
      <c r="D70" s="28"/>
      <c r="E70" s="28"/>
      <c r="F70" s="130">
        <v>826</v>
      </c>
      <c r="G70" s="34">
        <f>[34]Production!$HR$11</f>
        <v>4.8344665367637714E-2</v>
      </c>
      <c r="H70" s="35">
        <f t="shared" si="4"/>
        <v>5.9266591912633379E-2</v>
      </c>
      <c r="I70" s="66">
        <f t="shared" si="5"/>
        <v>943941034.51175189</v>
      </c>
    </row>
    <row r="71" spans="1:9">
      <c r="A71" s="30"/>
      <c r="B71" s="28"/>
      <c r="C71" s="28"/>
      <c r="D71" s="28"/>
      <c r="E71" s="28"/>
      <c r="F71" s="130">
        <v>842</v>
      </c>
      <c r="G71" s="34">
        <f>[34]Production!$HT$11</f>
        <v>0.18038162348199213</v>
      </c>
      <c r="H71" s="35">
        <f t="shared" si="4"/>
        <v>0.22113306579223704</v>
      </c>
      <c r="I71" s="66">
        <f t="shared" si="5"/>
        <v>3521993894.9144273</v>
      </c>
    </row>
    <row r="72" spans="1:9">
      <c r="A72" s="39"/>
      <c r="B72" s="37"/>
      <c r="C72" s="37"/>
      <c r="D72" s="37"/>
      <c r="E72" s="37"/>
      <c r="F72" s="37" t="s">
        <v>27</v>
      </c>
      <c r="G72" s="40">
        <f>SUM(G50:G71)</f>
        <v>0.81571529267118992</v>
      </c>
      <c r="H72" s="37"/>
      <c r="I72" s="42"/>
    </row>
    <row r="74" spans="1:9">
      <c r="A74" s="84" t="s">
        <v>812</v>
      </c>
    </row>
    <row r="75" spans="1:9" ht="32">
      <c r="A75" s="60" t="s">
        <v>0</v>
      </c>
      <c r="B75" s="23" t="s">
        <v>1</v>
      </c>
      <c r="C75" s="23" t="s">
        <v>558</v>
      </c>
      <c r="D75" s="23" t="s">
        <v>3</v>
      </c>
      <c r="E75" s="23"/>
      <c r="F75" s="114" t="s">
        <v>631</v>
      </c>
      <c r="G75" s="114" t="s">
        <v>424</v>
      </c>
      <c r="H75" s="114" t="s">
        <v>429</v>
      </c>
      <c r="I75" s="115" t="s">
        <v>527</v>
      </c>
    </row>
    <row r="76" spans="1:9" ht="48">
      <c r="A76" s="67" t="s">
        <v>809</v>
      </c>
      <c r="B76" s="82">
        <f>'[1]Weight%'!$B$181</f>
        <v>0.17499999999999999</v>
      </c>
      <c r="C76" s="28" t="s">
        <v>33</v>
      </c>
      <c r="D76" s="32" t="s">
        <v>208</v>
      </c>
      <c r="E76" s="28"/>
      <c r="F76" s="130">
        <v>70</v>
      </c>
      <c r="G76" s="34">
        <f>[20]Production!$W$6</f>
        <v>5.7849851643122396E-2</v>
      </c>
      <c r="H76" s="35">
        <f t="shared" ref="H76:H81" si="6">G76/$G$82</f>
        <v>5.8542112551932514E-2</v>
      </c>
      <c r="I76" s="66">
        <f t="shared" ref="I76:I81" si="7">H76*$B$77</f>
        <v>776486.75452463981</v>
      </c>
    </row>
    <row r="77" spans="1:9" ht="32">
      <c r="A77" s="67" t="s">
        <v>810</v>
      </c>
      <c r="B77" s="65">
        <f>B76*data_rawmat!B86</f>
        <v>13263729.65847143</v>
      </c>
      <c r="C77" s="43" t="s">
        <v>7</v>
      </c>
      <c r="D77" s="28"/>
      <c r="E77" s="28"/>
      <c r="F77" s="130">
        <v>442</v>
      </c>
      <c r="G77" s="34">
        <f>[20]Production!$DT$6</f>
        <v>6.7056064592780587E-2</v>
      </c>
      <c r="H77" s="35">
        <f t="shared" si="6"/>
        <v>6.7858491753745434E-2</v>
      </c>
      <c r="I77" s="66">
        <f t="shared" si="7"/>
        <v>900056.6896532923</v>
      </c>
    </row>
    <row r="78" spans="1:9" ht="32">
      <c r="A78" s="67" t="s">
        <v>811</v>
      </c>
      <c r="B78" s="65">
        <f>B76*data_rawmat!B87</f>
        <v>162959065.43662933</v>
      </c>
      <c r="C78" s="43" t="s">
        <v>7</v>
      </c>
      <c r="D78" s="28"/>
      <c r="E78" s="28"/>
      <c r="F78" s="130">
        <v>608</v>
      </c>
      <c r="G78" s="34">
        <f>[20]Production!$FM$6</f>
        <v>0.1052058646064655</v>
      </c>
      <c r="H78" s="35">
        <f t="shared" si="6"/>
        <v>0.10646481178396072</v>
      </c>
      <c r="I78" s="66">
        <f t="shared" si="7"/>
        <v>1412120.4816424984</v>
      </c>
    </row>
    <row r="79" spans="1:9">
      <c r="A79" s="30"/>
      <c r="B79" s="28"/>
      <c r="C79" s="28"/>
      <c r="D79" s="28"/>
      <c r="E79" s="28"/>
      <c r="F79" s="130">
        <v>757</v>
      </c>
      <c r="G79" s="34">
        <f>[20]Production!$GZ$6</f>
        <v>0.70302498740366137</v>
      </c>
      <c r="H79" s="35">
        <f t="shared" si="6"/>
        <v>0.71143774392546899</v>
      </c>
      <c r="I79" s="66">
        <f t="shared" si="7"/>
        <v>9436317.9042602461</v>
      </c>
    </row>
    <row r="80" spans="1:9">
      <c r="A80" s="30"/>
      <c r="B80" s="28"/>
      <c r="C80" s="28"/>
      <c r="D80" s="28"/>
      <c r="E80" s="28"/>
      <c r="F80" s="130">
        <v>764</v>
      </c>
      <c r="G80" s="34">
        <f>[20]Production!$HC$6</f>
        <v>2.9770902146664925E-2</v>
      </c>
      <c r="H80" s="35">
        <f t="shared" si="6"/>
        <v>3.0127155986403122E-2</v>
      </c>
      <c r="I80" s="66">
        <f t="shared" si="7"/>
        <v>399598.45238225017</v>
      </c>
    </row>
    <row r="81" spans="1:9">
      <c r="A81" s="30"/>
      <c r="B81" s="28"/>
      <c r="C81" s="28"/>
      <c r="D81" s="28"/>
      <c r="E81" s="28"/>
      <c r="F81" s="130">
        <v>842</v>
      </c>
      <c r="G81" s="34">
        <f>[20]Production!$HT$6</f>
        <v>2.5267322298318622E-2</v>
      </c>
      <c r="H81" s="35">
        <f t="shared" si="6"/>
        <v>2.5569683998489235E-2</v>
      </c>
      <c r="I81" s="66">
        <f t="shared" si="7"/>
        <v>339149.37600850401</v>
      </c>
    </row>
    <row r="82" spans="1:9">
      <c r="A82" s="39"/>
      <c r="B82" s="37"/>
      <c r="C82" s="37"/>
      <c r="D82" s="37"/>
      <c r="E82" s="37"/>
      <c r="F82" s="37" t="s">
        <v>27</v>
      </c>
      <c r="G82" s="40">
        <f>SUM(G76:G81)</f>
        <v>0.98817499269101339</v>
      </c>
      <c r="H82" s="37"/>
      <c r="I82" s="42"/>
    </row>
    <row r="84" spans="1:9">
      <c r="A84" s="84" t="s">
        <v>815</v>
      </c>
    </row>
    <row r="85" spans="1:9" ht="32">
      <c r="A85" s="60" t="s">
        <v>0</v>
      </c>
      <c r="B85" s="23" t="s">
        <v>1</v>
      </c>
      <c r="C85" s="23" t="s">
        <v>558</v>
      </c>
      <c r="D85" s="23" t="s">
        <v>3</v>
      </c>
      <c r="E85" s="23"/>
      <c r="F85" s="114" t="s">
        <v>631</v>
      </c>
      <c r="G85" s="114" t="s">
        <v>424</v>
      </c>
      <c r="H85" s="114" t="s">
        <v>429</v>
      </c>
      <c r="I85" s="115" t="s">
        <v>527</v>
      </c>
    </row>
    <row r="86" spans="1:9" ht="48">
      <c r="A86" s="67" t="s">
        <v>820</v>
      </c>
      <c r="B86" s="82">
        <f>'[1]Weight%'!$B$182</f>
        <v>1</v>
      </c>
      <c r="C86" s="28" t="s">
        <v>33</v>
      </c>
      <c r="D86" s="32" t="s">
        <v>208</v>
      </c>
      <c r="E86" s="28"/>
      <c r="F86" s="130">
        <v>32</v>
      </c>
      <c r="G86" s="34">
        <f>[21]Production!$K$8</f>
        <v>2.6431215030201689E-2</v>
      </c>
      <c r="H86" s="35">
        <f>G86/$G$94</f>
        <v>2.7905077994551282E-2</v>
      </c>
      <c r="I86" s="66">
        <f>H86*$B$87</f>
        <v>8225865.1544012139</v>
      </c>
    </row>
    <row r="87" spans="1:9" ht="32">
      <c r="A87" s="67" t="s">
        <v>821</v>
      </c>
      <c r="B87" s="65">
        <f>B86*data_rawmat!B96</f>
        <v>294780224.44543564</v>
      </c>
      <c r="C87" s="43" t="s">
        <v>7</v>
      </c>
      <c r="D87" s="28"/>
      <c r="E87" s="28"/>
      <c r="F87" s="130">
        <v>152</v>
      </c>
      <c r="G87" s="34">
        <f>[21]Production!$AS$8</f>
        <v>0.13312753392016688</v>
      </c>
      <c r="H87" s="35">
        <f t="shared" ref="H87:H93" si="8">G87/$G$94</f>
        <v>0.14055101942985404</v>
      </c>
      <c r="I87" s="66">
        <f t="shared" ref="I87:I93" si="9">H87*$B$87</f>
        <v>41431661.053567164</v>
      </c>
    </row>
    <row r="88" spans="1:9" ht="32">
      <c r="A88" s="67" t="s">
        <v>822</v>
      </c>
      <c r="B88" s="65">
        <f>B86*data_rawmat!B99</f>
        <v>3710550992.2312932</v>
      </c>
      <c r="C88" s="43" t="s">
        <v>7</v>
      </c>
      <c r="D88" s="28"/>
      <c r="E88" s="28"/>
      <c r="F88" s="130">
        <v>442</v>
      </c>
      <c r="G88" s="34">
        <f>[21]Production!$DT$8</f>
        <v>2.6784077332891509E-2</v>
      </c>
      <c r="H88" s="35">
        <f t="shared" si="8"/>
        <v>2.8277616679081866E-2</v>
      </c>
      <c r="I88" s="66">
        <f t="shared" si="9"/>
        <v>8335682.1914417464</v>
      </c>
    </row>
    <row r="89" spans="1:9">
      <c r="A89" s="30"/>
      <c r="B89" s="28"/>
      <c r="C89" s="28"/>
      <c r="D89" s="28"/>
      <c r="E89" s="28"/>
      <c r="F89" s="130">
        <v>528</v>
      </c>
      <c r="G89" s="34">
        <f>[21]Production!$EO$8</f>
        <v>2.2245827373682702E-2</v>
      </c>
      <c r="H89" s="35">
        <f t="shared" si="8"/>
        <v>2.3486303872395333E-2</v>
      </c>
      <c r="I89" s="66">
        <f t="shared" si="9"/>
        <v>6923297.9268984003</v>
      </c>
    </row>
    <row r="90" spans="1:9">
      <c r="A90" s="30"/>
      <c r="B90" s="28"/>
      <c r="C90" s="28"/>
      <c r="D90" s="28"/>
      <c r="E90" s="28"/>
      <c r="F90" s="130">
        <v>604</v>
      </c>
      <c r="G90" s="34">
        <f>[21]Production!$FL$8</f>
        <v>4.2798235092148022E-2</v>
      </c>
      <c r="H90" s="35">
        <f t="shared" si="8"/>
        <v>4.5184759267058894E-2</v>
      </c>
      <c r="I90" s="66">
        <f t="shared" si="9"/>
        <v>13319573.478256598</v>
      </c>
    </row>
    <row r="91" spans="1:9">
      <c r="A91" s="30"/>
      <c r="B91" s="28"/>
      <c r="C91" s="28"/>
      <c r="D91" s="28"/>
      <c r="E91" s="28"/>
      <c r="F91" s="130">
        <v>643</v>
      </c>
      <c r="G91" s="34">
        <f>[21]Production!$FU$8</f>
        <v>0.11145165105755893</v>
      </c>
      <c r="H91" s="35">
        <f t="shared" si="8"/>
        <v>0.11766644143407597</v>
      </c>
      <c r="I91" s="66">
        <f t="shared" si="9"/>
        <v>34685740.015632622</v>
      </c>
    </row>
    <row r="92" spans="1:9">
      <c r="A92" s="30"/>
      <c r="B92" s="28"/>
      <c r="C92" s="28"/>
      <c r="D92" s="28"/>
      <c r="E92" s="28"/>
      <c r="F92" s="130">
        <v>792</v>
      </c>
      <c r="G92" s="34">
        <f>[21]Production!$HJ$8</f>
        <v>0.31529253847055727</v>
      </c>
      <c r="H92" s="35">
        <f t="shared" si="8"/>
        <v>0.33287394722745833</v>
      </c>
      <c r="I92" s="66">
        <f t="shared" si="9"/>
        <v>98124656.875748262</v>
      </c>
    </row>
    <row r="93" spans="1:9">
      <c r="A93" s="30"/>
      <c r="B93" s="28"/>
      <c r="C93" s="28"/>
      <c r="D93" s="28"/>
      <c r="E93" s="28"/>
      <c r="F93" s="130">
        <v>842</v>
      </c>
      <c r="G93" s="34">
        <f>[21]Production!$HT$8</f>
        <v>0.26905190524151401</v>
      </c>
      <c r="H93" s="35">
        <f t="shared" si="8"/>
        <v>0.28405483409552429</v>
      </c>
      <c r="I93" s="66">
        <f t="shared" si="9"/>
        <v>83733747.749489635</v>
      </c>
    </row>
    <row r="94" spans="1:9">
      <c r="A94" s="39"/>
      <c r="B94" s="37"/>
      <c r="C94" s="37"/>
      <c r="D94" s="37"/>
      <c r="E94" s="37"/>
      <c r="F94" s="37" t="s">
        <v>27</v>
      </c>
      <c r="G94" s="40">
        <f>SUM(G86:G93)</f>
        <v>0.94718298351872099</v>
      </c>
      <c r="H94" s="37"/>
      <c r="I94" s="42"/>
    </row>
    <row r="96" spans="1:9">
      <c r="A96" s="84" t="s">
        <v>816</v>
      </c>
    </row>
    <row r="97" spans="1:10" ht="48">
      <c r="A97" s="60" t="s">
        <v>0</v>
      </c>
      <c r="B97" s="23" t="s">
        <v>1</v>
      </c>
      <c r="C97" s="23" t="s">
        <v>558</v>
      </c>
      <c r="D97" s="23" t="s">
        <v>3</v>
      </c>
      <c r="E97" s="23"/>
      <c r="F97" s="114" t="s">
        <v>929</v>
      </c>
      <c r="G97" s="114" t="s">
        <v>1120</v>
      </c>
      <c r="H97" s="114" t="s">
        <v>429</v>
      </c>
      <c r="I97" s="115" t="s">
        <v>527</v>
      </c>
    </row>
    <row r="98" spans="1:10" ht="48">
      <c r="A98" s="67" t="s">
        <v>817</v>
      </c>
      <c r="B98" s="82">
        <f>'[1]Weight%'!$B$183</f>
        <v>0.67999999999999994</v>
      </c>
      <c r="C98" s="28" t="s">
        <v>33</v>
      </c>
      <c r="D98" s="32" t="s">
        <v>208</v>
      </c>
      <c r="E98" s="28"/>
      <c r="F98" s="130">
        <v>36</v>
      </c>
      <c r="G98" s="178">
        <v>3300000</v>
      </c>
      <c r="H98" s="179">
        <f>G98/$G$110</f>
        <v>2.5091050098463363E-2</v>
      </c>
      <c r="I98" s="144">
        <f>H98*$B$99</f>
        <v>1792672.9518647909</v>
      </c>
      <c r="J98" s="11"/>
    </row>
    <row r="99" spans="1:10" ht="32">
      <c r="A99" s="67" t="s">
        <v>818</v>
      </c>
      <c r="B99" s="65">
        <f>B98*data_rawmat!B123</f>
        <v>71446708.879457325</v>
      </c>
      <c r="C99" s="43" t="s">
        <v>7</v>
      </c>
      <c r="D99" s="28"/>
      <c r="E99" s="28"/>
      <c r="F99" s="130">
        <v>56</v>
      </c>
      <c r="G99" s="178">
        <v>6500000</v>
      </c>
      <c r="H99" s="179">
        <f t="shared" ref="H99:H109" si="10">G99/$G$110</f>
        <v>4.9421765345458141E-2</v>
      </c>
      <c r="I99" s="144">
        <f t="shared" ref="I99:I109" si="11">H99*$B$99</f>
        <v>3531022.4809458004</v>
      </c>
      <c r="J99" s="11"/>
    </row>
    <row r="100" spans="1:10" ht="32">
      <c r="A100" s="67" t="s">
        <v>819</v>
      </c>
      <c r="B100" s="65">
        <f>B98*data_rawmat!B134</f>
        <v>314064831.41177398</v>
      </c>
      <c r="C100" s="43" t="s">
        <v>7</v>
      </c>
      <c r="D100" s="28"/>
      <c r="E100" s="28"/>
      <c r="F100" s="130">
        <v>124</v>
      </c>
      <c r="G100" s="178">
        <v>5965000</v>
      </c>
      <c r="H100" s="179">
        <f t="shared" si="10"/>
        <v>4.53539738901012E-2</v>
      </c>
      <c r="I100" s="144">
        <f t="shared" si="11"/>
        <v>3240392.1690525692</v>
      </c>
      <c r="J100" s="11"/>
    </row>
    <row r="101" spans="1:10">
      <c r="A101" s="30"/>
      <c r="B101" s="28"/>
      <c r="C101" s="28"/>
      <c r="D101" s="28"/>
      <c r="E101" s="28"/>
      <c r="F101" s="130">
        <v>156</v>
      </c>
      <c r="G101" s="178">
        <v>86000000</v>
      </c>
      <c r="H101" s="179">
        <f t="shared" si="10"/>
        <v>0.65388797226298467</v>
      </c>
      <c r="I101" s="144">
        <f t="shared" si="11"/>
        <v>46718143.594052128</v>
      </c>
      <c r="J101" s="11"/>
    </row>
    <row r="102" spans="1:10">
      <c r="A102" s="30"/>
      <c r="B102" s="28"/>
      <c r="C102" s="28"/>
      <c r="D102" s="28"/>
      <c r="E102" s="28"/>
      <c r="F102" s="130">
        <v>246</v>
      </c>
      <c r="G102" s="178">
        <v>15148000</v>
      </c>
      <c r="H102" s="179">
        <f t="shared" si="10"/>
        <v>0.11517552330046152</v>
      </c>
      <c r="I102" s="144">
        <f t="shared" si="11"/>
        <v>8228912.0832872279</v>
      </c>
      <c r="J102" s="11"/>
    </row>
    <row r="103" spans="1:10">
      <c r="A103" s="30"/>
      <c r="B103" s="28"/>
      <c r="C103" s="28"/>
      <c r="D103" s="28"/>
      <c r="E103" s="28"/>
      <c r="F103" s="130">
        <v>392</v>
      </c>
      <c r="G103" s="178">
        <v>3467000</v>
      </c>
      <c r="H103" s="179">
        <f t="shared" si="10"/>
        <v>2.6360809300415903E-2</v>
      </c>
      <c r="I103" s="144">
        <f t="shared" si="11"/>
        <v>1883393.0679137062</v>
      </c>
      <c r="J103" s="11"/>
    </row>
    <row r="104" spans="1:10">
      <c r="A104" s="30"/>
      <c r="B104" s="28"/>
      <c r="C104" s="28"/>
      <c r="D104" s="28"/>
      <c r="E104" s="28"/>
      <c r="F104" s="130">
        <v>450</v>
      </c>
      <c r="G104" s="178">
        <v>963000</v>
      </c>
      <c r="H104" s="179">
        <f t="shared" si="10"/>
        <v>7.3220246196424909E-3</v>
      </c>
      <c r="I104" s="144">
        <f t="shared" si="11"/>
        <v>523134.56140781631</v>
      </c>
      <c r="J104" s="11"/>
    </row>
    <row r="105" spans="1:10">
      <c r="A105" s="30"/>
      <c r="B105" s="28"/>
      <c r="C105" s="28"/>
      <c r="D105" s="28"/>
      <c r="E105" s="28"/>
      <c r="F105" s="130">
        <v>504</v>
      </c>
      <c r="G105" s="178">
        <v>2416000</v>
      </c>
      <c r="H105" s="179">
        <f t="shared" si="10"/>
        <v>1.8369690011481057E-2</v>
      </c>
      <c r="I105" s="144">
        <f t="shared" si="11"/>
        <v>1312453.8944561621</v>
      </c>
      <c r="J105" s="11"/>
    </row>
    <row r="106" spans="1:10">
      <c r="A106" s="30"/>
      <c r="B106" s="28"/>
      <c r="C106" s="28"/>
      <c r="D106" s="28"/>
      <c r="E106" s="28"/>
      <c r="F106" s="130">
        <v>540</v>
      </c>
      <c r="G106" s="178">
        <v>681000</v>
      </c>
      <c r="H106" s="179">
        <f t="shared" si="10"/>
        <v>5.1778803385010763E-3</v>
      </c>
      <c r="I106" s="144">
        <f t="shared" si="11"/>
        <v>369942.50915755233</v>
      </c>
      <c r="J106" s="11"/>
    </row>
    <row r="107" spans="1:10">
      <c r="A107" s="30"/>
      <c r="B107" s="28"/>
      <c r="C107" s="28"/>
      <c r="D107" s="28"/>
      <c r="E107" s="28"/>
      <c r="F107" s="130">
        <v>579</v>
      </c>
      <c r="G107" s="178">
        <v>4384000</v>
      </c>
      <c r="H107" s="179">
        <f t="shared" si="10"/>
        <v>3.3333079888382841E-2</v>
      </c>
      <c r="I107" s="144">
        <f t="shared" si="11"/>
        <v>2381538.8548409827</v>
      </c>
      <c r="J107" s="11"/>
    </row>
    <row r="108" spans="1:10">
      <c r="A108" s="30"/>
      <c r="B108" s="28"/>
      <c r="C108" s="28"/>
      <c r="D108" s="28"/>
      <c r="E108" s="28"/>
      <c r="F108" s="130">
        <v>643</v>
      </c>
      <c r="G108" s="178">
        <v>1800000</v>
      </c>
      <c r="H108" s="179">
        <f t="shared" si="10"/>
        <v>1.3686027326434562E-2</v>
      </c>
      <c r="I108" s="144">
        <f t="shared" si="11"/>
        <v>977821.61010806775</v>
      </c>
      <c r="J108" s="11"/>
    </row>
    <row r="109" spans="1:10">
      <c r="A109" s="30"/>
      <c r="B109" s="28"/>
      <c r="C109" s="28"/>
      <c r="D109" s="28"/>
      <c r="E109" s="28"/>
      <c r="F109" s="130">
        <v>710</v>
      </c>
      <c r="G109" s="178">
        <v>897000</v>
      </c>
      <c r="H109" s="179">
        <f t="shared" si="10"/>
        <v>6.8202036176732237E-3</v>
      </c>
      <c r="I109" s="144">
        <f t="shared" si="11"/>
        <v>487281.10237052047</v>
      </c>
      <c r="J109" s="11"/>
    </row>
    <row r="110" spans="1:10">
      <c r="A110" s="30"/>
      <c r="B110" s="28"/>
      <c r="C110" s="28"/>
      <c r="D110" s="28"/>
      <c r="E110" s="28"/>
      <c r="F110" s="130" t="s">
        <v>27</v>
      </c>
      <c r="G110" s="136">
        <f>SUM(G98:G109)</f>
        <v>131521000</v>
      </c>
      <c r="H110" s="35"/>
      <c r="I110" s="66"/>
      <c r="J110" s="11"/>
    </row>
    <row r="111" spans="1:10">
      <c r="A111" s="39"/>
      <c r="B111" s="37"/>
      <c r="C111" s="37"/>
      <c r="D111" s="37"/>
      <c r="E111" s="37"/>
      <c r="F111" s="137"/>
      <c r="G111" s="149"/>
      <c r="H111" s="113"/>
      <c r="I111" s="89"/>
    </row>
    <row r="113" spans="1:9">
      <c r="A113" s="84" t="s">
        <v>826</v>
      </c>
    </row>
    <row r="114" spans="1:9" ht="32">
      <c r="A114" s="60" t="s">
        <v>0</v>
      </c>
      <c r="B114" s="23" t="s">
        <v>1</v>
      </c>
      <c r="C114" s="23" t="s">
        <v>558</v>
      </c>
      <c r="D114" s="23" t="s">
        <v>3</v>
      </c>
      <c r="E114" s="23"/>
      <c r="F114" s="114" t="s">
        <v>631</v>
      </c>
      <c r="G114" s="114" t="s">
        <v>424</v>
      </c>
      <c r="H114" s="114" t="s">
        <v>429</v>
      </c>
      <c r="I114" s="115" t="s">
        <v>527</v>
      </c>
    </row>
    <row r="115" spans="1:9" ht="48">
      <c r="A115" s="67" t="s">
        <v>823</v>
      </c>
      <c r="B115" s="82">
        <f>'[1]Weight%'!$B$184</f>
        <v>0.32</v>
      </c>
      <c r="C115" s="28" t="s">
        <v>33</v>
      </c>
      <c r="D115" s="32" t="s">
        <v>208</v>
      </c>
      <c r="E115" s="28"/>
      <c r="F115" s="130">
        <v>40</v>
      </c>
      <c r="G115" s="34">
        <f>[22]Production!$M$12</f>
        <v>1.8156550443914295E-2</v>
      </c>
      <c r="H115" s="35">
        <f>G115/$G$130</f>
        <v>1.9642328876528063E-2</v>
      </c>
      <c r="I115" s="66">
        <f>$B$116*H115</f>
        <v>660414.00139099231</v>
      </c>
    </row>
    <row r="116" spans="1:9" ht="32">
      <c r="A116" s="67" t="s">
        <v>824</v>
      </c>
      <c r="B116" s="65">
        <f>B115*data_rawmat!B123</f>
        <v>33621980.649156392</v>
      </c>
      <c r="C116" s="43" t="s">
        <v>7</v>
      </c>
      <c r="D116" s="28"/>
      <c r="E116" s="28"/>
      <c r="F116" s="130">
        <v>124</v>
      </c>
      <c r="G116" s="34">
        <f>[22]Production!$AM$12</f>
        <v>1.7441288483740186E-2</v>
      </c>
      <c r="H116" s="35">
        <f t="shared" ref="H116:H129" si="12">G116/$G$130</f>
        <v>1.8868535930670387E-2</v>
      </c>
      <c r="I116" s="66">
        <f t="shared" ref="I116:I129" si="13">$B$116*H116</f>
        <v>634397.5499389118</v>
      </c>
    </row>
    <row r="117" spans="1:9" ht="32">
      <c r="A117" s="67" t="s">
        <v>825</v>
      </c>
      <c r="B117" s="65">
        <f>B115*data_rawmat!B134</f>
        <v>147795214.7820113</v>
      </c>
      <c r="C117" s="43" t="s">
        <v>7</v>
      </c>
      <c r="D117" s="28"/>
      <c r="E117" s="28"/>
      <c r="F117" s="130">
        <v>251</v>
      </c>
      <c r="G117" s="34">
        <f>[22]Production!$BW$12</f>
        <v>4.9971376610727328E-2</v>
      </c>
      <c r="H117" s="35">
        <f t="shared" si="12"/>
        <v>5.406061117351426E-2</v>
      </c>
      <c r="I117" s="66">
        <f t="shared" si="13"/>
        <v>1817624.8227574644</v>
      </c>
    </row>
    <row r="118" spans="1:9">
      <c r="A118" s="30"/>
      <c r="B118" s="28"/>
      <c r="C118" s="28"/>
      <c r="D118" s="28"/>
      <c r="E118" s="28"/>
      <c r="F118" s="130">
        <v>276</v>
      </c>
      <c r="G118" s="34">
        <f>[22]Production!$CE$12</f>
        <v>0.16917714146719595</v>
      </c>
      <c r="H118" s="35">
        <f t="shared" si="12"/>
        <v>0.18302116700826226</v>
      </c>
      <c r="I118" s="66">
        <f t="shared" si="13"/>
        <v>6153534.1355378143</v>
      </c>
    </row>
    <row r="119" spans="1:9">
      <c r="A119" s="30"/>
      <c r="B119" s="28"/>
      <c r="C119" s="28"/>
      <c r="D119" s="28"/>
      <c r="E119" s="28"/>
      <c r="F119" s="130">
        <v>360</v>
      </c>
      <c r="G119" s="34">
        <f>[22]Production!$CW$12</f>
        <v>3.2956017586664832E-2</v>
      </c>
      <c r="H119" s="35">
        <f t="shared" si="12"/>
        <v>3.5652859164934943E-2</v>
      </c>
      <c r="I119" s="66">
        <f t="shared" si="13"/>
        <v>1198719.7409305407</v>
      </c>
    </row>
    <row r="120" spans="1:9">
      <c r="A120" s="30"/>
      <c r="B120" s="28"/>
      <c r="C120" s="28"/>
      <c r="D120" s="28"/>
      <c r="E120" s="28"/>
      <c r="F120" s="130">
        <v>372</v>
      </c>
      <c r="G120" s="34">
        <f>[22]Production!$CZ$12</f>
        <v>4.4077953741401041E-2</v>
      </c>
      <c r="H120" s="35">
        <f t="shared" si="12"/>
        <v>4.7684920451571036E-2</v>
      </c>
      <c r="I120" s="66">
        <f t="shared" si="13"/>
        <v>1603261.4726792832</v>
      </c>
    </row>
    <row r="121" spans="1:9">
      <c r="A121" s="30"/>
      <c r="B121" s="28"/>
      <c r="C121" s="28"/>
      <c r="D121" s="28"/>
      <c r="E121" s="28"/>
      <c r="F121" s="130">
        <v>381</v>
      </c>
      <c r="G121" s="34">
        <f>[22]Production!$DB$12</f>
        <v>1.0377882964035235E-2</v>
      </c>
      <c r="H121" s="35">
        <f t="shared" si="12"/>
        <v>1.1227121079600387E-2</v>
      </c>
      <c r="I121" s="66">
        <f t="shared" si="13"/>
        <v>377478.04768406</v>
      </c>
    </row>
    <row r="122" spans="1:9">
      <c r="A122" s="30"/>
      <c r="B122" s="28"/>
      <c r="C122" s="28"/>
      <c r="D122" s="28"/>
      <c r="E122" s="28"/>
      <c r="F122" s="130">
        <v>392</v>
      </c>
      <c r="G122" s="34">
        <f>[22]Production!$DE$12</f>
        <v>0.13916505947906724</v>
      </c>
      <c r="H122" s="35">
        <f t="shared" si="12"/>
        <v>0.1505531502172347</v>
      </c>
      <c r="I122" s="66">
        <f t="shared" si="13"/>
        <v>5061895.1032734001</v>
      </c>
    </row>
    <row r="123" spans="1:9">
      <c r="A123" s="30"/>
      <c r="B123" s="28"/>
      <c r="C123" s="28"/>
      <c r="D123" s="28"/>
      <c r="E123" s="28"/>
      <c r="F123" s="130">
        <v>410</v>
      </c>
      <c r="G123" s="34">
        <f>[22]Production!$DJ$12</f>
        <v>0.11263465064617592</v>
      </c>
      <c r="H123" s="35">
        <f t="shared" si="12"/>
        <v>0.12185171724767714</v>
      </c>
      <c r="I123" s="66">
        <f t="shared" si="13"/>
        <v>4096896.079367877</v>
      </c>
    </row>
    <row r="124" spans="1:9">
      <c r="A124" s="30"/>
      <c r="B124" s="28"/>
      <c r="C124" s="28"/>
      <c r="D124" s="28"/>
      <c r="E124" s="28"/>
      <c r="F124" s="130">
        <v>528</v>
      </c>
      <c r="G124" s="34">
        <f>[22]Production!$EO$12</f>
        <v>2.0221514305110096E-2</v>
      </c>
      <c r="H124" s="35">
        <f t="shared" si="12"/>
        <v>2.1876271904695526E-2</v>
      </c>
      <c r="I124" s="66">
        <f t="shared" si="13"/>
        <v>735523.59065535665</v>
      </c>
    </row>
    <row r="125" spans="1:9">
      <c r="A125" s="30"/>
      <c r="B125" s="28"/>
      <c r="C125" s="28"/>
      <c r="D125" s="28"/>
      <c r="E125" s="28"/>
      <c r="F125" s="130">
        <v>643</v>
      </c>
      <c r="G125" s="34">
        <f>[22]Production!$FU$12</f>
        <v>1.0669410311701866E-2</v>
      </c>
      <c r="H125" s="35">
        <f t="shared" si="12"/>
        <v>1.1542504558255015E-2</v>
      </c>
      <c r="I125" s="66">
        <f t="shared" si="13"/>
        <v>388081.86490044958</v>
      </c>
    </row>
    <row r="126" spans="1:9">
      <c r="A126" s="30"/>
      <c r="B126" s="28"/>
      <c r="C126" s="28"/>
      <c r="D126" s="28"/>
      <c r="E126" s="28"/>
      <c r="F126" s="130">
        <v>702</v>
      </c>
      <c r="G126" s="34">
        <f>[22]Production!$GL$12</f>
        <v>1.773539800454824E-2</v>
      </c>
      <c r="H126" s="35">
        <f t="shared" si="12"/>
        <v>1.9186712885663849E-2</v>
      </c>
      <c r="I126" s="66">
        <f t="shared" si="13"/>
        <v>645095.2893627095</v>
      </c>
    </row>
    <row r="127" spans="1:9">
      <c r="A127" s="30"/>
      <c r="B127" s="28"/>
      <c r="C127" s="28"/>
      <c r="D127" s="28"/>
      <c r="E127" s="28"/>
      <c r="F127" s="130">
        <v>788</v>
      </c>
      <c r="G127" s="34">
        <f>[22]Production!$HI$12</f>
        <v>1.0906066480113264E-2</v>
      </c>
      <c r="H127" s="35">
        <f t="shared" si="12"/>
        <v>1.1798526664709369E-2</v>
      </c>
      <c r="I127" s="66">
        <f t="shared" si="13"/>
        <v>396689.83520941413</v>
      </c>
    </row>
    <row r="128" spans="1:9">
      <c r="A128" s="30"/>
      <c r="B128" s="28"/>
      <c r="C128" s="28"/>
      <c r="D128" s="28"/>
      <c r="E128" s="28"/>
      <c r="F128" s="130">
        <v>826</v>
      </c>
      <c r="G128" s="34">
        <f>[22]Production!$HR$12</f>
        <v>0.10611079020437125</v>
      </c>
      <c r="H128" s="35">
        <f t="shared" si="12"/>
        <v>0.114793999277607</v>
      </c>
      <c r="I128" s="66">
        <f>$B$116*H128</f>
        <v>3859601.6223509754</v>
      </c>
    </row>
    <row r="129" spans="1:9">
      <c r="A129" s="30"/>
      <c r="B129" s="28"/>
      <c r="C129" s="28"/>
      <c r="D129" s="28"/>
      <c r="E129" s="28"/>
      <c r="F129" s="130">
        <v>842</v>
      </c>
      <c r="G129" s="34">
        <f>[22]Production!$HT$12</f>
        <v>0.16475723570102258</v>
      </c>
      <c r="H129" s="35">
        <f t="shared" si="12"/>
        <v>0.17823957355907602</v>
      </c>
      <c r="I129" s="66">
        <f t="shared" si="13"/>
        <v>5992767.4931171415</v>
      </c>
    </row>
    <row r="130" spans="1:9">
      <c r="A130" s="39"/>
      <c r="B130" s="37"/>
      <c r="C130" s="37"/>
      <c r="D130" s="37"/>
      <c r="E130" s="37"/>
      <c r="F130" s="37" t="s">
        <v>27</v>
      </c>
      <c r="G130" s="40">
        <f>SUM(G115:G129)</f>
        <v>0.92435833642978937</v>
      </c>
      <c r="H130" s="37"/>
      <c r="I130" s="42"/>
    </row>
    <row r="132" spans="1:9">
      <c r="A132" s="84" t="s">
        <v>827</v>
      </c>
    </row>
    <row r="133" spans="1:9" ht="32">
      <c r="A133" s="60" t="s">
        <v>0</v>
      </c>
      <c r="B133" s="23" t="s">
        <v>1</v>
      </c>
      <c r="C133" s="23" t="s">
        <v>558</v>
      </c>
      <c r="D133" s="23" t="s">
        <v>3</v>
      </c>
      <c r="E133" s="23"/>
      <c r="F133" s="114" t="s">
        <v>631</v>
      </c>
      <c r="G133" s="114" t="s">
        <v>424</v>
      </c>
      <c r="H133" s="114" t="s">
        <v>429</v>
      </c>
      <c r="I133" s="115" t="s">
        <v>527</v>
      </c>
    </row>
    <row r="134" spans="1:9" ht="48">
      <c r="A134" s="67" t="s">
        <v>828</v>
      </c>
      <c r="B134" s="82">
        <f>'[1]Weight%'!$B$185</f>
        <v>1</v>
      </c>
      <c r="C134" s="28" t="s">
        <v>33</v>
      </c>
      <c r="D134" s="32" t="s">
        <v>208</v>
      </c>
      <c r="E134" s="28"/>
      <c r="F134" s="130">
        <v>156</v>
      </c>
      <c r="G134" s="34">
        <f>[23]Production!$AT$8</f>
        <v>0.50517011091718356</v>
      </c>
      <c r="H134" s="35">
        <f>G134/$G$143</f>
        <v>0.51942686790976744</v>
      </c>
      <c r="I134" s="66">
        <f>H134*$B$135</f>
        <v>1416254.1321786072</v>
      </c>
    </row>
    <row r="135" spans="1:9" ht="32">
      <c r="A135" s="67" t="s">
        <v>829</v>
      </c>
      <c r="B135" s="65">
        <f>B134*data_rawmat!B142</f>
        <v>2726570.8026960064</v>
      </c>
      <c r="C135" s="43" t="s">
        <v>7</v>
      </c>
      <c r="D135" s="28"/>
      <c r="E135" s="28"/>
      <c r="F135" s="130">
        <v>251</v>
      </c>
      <c r="G135" s="34">
        <f>[23]Production!$BW$8</f>
        <v>1.0867572498939009E-2</v>
      </c>
      <c r="H135" s="35">
        <f t="shared" ref="H135:H142" si="14">G135/$G$143</f>
        <v>1.1174273819678988E-2</v>
      </c>
      <c r="I135" s="66">
        <f t="shared" ref="I135:I142" si="15">H135*$B$135</f>
        <v>30467.448738067109</v>
      </c>
    </row>
    <row r="136" spans="1:9" ht="32">
      <c r="A136" s="67" t="s">
        <v>830</v>
      </c>
      <c r="B136" s="65">
        <f>B134*data_rawmat!B145</f>
        <v>34199875.545539983</v>
      </c>
      <c r="C136" s="43" t="s">
        <v>7</v>
      </c>
      <c r="D136" s="28"/>
      <c r="E136" s="28"/>
      <c r="F136" s="130">
        <v>276</v>
      </c>
      <c r="G136" s="34">
        <f>[23]Production!$CE$8</f>
        <v>0.11272189672069584</v>
      </c>
      <c r="H136" s="35">
        <f t="shared" si="14"/>
        <v>0.11590309975420936</v>
      </c>
      <c r="I136" s="66">
        <f t="shared" si="15"/>
        <v>316018.0077317899</v>
      </c>
    </row>
    <row r="137" spans="1:9">
      <c r="A137" s="30"/>
      <c r="B137" s="28"/>
      <c r="C137" s="28"/>
      <c r="D137" s="28"/>
      <c r="E137" s="28"/>
      <c r="F137" s="130">
        <v>381</v>
      </c>
      <c r="G137" s="34">
        <f>[23]Production!$DB$8</f>
        <v>2.1395842381908892E-2</v>
      </c>
      <c r="H137" s="35">
        <f t="shared" si="14"/>
        <v>2.1999669328314497E-2</v>
      </c>
      <c r="I137" s="66">
        <f t="shared" si="15"/>
        <v>59983.656059549168</v>
      </c>
    </row>
    <row r="138" spans="1:9">
      <c r="A138" s="30"/>
      <c r="B138" s="28"/>
      <c r="C138" s="28"/>
      <c r="D138" s="28"/>
      <c r="E138" s="28"/>
      <c r="F138" s="130">
        <v>392</v>
      </c>
      <c r="G138" s="34">
        <f>[23]Production!$DE$8</f>
        <v>1.9604332973660966E-2</v>
      </c>
      <c r="H138" s="35">
        <f t="shared" si="14"/>
        <v>2.0157600487251067E-2</v>
      </c>
      <c r="I138" s="66">
        <f t="shared" si="15"/>
        <v>54961.12494094955</v>
      </c>
    </row>
    <row r="139" spans="1:9">
      <c r="A139" s="30"/>
      <c r="B139" s="28"/>
      <c r="C139" s="28"/>
      <c r="D139" s="28"/>
      <c r="E139" s="28"/>
      <c r="F139" s="130">
        <v>410</v>
      </c>
      <c r="G139" s="34">
        <f>[23]Production!$DJ$8</f>
        <v>1.3056162497941819E-2</v>
      </c>
      <c r="H139" s="35">
        <f t="shared" si="14"/>
        <v>1.3424629538976555E-2</v>
      </c>
      <c r="I139" s="66">
        <f t="shared" si="15"/>
        <v>36603.20293798382</v>
      </c>
    </row>
    <row r="140" spans="1:9">
      <c r="A140" s="30"/>
      <c r="B140" s="28"/>
      <c r="C140" s="28"/>
      <c r="D140" s="28"/>
      <c r="E140" s="28"/>
      <c r="F140" s="130">
        <v>484</v>
      </c>
      <c r="G140" s="34">
        <f>[23]Production!$ED$8</f>
        <v>0.22303425813234451</v>
      </c>
      <c r="H140" s="35">
        <f t="shared" si="14"/>
        <v>0.22932866302783791</v>
      </c>
      <c r="I140" s="66">
        <f t="shared" si="15"/>
        <v>625280.83683301404</v>
      </c>
    </row>
    <row r="141" spans="1:9">
      <c r="A141" s="30"/>
      <c r="B141" s="28"/>
      <c r="C141" s="28"/>
      <c r="D141" s="28"/>
      <c r="E141" s="28"/>
      <c r="F141" s="130">
        <v>724</v>
      </c>
      <c r="G141" s="34">
        <f>[23]Production!$GS$8</f>
        <v>5.0349807235401084E-2</v>
      </c>
      <c r="H141" s="35">
        <f t="shared" si="14"/>
        <v>5.1770764158357747E-2</v>
      </c>
      <c r="I141" s="66">
        <f t="shared" si="15"/>
        <v>141156.65398743912</v>
      </c>
    </row>
    <row r="142" spans="1:9">
      <c r="A142" s="30"/>
      <c r="B142" s="28"/>
      <c r="C142" s="28"/>
      <c r="D142" s="28"/>
      <c r="E142" s="28"/>
      <c r="F142" s="130">
        <v>842</v>
      </c>
      <c r="G142" s="34">
        <f>[23]Production!$HT$8</f>
        <v>1.6352924715480943E-2</v>
      </c>
      <c r="H142" s="35">
        <f t="shared" si="14"/>
        <v>1.681443197560634E-2</v>
      </c>
      <c r="I142" s="66">
        <f t="shared" si="15"/>
        <v>45845.739288606375</v>
      </c>
    </row>
    <row r="143" spans="1:9">
      <c r="A143" s="39"/>
      <c r="B143" s="37"/>
      <c r="C143" s="37"/>
      <c r="D143" s="37"/>
      <c r="E143" s="37"/>
      <c r="F143" s="37" t="s">
        <v>27</v>
      </c>
      <c r="G143" s="40">
        <f>SUM(G134:G142)</f>
        <v>0.97255290807355665</v>
      </c>
      <c r="H143" s="37"/>
      <c r="I143" s="42"/>
    </row>
    <row r="145" spans="1:10">
      <c r="A145" s="84" t="s">
        <v>831</v>
      </c>
    </row>
    <row r="146" spans="1:10" ht="48">
      <c r="A146" s="60" t="s">
        <v>0</v>
      </c>
      <c r="B146" s="23" t="s">
        <v>1</v>
      </c>
      <c r="C146" s="23" t="s">
        <v>558</v>
      </c>
      <c r="D146" s="23" t="s">
        <v>3</v>
      </c>
      <c r="E146" s="23"/>
      <c r="F146" s="114" t="s">
        <v>929</v>
      </c>
      <c r="G146" s="114" t="s">
        <v>1120</v>
      </c>
      <c r="H146" s="114" t="s">
        <v>429</v>
      </c>
      <c r="I146" s="115" t="s">
        <v>527</v>
      </c>
    </row>
    <row r="147" spans="1:10" ht="48">
      <c r="A147" s="67" t="s">
        <v>832</v>
      </c>
      <c r="B147" s="82">
        <f>'[1]Weight%'!$B$186</f>
        <v>0.66999999999999993</v>
      </c>
      <c r="C147" s="28" t="s">
        <v>33</v>
      </c>
      <c r="D147" s="32" t="s">
        <v>208</v>
      </c>
      <c r="E147" s="28"/>
      <c r="F147" s="130">
        <v>76</v>
      </c>
      <c r="G147" s="178">
        <v>20000000</v>
      </c>
      <c r="H147" s="179">
        <f t="shared" ref="H147:H152" si="16">G147/$G$153</f>
        <v>2.1146231477222867E-2</v>
      </c>
      <c r="I147" s="180">
        <f t="shared" ref="I147:I152" si="17">H147*$B$148</f>
        <v>22467530.201488003</v>
      </c>
      <c r="J147" s="11"/>
    </row>
    <row r="148" spans="1:10" ht="32">
      <c r="A148" s="67" t="s">
        <v>833</v>
      </c>
      <c r="B148" s="65">
        <f>B147*data_rawmat!B185</f>
        <v>1062483886.3458172</v>
      </c>
      <c r="C148" s="43" t="s">
        <v>7</v>
      </c>
      <c r="D148" s="28"/>
      <c r="E148" s="28"/>
      <c r="F148" s="130">
        <v>156</v>
      </c>
      <c r="G148" s="173">
        <v>858000000</v>
      </c>
      <c r="H148" s="179">
        <f t="shared" si="16"/>
        <v>0.90717333037286096</v>
      </c>
      <c r="I148" s="180">
        <f t="shared" si="17"/>
        <v>963857045.64383531</v>
      </c>
      <c r="J148" s="11"/>
    </row>
    <row r="149" spans="1:10" ht="32">
      <c r="A149" s="67" t="s">
        <v>834</v>
      </c>
      <c r="B149" s="65">
        <f>B147*data_rawmat!B190</f>
        <v>12481526666.699549</v>
      </c>
      <c r="C149" s="43" t="s">
        <v>7</v>
      </c>
      <c r="D149" s="28"/>
      <c r="E149" s="28"/>
      <c r="F149" s="130">
        <v>376</v>
      </c>
      <c r="G149" s="173">
        <v>18500000</v>
      </c>
      <c r="H149" s="179">
        <f t="shared" si="16"/>
        <v>1.956026411643115E-2</v>
      </c>
      <c r="I149" s="180">
        <f t="shared" si="17"/>
        <v>20782465.4363764</v>
      </c>
      <c r="J149" s="11"/>
    </row>
    <row r="150" spans="1:10">
      <c r="A150" s="30"/>
      <c r="B150" s="28"/>
      <c r="C150" s="28"/>
      <c r="D150" s="28"/>
      <c r="E150" s="28"/>
      <c r="F150" s="130">
        <v>643</v>
      </c>
      <c r="G150" s="173">
        <v>12795000</v>
      </c>
      <c r="H150" s="179">
        <f t="shared" si="16"/>
        <v>1.3528301587553328E-2</v>
      </c>
      <c r="I150" s="180">
        <f t="shared" si="17"/>
        <v>14373602.44640195</v>
      </c>
      <c r="J150" s="11"/>
    </row>
    <row r="151" spans="1:10">
      <c r="A151" s="30"/>
      <c r="B151" s="28"/>
      <c r="C151" s="28"/>
      <c r="D151" s="28"/>
      <c r="E151" s="28"/>
      <c r="F151" s="130">
        <v>792</v>
      </c>
      <c r="G151" s="173">
        <v>4500000</v>
      </c>
      <c r="H151" s="179">
        <f t="shared" si="16"/>
        <v>4.7579020823751445E-3</v>
      </c>
      <c r="I151" s="180">
        <f t="shared" si="17"/>
        <v>5055194.2953348001</v>
      </c>
      <c r="J151" s="11"/>
    </row>
    <row r="152" spans="1:10">
      <c r="A152" s="30"/>
      <c r="B152" s="28"/>
      <c r="C152" s="28"/>
      <c r="D152" s="28"/>
      <c r="E152" s="28"/>
      <c r="F152" s="130">
        <v>842</v>
      </c>
      <c r="G152" s="173">
        <v>32000000</v>
      </c>
      <c r="H152" s="179">
        <f t="shared" si="16"/>
        <v>3.3833970363556586E-2</v>
      </c>
      <c r="I152" s="180">
        <f t="shared" si="17"/>
        <v>35948048.322380804</v>
      </c>
      <c r="J152" s="11"/>
    </row>
    <row r="153" spans="1:10">
      <c r="A153" s="39"/>
      <c r="B153" s="37"/>
      <c r="C153" s="37"/>
      <c r="D153" s="37"/>
      <c r="E153" s="37"/>
      <c r="F153" s="137" t="s">
        <v>27</v>
      </c>
      <c r="G153" s="181">
        <f>SUM(G147:G152)</f>
        <v>945795000</v>
      </c>
      <c r="H153" s="182"/>
      <c r="I153" s="177"/>
    </row>
    <row r="155" spans="1:10">
      <c r="A155" s="84" t="s">
        <v>835</v>
      </c>
    </row>
    <row r="156" spans="1:10" ht="32">
      <c r="A156" s="60" t="s">
        <v>0</v>
      </c>
      <c r="B156" s="23" t="s">
        <v>1</v>
      </c>
      <c r="C156" s="23" t="s">
        <v>558</v>
      </c>
      <c r="D156" s="23" t="s">
        <v>3</v>
      </c>
      <c r="E156" s="23"/>
      <c r="F156" s="114" t="s">
        <v>631</v>
      </c>
      <c r="G156" s="114" t="s">
        <v>424</v>
      </c>
      <c r="H156" s="114" t="s">
        <v>429</v>
      </c>
      <c r="I156" s="115" t="s">
        <v>527</v>
      </c>
    </row>
    <row r="157" spans="1:10" ht="48">
      <c r="A157" s="67" t="s">
        <v>836</v>
      </c>
      <c r="B157" s="82">
        <f>'[1]Weight%'!$B$187</f>
        <v>0.33</v>
      </c>
      <c r="C157" s="28" t="s">
        <v>33</v>
      </c>
      <c r="D157" s="32" t="s">
        <v>208</v>
      </c>
      <c r="E157" s="28"/>
      <c r="F157" s="130">
        <v>40</v>
      </c>
      <c r="G157" s="34">
        <f>[26]Production!$M$11</f>
        <v>4.3291342081859814E-2</v>
      </c>
      <c r="H157" s="35">
        <f>G157/$G$172</f>
        <v>4.8204987735168972E-2</v>
      </c>
      <c r="I157" s="144">
        <f>H157*$B$158</f>
        <v>25226294.767668478</v>
      </c>
    </row>
    <row r="158" spans="1:10" ht="32">
      <c r="A158" s="67" t="s">
        <v>837</v>
      </c>
      <c r="B158" s="65">
        <f>B157*data_rawmat!B185</f>
        <v>523312958.94644737</v>
      </c>
      <c r="C158" s="43" t="s">
        <v>7</v>
      </c>
      <c r="D158" s="28"/>
      <c r="E158" s="28"/>
      <c r="F158" s="130">
        <v>124</v>
      </c>
      <c r="G158" s="34">
        <f>[26]Production!$AM$11</f>
        <v>0.12172224382110139</v>
      </c>
      <c r="H158" s="35">
        <f t="shared" ref="H158:H171" si="18">G158/$G$172</f>
        <v>0.13553793872683201</v>
      </c>
      <c r="I158" s="144">
        <f t="shared" ref="I158:I171" si="19">H158*$B$158</f>
        <v>70928759.764640734</v>
      </c>
    </row>
    <row r="159" spans="1:10" ht="32">
      <c r="A159" s="67" t="s">
        <v>838</v>
      </c>
      <c r="B159" s="28">
        <f>B157*data_rawmat!B190</f>
        <v>6147617611.9564953</v>
      </c>
      <c r="C159" s="43" t="s">
        <v>7</v>
      </c>
      <c r="D159" s="28"/>
      <c r="E159" s="28"/>
      <c r="F159" s="130">
        <v>156</v>
      </c>
      <c r="G159" s="34">
        <f>[26]Production!$AT$11</f>
        <v>7.7634986013017437E-2</v>
      </c>
      <c r="H159" s="35">
        <f t="shared" si="18"/>
        <v>8.6446697390462277E-2</v>
      </c>
      <c r="I159" s="144">
        <f t="shared" si="19"/>
        <v>45238677.002550945</v>
      </c>
    </row>
    <row r="160" spans="1:10">
      <c r="A160" s="30"/>
      <c r="B160" s="28"/>
      <c r="C160" s="28"/>
      <c r="D160" s="28"/>
      <c r="E160" s="28"/>
      <c r="F160" s="130">
        <v>276</v>
      </c>
      <c r="G160" s="34">
        <f>[26]Production!$CE$11</f>
        <v>7.1219089463745874E-2</v>
      </c>
      <c r="H160" s="35">
        <f t="shared" si="18"/>
        <v>7.9302584974567825E-2</v>
      </c>
      <c r="I160" s="144">
        <f t="shared" si="19"/>
        <v>41500070.395143166</v>
      </c>
    </row>
    <row r="161" spans="1:9">
      <c r="A161" s="30"/>
      <c r="B161" s="28"/>
      <c r="C161" s="28"/>
      <c r="D161" s="28"/>
      <c r="E161" s="28"/>
      <c r="F161" s="130">
        <v>381</v>
      </c>
      <c r="G161" s="34">
        <f>[26]Production!$DB$11</f>
        <v>1.791939423076409E-2</v>
      </c>
      <c r="H161" s="35">
        <f t="shared" si="18"/>
        <v>1.9953277897512833E-2</v>
      </c>
      <c r="I161" s="144">
        <f t="shared" si="19"/>
        <v>10441808.897228189</v>
      </c>
    </row>
    <row r="162" spans="1:9">
      <c r="A162" s="30"/>
      <c r="B162" s="28"/>
      <c r="C162" s="28"/>
      <c r="D162" s="28"/>
      <c r="E162" s="28"/>
      <c r="F162" s="130">
        <v>410</v>
      </c>
      <c r="G162" s="34">
        <f>[26]Production!$DJ$11</f>
        <v>1.0279322528427184E-2</v>
      </c>
      <c r="H162" s="35">
        <f t="shared" si="18"/>
        <v>1.1446044233780222E-2</v>
      </c>
      <c r="I162" s="144">
        <f t="shared" si="19"/>
        <v>5989863.2762114499</v>
      </c>
    </row>
    <row r="163" spans="1:9">
      <c r="A163" s="30"/>
      <c r="B163" s="28"/>
      <c r="C163" s="28"/>
      <c r="D163" s="28"/>
      <c r="E163" s="28"/>
      <c r="F163" s="130">
        <v>484</v>
      </c>
      <c r="G163" s="34">
        <f>[26]Production!$ED$11</f>
        <v>5.7595177525852255E-2</v>
      </c>
      <c r="H163" s="35">
        <f t="shared" si="18"/>
        <v>6.4132334381981668E-2</v>
      </c>
      <c r="I163" s="144">
        <f t="shared" si="19"/>
        <v>33561281.669577807</v>
      </c>
    </row>
    <row r="164" spans="1:9">
      <c r="A164" s="30"/>
      <c r="B164" s="28"/>
      <c r="C164" s="28"/>
      <c r="D164" s="28"/>
      <c r="E164" s="28"/>
      <c r="F164" s="130">
        <v>528</v>
      </c>
      <c r="G164" s="34">
        <f>[26]Production!$EO$11</f>
        <v>1.7202210429887808E-2</v>
      </c>
      <c r="H164" s="35">
        <f t="shared" si="18"/>
        <v>1.9154692437636563E-2</v>
      </c>
      <c r="I164" s="144">
        <f t="shared" si="19"/>
        <v>10023898.777248729</v>
      </c>
    </row>
    <row r="165" spans="1:9">
      <c r="A165" s="30"/>
      <c r="B165" s="28"/>
      <c r="C165" s="28"/>
      <c r="D165" s="28"/>
      <c r="E165" s="28"/>
      <c r="F165" s="130">
        <v>554</v>
      </c>
      <c r="G165" s="34">
        <f>[26]Production!$EV$11</f>
        <v>0.35071243769228422</v>
      </c>
      <c r="H165" s="35">
        <f t="shared" si="18"/>
        <v>0.39051893391431403</v>
      </c>
      <c r="I165" s="144">
        <f t="shared" si="19"/>
        <v>204363618.83131182</v>
      </c>
    </row>
    <row r="166" spans="1:9">
      <c r="A166" s="30"/>
      <c r="B166" s="28"/>
      <c r="C166" s="28"/>
      <c r="D166" s="28"/>
      <c r="E166" s="28"/>
      <c r="F166" s="130">
        <v>616</v>
      </c>
      <c r="G166" s="34">
        <f>[26]Production!$FO$11</f>
        <v>2.3496539752603407E-2</v>
      </c>
      <c r="H166" s="35">
        <f t="shared" si="18"/>
        <v>2.6163439526809384E-2</v>
      </c>
      <c r="I166" s="144">
        <f t="shared" si="19"/>
        <v>13691666.954991058</v>
      </c>
    </row>
    <row r="167" spans="1:9">
      <c r="A167" s="30"/>
      <c r="B167" s="28"/>
      <c r="C167" s="28"/>
      <c r="D167" s="28"/>
      <c r="E167" s="28"/>
      <c r="F167" s="130">
        <v>642</v>
      </c>
      <c r="G167" s="34">
        <f>[26]Production!$FT$11</f>
        <v>1.0691351600815635E-2</v>
      </c>
      <c r="H167" s="35">
        <f t="shared" si="18"/>
        <v>1.1904839351368893E-2</v>
      </c>
      <c r="I167" s="144">
        <f t="shared" si="19"/>
        <v>6229956.7067469601</v>
      </c>
    </row>
    <row r="168" spans="1:9">
      <c r="A168" s="30"/>
      <c r="B168" s="28"/>
      <c r="C168" s="28"/>
      <c r="D168" s="28"/>
      <c r="E168" s="28"/>
      <c r="F168" s="130">
        <v>699</v>
      </c>
      <c r="G168" s="34">
        <f>[26]Production!$GK$11</f>
        <v>1.3811430019898896E-2</v>
      </c>
      <c r="H168" s="35">
        <f t="shared" si="18"/>
        <v>1.5379052316175472E-2</v>
      </c>
      <c r="I168" s="144">
        <f t="shared" si="19"/>
        <v>8048057.3733700011</v>
      </c>
    </row>
    <row r="169" spans="1:9">
      <c r="A169" s="30"/>
      <c r="B169" s="28"/>
      <c r="C169" s="28"/>
      <c r="D169" s="28"/>
      <c r="E169" s="28"/>
      <c r="F169" s="130">
        <v>724</v>
      </c>
      <c r="G169" s="34">
        <f>[26]Production!$GS$11</f>
        <v>2.6161205655971031E-2</v>
      </c>
      <c r="H169" s="35">
        <f t="shared" si="18"/>
        <v>2.9130549831388811E-2</v>
      </c>
      <c r="I169" s="144">
        <f t="shared" si="19"/>
        <v>15244394.228001012</v>
      </c>
    </row>
    <row r="170" spans="1:9">
      <c r="A170" s="30"/>
      <c r="B170" s="28"/>
      <c r="C170" s="28"/>
      <c r="D170" s="28"/>
      <c r="E170" s="28"/>
      <c r="F170" s="130">
        <v>757</v>
      </c>
      <c r="G170" s="34">
        <f>[26]Production!$GZ$11</f>
        <v>3.014745557776051E-2</v>
      </c>
      <c r="H170" s="35">
        <f t="shared" si="18"/>
        <v>3.3569246331622719E-2</v>
      </c>
      <c r="I170" s="144">
        <f t="shared" si="19"/>
        <v>17567221.627403658</v>
      </c>
    </row>
    <row r="171" spans="1:9">
      <c r="A171" s="30"/>
      <c r="B171" s="28"/>
      <c r="C171" s="28"/>
      <c r="D171" s="28"/>
      <c r="E171" s="28"/>
      <c r="F171" s="130">
        <v>842</v>
      </c>
      <c r="G171" s="34">
        <f>[26]Production!$HT$11</f>
        <v>2.6183505681693604E-2</v>
      </c>
      <c r="H171" s="35">
        <f t="shared" si="18"/>
        <v>2.915538095037833E-2</v>
      </c>
      <c r="I171" s="144">
        <f t="shared" si="19"/>
        <v>15257388.674353369</v>
      </c>
    </row>
    <row r="172" spans="1:9">
      <c r="A172" s="39"/>
      <c r="B172" s="37"/>
      <c r="C172" s="37"/>
      <c r="D172" s="37"/>
      <c r="E172" s="37"/>
      <c r="F172" s="37" t="s">
        <v>27</v>
      </c>
      <c r="G172" s="40">
        <f>SUM(G157:G171)</f>
        <v>0.89806769207568315</v>
      </c>
      <c r="H172" s="37"/>
      <c r="I172" s="42"/>
    </row>
    <row r="174" spans="1:9">
      <c r="A174" s="84" t="s">
        <v>839</v>
      </c>
    </row>
    <row r="175" spans="1:9" ht="32">
      <c r="A175" s="60" t="s">
        <v>0</v>
      </c>
      <c r="B175" s="23" t="s">
        <v>1</v>
      </c>
      <c r="C175" s="23" t="s">
        <v>558</v>
      </c>
      <c r="D175" s="23" t="s">
        <v>3</v>
      </c>
      <c r="E175" s="23"/>
      <c r="F175" s="114" t="s">
        <v>631</v>
      </c>
      <c r="G175" s="114" t="s">
        <v>424</v>
      </c>
      <c r="H175" s="114" t="s">
        <v>429</v>
      </c>
      <c r="I175" s="115" t="s">
        <v>527</v>
      </c>
    </row>
    <row r="176" spans="1:9" ht="48">
      <c r="A176" s="67" t="s">
        <v>840</v>
      </c>
      <c r="B176" s="82">
        <f>'[1]Weight%'!$B$188</f>
        <v>0.2</v>
      </c>
      <c r="C176" s="28" t="s">
        <v>33</v>
      </c>
      <c r="D176" s="32" t="s">
        <v>208</v>
      </c>
      <c r="E176" s="28"/>
      <c r="F176" s="130">
        <v>40</v>
      </c>
      <c r="G176" s="34">
        <f>[31]Production!$M$6</f>
        <v>1.8249132279213265E-2</v>
      </c>
      <c r="H176" s="35">
        <f>G176/$G$192</f>
        <v>1.9484075515203918E-2</v>
      </c>
      <c r="I176" s="66">
        <f>H176*$B$177</f>
        <v>70986.123322835731</v>
      </c>
    </row>
    <row r="177" spans="1:9" ht="32">
      <c r="A177" s="67" t="s">
        <v>841</v>
      </c>
      <c r="B177" s="65">
        <f>B176*data_rawmat!B306</f>
        <v>3643289.2732038256</v>
      </c>
      <c r="C177" s="43" t="s">
        <v>7</v>
      </c>
      <c r="D177" s="28"/>
      <c r="E177" s="28"/>
      <c r="F177" s="130">
        <v>156</v>
      </c>
      <c r="G177" s="34">
        <f>[31]Production!$AT$6</f>
        <v>0.14236887774778248</v>
      </c>
      <c r="H177" s="35">
        <f t="shared" ref="H177:H191" si="20">G177/$G$192</f>
        <v>0.15200317048566075</v>
      </c>
      <c r="I177" s="66">
        <f t="shared" ref="I177:I191" si="21">H177*$B$177</f>
        <v>553791.52052338014</v>
      </c>
    </row>
    <row r="178" spans="1:9" ht="32">
      <c r="A178" s="67" t="s">
        <v>842</v>
      </c>
      <c r="B178" s="65">
        <f>B176*data_rawmat!B307</f>
        <v>44761694.513081126</v>
      </c>
      <c r="C178" s="43" t="s">
        <v>7</v>
      </c>
      <c r="D178" s="28"/>
      <c r="E178" s="28"/>
      <c r="F178" s="130">
        <v>222</v>
      </c>
      <c r="G178" s="34">
        <f>[31]Production!$BM$6</f>
        <v>4.5196683378326261E-2</v>
      </c>
      <c r="H178" s="35">
        <f t="shared" si="20"/>
        <v>4.8255203508121791E-2</v>
      </c>
      <c r="I178" s="66">
        <f t="shared" si="21"/>
        <v>175807.66531740772</v>
      </c>
    </row>
    <row r="179" spans="1:9">
      <c r="A179" s="30"/>
      <c r="B179" s="28"/>
      <c r="C179" s="28"/>
      <c r="D179" s="28"/>
      <c r="E179" s="28"/>
      <c r="F179" s="130">
        <v>233</v>
      </c>
      <c r="G179" s="34">
        <f>[31]Production!$BQ$6</f>
        <v>3.4650019282684151E-2</v>
      </c>
      <c r="H179" s="35">
        <f t="shared" si="20"/>
        <v>3.6994832520124352E-2</v>
      </c>
      <c r="I179" s="66">
        <f t="shared" si="21"/>
        <v>134782.87648454111</v>
      </c>
    </row>
    <row r="180" spans="1:9">
      <c r="A180" s="30"/>
      <c r="B180" s="28"/>
      <c r="C180" s="28"/>
      <c r="D180" s="28"/>
      <c r="E180" s="28"/>
      <c r="F180" s="130">
        <v>251</v>
      </c>
      <c r="G180" s="34">
        <f>[31]Production!$BW$6</f>
        <v>3.8905707674508294E-2</v>
      </c>
      <c r="H180" s="35">
        <f t="shared" si="20"/>
        <v>4.153850904823668E-2</v>
      </c>
      <c r="I180" s="66">
        <f t="shared" si="21"/>
        <v>151336.80444032073</v>
      </c>
    </row>
    <row r="181" spans="1:9">
      <c r="A181" s="30"/>
      <c r="B181" s="28"/>
      <c r="C181" s="28"/>
      <c r="D181" s="28"/>
      <c r="E181" s="28"/>
      <c r="F181" s="130">
        <v>276</v>
      </c>
      <c r="G181" s="34">
        <f>[31]Production!$CE$6</f>
        <v>1.7182799845738526E-2</v>
      </c>
      <c r="H181" s="35">
        <f t="shared" si="20"/>
        <v>1.8345582937022625E-2</v>
      </c>
      <c r="I181" s="66">
        <f t="shared" si="21"/>
        <v>66838.265525125666</v>
      </c>
    </row>
    <row r="182" spans="1:9">
      <c r="A182" s="30"/>
      <c r="B182" s="28"/>
      <c r="C182" s="28"/>
      <c r="D182" s="28"/>
      <c r="E182" s="28"/>
      <c r="F182" s="130">
        <v>360</v>
      </c>
      <c r="G182" s="34">
        <f>[31]Production!$CW$6</f>
        <v>0.19502506748939452</v>
      </c>
      <c r="H182" s="35">
        <f t="shared" si="20"/>
        <v>0.20822267514874518</v>
      </c>
      <c r="I182" s="66">
        <f t="shared" si="21"/>
        <v>758615.43880722811</v>
      </c>
    </row>
    <row r="183" spans="1:9">
      <c r="A183" s="30"/>
      <c r="B183" s="28"/>
      <c r="C183" s="28"/>
      <c r="D183" s="28"/>
      <c r="E183" s="28"/>
      <c r="F183" s="130">
        <v>392</v>
      </c>
      <c r="G183" s="34">
        <f>[31]Production!$DE$6</f>
        <v>0.10396644812957964</v>
      </c>
      <c r="H183" s="35">
        <f t="shared" si="20"/>
        <v>0.1110019969942149</v>
      </c>
      <c r="I183" s="66">
        <f t="shared" si="21"/>
        <v>404412.38495322643</v>
      </c>
    </row>
    <row r="184" spans="1:9">
      <c r="A184" s="30"/>
      <c r="B184" s="28"/>
      <c r="C184" s="28"/>
      <c r="D184" s="28"/>
      <c r="E184" s="28"/>
      <c r="F184" s="130">
        <v>410</v>
      </c>
      <c r="G184" s="34">
        <f>[31]Production!$DJ$6</f>
        <v>5.8174893945237179E-2</v>
      </c>
      <c r="H184" s="35">
        <f t="shared" si="20"/>
        <v>6.2111666975480206E-2</v>
      </c>
      <c r="I184" s="66">
        <f t="shared" si="21"/>
        <v>226290.77003257532</v>
      </c>
    </row>
    <row r="185" spans="1:9">
      <c r="A185" s="30"/>
      <c r="B185" s="28"/>
      <c r="C185" s="28"/>
      <c r="D185" s="28"/>
      <c r="E185" s="28"/>
      <c r="F185" s="130">
        <v>458</v>
      </c>
      <c r="G185" s="34">
        <f>[31]Production!$DX$6</f>
        <v>2.8593328191284226E-2</v>
      </c>
      <c r="H185" s="35">
        <f t="shared" si="20"/>
        <v>3.0528277026331499E-2</v>
      </c>
      <c r="I185" s="66">
        <f t="shared" si="21"/>
        <v>111223.34421942833</v>
      </c>
    </row>
    <row r="186" spans="1:9">
      <c r="A186" s="30"/>
      <c r="B186" s="28"/>
      <c r="C186" s="28"/>
      <c r="D186" s="28"/>
      <c r="E186" s="28"/>
      <c r="F186" s="130">
        <v>484</v>
      </c>
      <c r="G186" s="34">
        <f>[31]Production!$ED$6</f>
        <v>3.8632857693790976E-2</v>
      </c>
      <c r="H186" s="35">
        <f t="shared" si="20"/>
        <v>4.1247194943693E-2</v>
      </c>
      <c r="I186" s="66">
        <f t="shared" si="21"/>
        <v>150275.46288810376</v>
      </c>
    </row>
    <row r="187" spans="1:9">
      <c r="A187" s="30"/>
      <c r="B187" s="28"/>
      <c r="C187" s="28"/>
      <c r="D187" s="28"/>
      <c r="E187" s="28"/>
      <c r="F187" s="130">
        <v>512</v>
      </c>
      <c r="G187" s="34">
        <f>[31]Production!$EK$6</f>
        <v>1.591785576552256E-2</v>
      </c>
      <c r="H187" s="35">
        <f t="shared" si="20"/>
        <v>1.6995038395816606E-2</v>
      </c>
      <c r="I187" s="66">
        <f t="shared" si="21"/>
        <v>61917.84108516579</v>
      </c>
    </row>
    <row r="188" spans="1:9">
      <c r="A188" s="30"/>
      <c r="B188" s="28"/>
      <c r="C188" s="28"/>
      <c r="D188" s="28"/>
      <c r="E188" s="28"/>
      <c r="F188" s="130">
        <v>528</v>
      </c>
      <c r="G188" s="34">
        <f>[31]Production!$EO$6</f>
        <v>1.6035480138835326E-2</v>
      </c>
      <c r="H188" s="35">
        <f t="shared" si="20"/>
        <v>1.7120622568093387E-2</v>
      </c>
      <c r="I188" s="66">
        <f t="shared" si="21"/>
        <v>62375.380552905968</v>
      </c>
    </row>
    <row r="189" spans="1:9">
      <c r="A189" s="30"/>
      <c r="B189" s="28"/>
      <c r="C189" s="28"/>
      <c r="D189" s="28"/>
      <c r="E189" s="28"/>
      <c r="F189" s="130">
        <v>764</v>
      </c>
      <c r="G189" s="34">
        <f>[31]Production!$HC$6</f>
        <v>3.3229849595063636E-2</v>
      </c>
      <c r="H189" s="35">
        <f t="shared" si="20"/>
        <v>3.5478558046651433E-2</v>
      </c>
      <c r="I189" s="66">
        <f t="shared" si="21"/>
        <v>129258.64996010443</v>
      </c>
    </row>
    <row r="190" spans="1:9">
      <c r="A190" s="30"/>
      <c r="B190" s="28"/>
      <c r="C190" s="28"/>
      <c r="D190" s="28"/>
      <c r="E190" s="28"/>
      <c r="F190" s="130">
        <v>826</v>
      </c>
      <c r="G190" s="34">
        <f>[31]Production!$HR$6</f>
        <v>1.6264944080215966E-2</v>
      </c>
      <c r="H190" s="35">
        <f t="shared" si="20"/>
        <v>1.7365614641879232E-2</v>
      </c>
      <c r="I190" s="66">
        <f t="shared" si="21"/>
        <v>63267.957547349899</v>
      </c>
    </row>
    <row r="191" spans="1:9">
      <c r="A191" s="30"/>
      <c r="B191" s="28"/>
      <c r="C191" s="28"/>
      <c r="D191" s="28"/>
      <c r="E191" s="28"/>
      <c r="F191" s="130">
        <v>842</v>
      </c>
      <c r="G191" s="34">
        <f>[31]Production!$HT$6</f>
        <v>0.13422387196297725</v>
      </c>
      <c r="H191" s="35">
        <f t="shared" si="20"/>
        <v>0.14330698124472444</v>
      </c>
      <c r="I191" s="66">
        <f t="shared" si="21"/>
        <v>522108.78754412633</v>
      </c>
    </row>
    <row r="192" spans="1:9">
      <c r="A192" s="39"/>
      <c r="B192" s="37"/>
      <c r="C192" s="37"/>
      <c r="D192" s="37"/>
      <c r="E192" s="37"/>
      <c r="F192" s="37" t="s">
        <v>27</v>
      </c>
      <c r="G192" s="40">
        <f>SUM(G176:G191)</f>
        <v>0.93661781720015425</v>
      </c>
      <c r="H192" s="37"/>
      <c r="I192" s="42"/>
    </row>
    <row r="194" spans="1:9">
      <c r="A194" s="84" t="s">
        <v>843</v>
      </c>
    </row>
    <row r="195" spans="1:9" ht="32">
      <c r="A195" s="60" t="s">
        <v>0</v>
      </c>
      <c r="B195" s="23" t="s">
        <v>1</v>
      </c>
      <c r="C195" s="23" t="s">
        <v>558</v>
      </c>
      <c r="D195" s="23" t="s">
        <v>3</v>
      </c>
      <c r="E195" s="23"/>
      <c r="F195" s="114" t="s">
        <v>631</v>
      </c>
      <c r="G195" s="114" t="s">
        <v>424</v>
      </c>
      <c r="H195" s="114" t="s">
        <v>429</v>
      </c>
      <c r="I195" s="115" t="s">
        <v>527</v>
      </c>
    </row>
    <row r="196" spans="1:9" ht="32">
      <c r="A196" s="67" t="s">
        <v>844</v>
      </c>
      <c r="B196" s="82">
        <f>'[1]Weight%'!$B$189</f>
        <v>0.48</v>
      </c>
      <c r="C196" s="28" t="s">
        <v>33</v>
      </c>
      <c r="D196" s="171" t="s">
        <v>208</v>
      </c>
      <c r="E196" s="28"/>
      <c r="F196" s="130">
        <v>36</v>
      </c>
      <c r="G196" s="34">
        <f>[32]Production!$L$6</f>
        <v>1.2457546172480056E-2</v>
      </c>
      <c r="H196" s="35">
        <f>G196/$G$211</f>
        <v>1.3418068196185124E-2</v>
      </c>
      <c r="I196" s="66">
        <f>H196*$B$200</f>
        <v>102784733.09123912</v>
      </c>
    </row>
    <row r="197" spans="1:9" ht="32">
      <c r="A197" s="67" t="s">
        <v>847</v>
      </c>
      <c r="B197" s="82">
        <f>'[1]Weight%'!$B$190</f>
        <v>0.03</v>
      </c>
      <c r="C197" s="28" t="s">
        <v>33</v>
      </c>
      <c r="D197" s="171"/>
      <c r="E197" s="28"/>
      <c r="F197" s="130">
        <v>56</v>
      </c>
      <c r="G197" s="34">
        <f>[32]Production!$S$6</f>
        <v>2.8764036922467262E-2</v>
      </c>
      <c r="H197" s="35">
        <f t="shared" ref="H197:H210" si="22">G197/$G$211</f>
        <v>3.0981848566282767E-2</v>
      </c>
      <c r="I197" s="66">
        <f t="shared" ref="I197:I210" si="23">H197*$B$200</f>
        <v>237326341.54176787</v>
      </c>
    </row>
    <row r="198" spans="1:9" ht="32">
      <c r="A198" s="67" t="s">
        <v>845</v>
      </c>
      <c r="B198" s="65">
        <f>B196*data_rawmat!B329</f>
        <v>7371329412.2682657</v>
      </c>
      <c r="C198" s="43" t="s">
        <v>7</v>
      </c>
      <c r="D198" s="28"/>
      <c r="E198" s="28"/>
      <c r="F198" s="130">
        <v>124</v>
      </c>
      <c r="G198" s="34">
        <f>[32]Production!$AM$6</f>
        <v>2.5129739846842608E-2</v>
      </c>
      <c r="H198" s="35">
        <f t="shared" si="22"/>
        <v>2.7067333995696226E-2</v>
      </c>
      <c r="I198" s="66">
        <f t="shared" si="23"/>
        <v>207340479.98280692</v>
      </c>
    </row>
    <row r="199" spans="1:9" ht="32">
      <c r="A199" s="67" t="s">
        <v>848</v>
      </c>
      <c r="B199" s="65">
        <f>B197*data_2tier!B172</f>
        <v>288844286.98761827</v>
      </c>
      <c r="C199" s="43" t="s">
        <v>7</v>
      </c>
      <c r="D199" s="28"/>
      <c r="E199" s="28"/>
      <c r="F199" s="130">
        <v>156</v>
      </c>
      <c r="G199" s="34">
        <f>[32]Production!$AT$6</f>
        <v>0.41862088881756837</v>
      </c>
      <c r="H199" s="35">
        <f t="shared" si="22"/>
        <v>0.45089807870112114</v>
      </c>
      <c r="I199" s="66">
        <f t="shared" si="23"/>
        <v>3453957603.5113378</v>
      </c>
    </row>
    <row r="200" spans="1:9" ht="32">
      <c r="A200" s="67" t="s">
        <v>849</v>
      </c>
      <c r="B200" s="65">
        <f>SUM(B198:B199)</f>
        <v>7660173699.2558842</v>
      </c>
      <c r="C200" s="43" t="s">
        <v>7</v>
      </c>
      <c r="D200" s="28"/>
      <c r="E200" s="28"/>
      <c r="F200" s="130">
        <v>203</v>
      </c>
      <c r="G200" s="34">
        <f>[32]Production!$BG$6</f>
        <v>2.1058293097808135E-2</v>
      </c>
      <c r="H200" s="35">
        <f t="shared" si="22"/>
        <v>2.2681963925275304E-2</v>
      </c>
      <c r="I200" s="66">
        <f t="shared" si="23"/>
        <v>173747783.50786462</v>
      </c>
    </row>
    <row r="201" spans="1:9" ht="32">
      <c r="A201" s="67" t="s">
        <v>846</v>
      </c>
      <c r="B201" s="65">
        <f>B196*data_rawmat!B334</f>
        <v>90322995407.914703</v>
      </c>
      <c r="C201" s="43" t="s">
        <v>7</v>
      </c>
      <c r="D201" s="28"/>
      <c r="E201" s="28"/>
      <c r="F201" s="130">
        <v>251</v>
      </c>
      <c r="G201" s="34">
        <f>[32]Production!$BW$6</f>
        <v>7.8600070493052537E-2</v>
      </c>
      <c r="H201" s="35">
        <f t="shared" si="22"/>
        <v>8.4660421201615696E-2</v>
      </c>
      <c r="I201" s="66">
        <f t="shared" si="23"/>
        <v>648513531.85654175</v>
      </c>
    </row>
    <row r="202" spans="1:9" ht="32">
      <c r="A202" s="67" t="s">
        <v>850</v>
      </c>
      <c r="B202" s="65">
        <f>B197*data_2tier!B181</f>
        <v>3548760135.8150992</v>
      </c>
      <c r="C202" s="43" t="s">
        <v>7</v>
      </c>
      <c r="D202" s="28"/>
      <c r="E202" s="28"/>
      <c r="F202" s="130">
        <v>276</v>
      </c>
      <c r="G202" s="34">
        <f>[32]Production!$CE$6</f>
        <v>0.10481710441847793</v>
      </c>
      <c r="H202" s="35">
        <f t="shared" si="22"/>
        <v>0.1128988835956125</v>
      </c>
      <c r="I202" s="66">
        <f t="shared" si="23"/>
        <v>864825058.79446244</v>
      </c>
    </row>
    <row r="203" spans="1:9" ht="32">
      <c r="A203" s="67" t="s">
        <v>851</v>
      </c>
      <c r="B203" s="65">
        <f>SUM(B201:B202)</f>
        <v>93871755543.729797</v>
      </c>
      <c r="C203" s="43" t="s">
        <v>7</v>
      </c>
      <c r="D203" s="28"/>
      <c r="E203" s="28"/>
      <c r="F203" s="130">
        <v>392</v>
      </c>
      <c r="G203" s="34">
        <f>[32]Production!$DE$6</f>
        <v>4.1096389769985184E-2</v>
      </c>
      <c r="H203" s="35">
        <f t="shared" si="22"/>
        <v>4.4265070577770613E-2</v>
      </c>
      <c r="I203" s="66">
        <f t="shared" si="23"/>
        <v>339078129.43554389</v>
      </c>
    </row>
    <row r="204" spans="1:9">
      <c r="A204" s="30"/>
      <c r="B204" s="28"/>
      <c r="C204" s="28"/>
      <c r="D204" s="28"/>
      <c r="E204" s="28"/>
      <c r="F204" s="130">
        <v>410</v>
      </c>
      <c r="G204" s="34">
        <f>[32]Production!$DJ$6</f>
        <v>7.625076206943604E-2</v>
      </c>
      <c r="H204" s="35">
        <f t="shared" si="22"/>
        <v>8.2129972571885063E-2</v>
      </c>
      <c r="I204" s="66">
        <f t="shared" si="23"/>
        <v>629129855.81576109</v>
      </c>
    </row>
    <row r="205" spans="1:9">
      <c r="A205" s="30"/>
      <c r="B205" s="28"/>
      <c r="C205" s="28"/>
      <c r="D205" s="28"/>
      <c r="E205" s="28"/>
      <c r="F205" s="130">
        <v>528</v>
      </c>
      <c r="G205" s="34">
        <f>[32]Production!$EO$6</f>
        <v>1.4143484018390903E-2</v>
      </c>
      <c r="H205" s="35">
        <f t="shared" si="22"/>
        <v>1.5233997969011129E-2</v>
      </c>
      <c r="I205" s="66">
        <f t="shared" si="23"/>
        <v>116695070.57673661</v>
      </c>
    </row>
    <row r="206" spans="1:9">
      <c r="A206" s="30"/>
      <c r="B206" s="28"/>
      <c r="C206" s="28"/>
      <c r="D206" s="28"/>
      <c r="E206" s="28"/>
      <c r="F206" s="130">
        <v>579</v>
      </c>
      <c r="G206" s="34">
        <f>[32]Production!$FB$6</f>
        <v>1.5972811706888471E-2</v>
      </c>
      <c r="H206" s="35">
        <f t="shared" si="22"/>
        <v>1.7204373461710862E-2</v>
      </c>
      <c r="I206" s="66">
        <f t="shared" si="23"/>
        <v>131788489.10357346</v>
      </c>
    </row>
    <row r="207" spans="1:9">
      <c r="A207" s="30"/>
      <c r="B207" s="28"/>
      <c r="C207" s="28"/>
      <c r="D207" s="28"/>
      <c r="E207" s="28"/>
      <c r="F207" s="130">
        <v>699</v>
      </c>
      <c r="G207" s="34">
        <f>[32]Production!$GK$6</f>
        <v>2.2784214341241976E-2</v>
      </c>
      <c r="H207" s="35">
        <f t="shared" si="22"/>
        <v>2.4540959960690317E-2</v>
      </c>
      <c r="I207" s="66">
        <f t="shared" si="23"/>
        <v>187988016.04537168</v>
      </c>
    </row>
    <row r="208" spans="1:9">
      <c r="A208" s="30"/>
      <c r="B208" s="28"/>
      <c r="C208" s="28"/>
      <c r="D208" s="28"/>
      <c r="E208" s="28"/>
      <c r="F208" s="130">
        <v>704</v>
      </c>
      <c r="G208" s="34">
        <f>[32]Production!$GN$6</f>
        <v>1.6551349445483188E-2</v>
      </c>
      <c r="H208" s="35">
        <f t="shared" si="22"/>
        <v>1.7827518559714157E-2</v>
      </c>
      <c r="I208" s="66">
        <f t="shared" si="23"/>
        <v>136561888.79411852</v>
      </c>
    </row>
    <row r="209" spans="1:9">
      <c r="A209" s="30"/>
      <c r="B209" s="28"/>
      <c r="C209" s="28"/>
      <c r="D209" s="28"/>
      <c r="E209" s="28"/>
      <c r="F209" s="130">
        <v>826</v>
      </c>
      <c r="G209" s="34">
        <f>[32]Production!$HR$6</f>
        <v>2.3859469674368101E-2</v>
      </c>
      <c r="H209" s="35">
        <f t="shared" si="22"/>
        <v>2.5699121382565727E-2</v>
      </c>
      <c r="I209" s="66">
        <f t="shared" si="23"/>
        <v>196859733.70871451</v>
      </c>
    </row>
    <row r="210" spans="1:9">
      <c r="A210" s="39"/>
      <c r="B210" s="37"/>
      <c r="C210" s="37"/>
      <c r="D210" s="37"/>
      <c r="E210" s="37"/>
      <c r="F210" s="137">
        <v>842</v>
      </c>
      <c r="G210" s="40">
        <f>[32]Production!$HT$6</f>
        <v>2.8309613394363557E-2</v>
      </c>
      <c r="H210" s="113">
        <f t="shared" si="22"/>
        <v>3.0492387334863331E-2</v>
      </c>
      <c r="I210" s="89">
        <f t="shared" si="23"/>
        <v>233576983.49004331</v>
      </c>
    </row>
    <row r="211" spans="1:9">
      <c r="F211" t="s">
        <v>27</v>
      </c>
      <c r="G211" s="2">
        <f>SUM(G196:G210)</f>
        <v>0.92841577418885435</v>
      </c>
    </row>
    <row r="213" spans="1:9">
      <c r="A213" s="84" t="s">
        <v>852</v>
      </c>
    </row>
    <row r="214" spans="1:9" ht="32">
      <c r="A214" s="60" t="s">
        <v>0</v>
      </c>
      <c r="B214" s="23" t="s">
        <v>1</v>
      </c>
      <c r="C214" s="23" t="s">
        <v>558</v>
      </c>
      <c r="D214" s="23" t="s">
        <v>3</v>
      </c>
      <c r="E214" s="23"/>
      <c r="F214" s="114" t="s">
        <v>631</v>
      </c>
      <c r="G214" s="114" t="s">
        <v>424</v>
      </c>
      <c r="H214" s="114" t="s">
        <v>429</v>
      </c>
      <c r="I214" s="115" t="s">
        <v>527</v>
      </c>
    </row>
    <row r="215" spans="1:9" ht="48">
      <c r="A215" s="67" t="s">
        <v>853</v>
      </c>
      <c r="B215" s="82">
        <f>'[1]Weight%'!$B$191</f>
        <v>0.52</v>
      </c>
      <c r="C215" s="28" t="s">
        <v>33</v>
      </c>
      <c r="D215" s="32" t="s">
        <v>208</v>
      </c>
      <c r="E215" s="28"/>
      <c r="F215" s="130">
        <v>56</v>
      </c>
      <c r="G215" s="34">
        <f>[32]Production!$S$9</f>
        <v>1.1101754357089185E-2</v>
      </c>
      <c r="H215" s="35">
        <f>G215/$G$235</f>
        <v>1.2086139825123188E-2</v>
      </c>
      <c r="I215" s="66">
        <f>H215*$B$216</f>
        <v>96515161.138193846</v>
      </c>
    </row>
    <row r="216" spans="1:9" ht="32">
      <c r="A216" s="67" t="s">
        <v>854</v>
      </c>
      <c r="B216" s="28">
        <f>B215*data_rawmat!B329</f>
        <v>7985606863.2906218</v>
      </c>
      <c r="C216" s="43" t="s">
        <v>7</v>
      </c>
      <c r="D216" s="28"/>
      <c r="E216" s="28"/>
      <c r="F216" s="130">
        <v>124</v>
      </c>
      <c r="G216" s="34">
        <f>[32]Production!$AM$9</f>
        <v>2.6410202276808972E-2</v>
      </c>
      <c r="H216" s="35">
        <f t="shared" ref="H216:H234" si="24">G216/$G$235</f>
        <v>2.875197804421532E-2</v>
      </c>
      <c r="I216" s="66">
        <f t="shared" ref="I216:I234" si="25">H216*$B$216</f>
        <v>229601993.20306712</v>
      </c>
    </row>
    <row r="217" spans="1:9" ht="32">
      <c r="A217" s="67" t="s">
        <v>855</v>
      </c>
      <c r="B217" s="28">
        <f>B215*data_rawmat!B334</f>
        <v>97849911691.907593</v>
      </c>
      <c r="C217" s="43" t="s">
        <v>7</v>
      </c>
      <c r="D217" s="28"/>
      <c r="E217" s="28"/>
      <c r="F217" s="130">
        <v>233</v>
      </c>
      <c r="G217" s="34">
        <f>[32]Production!$BQ$9</f>
        <v>4.973230117486787E-2</v>
      </c>
      <c r="H217" s="35">
        <f t="shared" si="24"/>
        <v>5.4142032555491409E-2</v>
      </c>
      <c r="I217" s="66">
        <f t="shared" si="25"/>
        <v>432356986.76763648</v>
      </c>
    </row>
    <row r="218" spans="1:9">
      <c r="A218" s="30"/>
      <c r="B218" s="28"/>
      <c r="C218" s="28"/>
      <c r="D218" s="28"/>
      <c r="E218" s="28"/>
      <c r="F218" s="130">
        <v>251</v>
      </c>
      <c r="G218" s="34">
        <f>[32]Production!$BW$9</f>
        <v>6.977434168087325E-2</v>
      </c>
      <c r="H218" s="35">
        <f t="shared" si="24"/>
        <v>7.596118799209893E-2</v>
      </c>
      <c r="I218" s="66">
        <f t="shared" si="25"/>
        <v>606596184.17341435</v>
      </c>
    </row>
    <row r="219" spans="1:9">
      <c r="A219" s="30"/>
      <c r="B219" s="28"/>
      <c r="C219" s="28"/>
      <c r="D219" s="28"/>
      <c r="E219" s="28"/>
      <c r="F219" s="130">
        <v>276</v>
      </c>
      <c r="G219" s="34">
        <f>[32]Production!$CE$9</f>
        <v>0.13131512844162727</v>
      </c>
      <c r="H219" s="35">
        <f t="shared" si="24"/>
        <v>0.14295875700817112</v>
      </c>
      <c r="I219" s="66">
        <f t="shared" si="25"/>
        <v>1141612431.1319475</v>
      </c>
    </row>
    <row r="220" spans="1:9">
      <c r="A220" s="30"/>
      <c r="B220" s="28"/>
      <c r="C220" s="28"/>
      <c r="D220" s="28"/>
      <c r="E220" s="28"/>
      <c r="F220" s="130">
        <v>376</v>
      </c>
      <c r="G220" s="34">
        <f>[32]Production!$DA$9</f>
        <v>1.3668925159543118E-2</v>
      </c>
      <c r="H220" s="35">
        <f t="shared" si="24"/>
        <v>1.4880940022951298E-2</v>
      </c>
      <c r="I220" s="66">
        <f t="shared" si="25"/>
        <v>118833336.77949598</v>
      </c>
    </row>
    <row r="221" spans="1:9">
      <c r="A221" s="30"/>
      <c r="B221" s="28"/>
      <c r="C221" s="28"/>
      <c r="D221" s="28"/>
      <c r="E221" s="28"/>
      <c r="F221" s="130">
        <v>381</v>
      </c>
      <c r="G221" s="34">
        <f>[32]Production!$DB$9</f>
        <v>3.7902149630270179E-2</v>
      </c>
      <c r="H221" s="35">
        <f t="shared" si="24"/>
        <v>4.1262909029478406E-2</v>
      </c>
      <c r="I221" s="66">
        <f t="shared" si="25"/>
        <v>329509369.54513931</v>
      </c>
    </row>
    <row r="222" spans="1:9">
      <c r="A222" s="30"/>
      <c r="B222" s="28"/>
      <c r="C222" s="28"/>
      <c r="D222" s="28"/>
      <c r="E222" s="28"/>
      <c r="F222" s="130">
        <v>392</v>
      </c>
      <c r="G222" s="34">
        <f>[32]Production!$DE$9</f>
        <v>8.8039520354606382E-2</v>
      </c>
      <c r="H222" s="35">
        <f t="shared" si="24"/>
        <v>9.5845928392667257E-2</v>
      </c>
      <c r="I222" s="66">
        <f t="shared" si="25"/>
        <v>765387903.59094512</v>
      </c>
    </row>
    <row r="223" spans="1:9">
      <c r="A223" s="30"/>
      <c r="B223" s="28"/>
      <c r="C223" s="28"/>
      <c r="D223" s="28"/>
      <c r="E223" s="28"/>
      <c r="F223" s="130">
        <v>410</v>
      </c>
      <c r="G223" s="34">
        <f>[32]Production!$DJ$9</f>
        <v>2.8423680433914238E-2</v>
      </c>
      <c r="H223" s="35">
        <f t="shared" si="24"/>
        <v>3.0943990023481104E-2</v>
      </c>
      <c r="I223" s="66">
        <f t="shared" si="25"/>
        <v>247106539.10910723</v>
      </c>
    </row>
    <row r="224" spans="1:9">
      <c r="A224" s="30"/>
      <c r="B224" s="28"/>
      <c r="C224" s="28"/>
      <c r="D224" s="28"/>
      <c r="E224" s="28"/>
      <c r="F224" s="130">
        <v>484</v>
      </c>
      <c r="G224" s="34">
        <f>[32]Production!$ED$9</f>
        <v>1.2909350515013608E-2</v>
      </c>
      <c r="H224" s="35">
        <f t="shared" si="24"/>
        <v>1.4054014379839795E-2</v>
      </c>
      <c r="I224" s="66">
        <f t="shared" si="25"/>
        <v>112229833.68843377</v>
      </c>
    </row>
    <row r="225" spans="1:9">
      <c r="A225" s="30"/>
      <c r="B225" s="28"/>
      <c r="C225" s="28"/>
      <c r="D225" s="28"/>
      <c r="E225" s="28"/>
      <c r="F225" s="130">
        <v>528</v>
      </c>
      <c r="G225" s="34">
        <f>[32]Production!$EO$9</f>
        <v>1.2154935185706862E-2</v>
      </c>
      <c r="H225" s="35">
        <f t="shared" si="24"/>
        <v>1.323270552513655E-2</v>
      </c>
      <c r="I225" s="66">
        <f t="shared" si="25"/>
        <v>105671184.06143416</v>
      </c>
    </row>
    <row r="226" spans="1:9">
      <c r="A226" s="30"/>
      <c r="B226" s="28"/>
      <c r="C226" s="28"/>
      <c r="D226" s="28"/>
      <c r="E226" s="28"/>
      <c r="F226" s="130">
        <v>616</v>
      </c>
      <c r="G226" s="34">
        <f>[32]Production!$FO$9</f>
        <v>2.7713594067610453E-2</v>
      </c>
      <c r="H226" s="35">
        <f t="shared" si="24"/>
        <v>3.017094075261691E-2</v>
      </c>
      <c r="I226" s="66">
        <f t="shared" si="25"/>
        <v>240933271.54603231</v>
      </c>
    </row>
    <row r="227" spans="1:9">
      <c r="A227" s="30"/>
      <c r="B227" s="28"/>
      <c r="C227" s="28"/>
      <c r="D227" s="28"/>
      <c r="E227" s="28"/>
      <c r="F227" s="130">
        <v>643</v>
      </c>
      <c r="G227" s="34">
        <f>[32]Production!$FU$9</f>
        <v>1.2374997388690148E-2</v>
      </c>
      <c r="H227" s="35">
        <f t="shared" si="24"/>
        <v>1.3472280503102283E-2</v>
      </c>
      <c r="I227" s="66">
        <f t="shared" si="25"/>
        <v>107584335.64975002</v>
      </c>
    </row>
    <row r="228" spans="1:9">
      <c r="A228" s="30"/>
      <c r="B228" s="28"/>
      <c r="C228" s="28"/>
      <c r="D228" s="28"/>
      <c r="E228" s="28"/>
      <c r="F228" s="130">
        <v>702</v>
      </c>
      <c r="G228" s="34">
        <f>[32]Production!$GL$9</f>
        <v>2.208110949966037E-2</v>
      </c>
      <c r="H228" s="35">
        <f t="shared" si="24"/>
        <v>2.4039027375554751E-2</v>
      </c>
      <c r="I228" s="66">
        <f t="shared" si="25"/>
        <v>191966221.99706116</v>
      </c>
    </row>
    <row r="229" spans="1:9">
      <c r="A229" s="30"/>
      <c r="B229" s="28"/>
      <c r="C229" s="28"/>
      <c r="D229" s="28"/>
      <c r="E229" s="28"/>
      <c r="F229" s="130">
        <v>703</v>
      </c>
      <c r="G229" s="34">
        <f>[32]Production!$GM$9</f>
        <v>1.3307329962580721E-2</v>
      </c>
      <c r="H229" s="35">
        <f t="shared" si="24"/>
        <v>1.448728241082896E-2</v>
      </c>
      <c r="I229" s="66">
        <f t="shared" si="25"/>
        <v>115689741.85034525</v>
      </c>
    </row>
    <row r="230" spans="1:9">
      <c r="A230" s="30"/>
      <c r="B230" s="28"/>
      <c r="C230" s="28"/>
      <c r="D230" s="28"/>
      <c r="E230" s="28"/>
      <c r="F230" s="130">
        <v>724</v>
      </c>
      <c r="G230" s="34">
        <f>[32]Production!$GS$9</f>
        <v>2.2675950057828645E-2</v>
      </c>
      <c r="H230" s="35">
        <f t="shared" si="24"/>
        <v>2.4686612066084787E-2</v>
      </c>
      <c r="I230" s="66">
        <f t="shared" si="25"/>
        <v>197137578.74631974</v>
      </c>
    </row>
    <row r="231" spans="1:9">
      <c r="A231" s="30"/>
      <c r="B231" s="28"/>
      <c r="C231" s="28"/>
      <c r="D231" s="28"/>
      <c r="E231" s="28"/>
      <c r="F231" s="130">
        <v>752</v>
      </c>
      <c r="G231" s="34">
        <f>[32]Production!$GY$9</f>
        <v>1.0399422789739862E-2</v>
      </c>
      <c r="H231" s="35">
        <f t="shared" si="24"/>
        <v>1.1321532966283675E-2</v>
      </c>
      <c r="I231" s="66">
        <f t="shared" si="25"/>
        <v>90409311.358525947</v>
      </c>
    </row>
    <row r="232" spans="1:9">
      <c r="A232" s="30"/>
      <c r="B232" s="28"/>
      <c r="C232" s="28"/>
      <c r="D232" s="28"/>
      <c r="E232" s="28"/>
      <c r="F232" s="130">
        <v>757</v>
      </c>
      <c r="G232" s="34">
        <f>[32]Production!$GZ$9</f>
        <v>1.9706463450841222E-2</v>
      </c>
      <c r="H232" s="35">
        <f t="shared" si="24"/>
        <v>2.1453822978298606E-2</v>
      </c>
      <c r="I232" s="66">
        <f t="shared" si="25"/>
        <v>171321796.01932341</v>
      </c>
    </row>
    <row r="233" spans="1:9">
      <c r="A233" s="30"/>
      <c r="B233" s="28"/>
      <c r="C233" s="28"/>
      <c r="D233" s="28"/>
      <c r="E233" s="28"/>
      <c r="F233" s="130">
        <v>826</v>
      </c>
      <c r="G233" s="34">
        <f>[32]Production!$HR$9</f>
        <v>6.9885077044718913E-2</v>
      </c>
      <c r="H233" s="35">
        <f t="shared" si="24"/>
        <v>7.6081742189928928E-2</v>
      </c>
      <c r="I233" s="66">
        <f t="shared" si="25"/>
        <v>607558882.6030041</v>
      </c>
    </row>
    <row r="234" spans="1:9">
      <c r="A234" s="30"/>
      <c r="B234" s="28"/>
      <c r="C234" s="28"/>
      <c r="D234" s="28"/>
      <c r="E234" s="28"/>
      <c r="F234" s="130">
        <v>842</v>
      </c>
      <c r="G234" s="34">
        <f>[32]Production!$HT$9</f>
        <v>0.23897630006830553</v>
      </c>
      <c r="H234" s="35">
        <f t="shared" si="24"/>
        <v>0.26016617595864661</v>
      </c>
      <c r="I234" s="66">
        <f t="shared" si="25"/>
        <v>2077584800.3314438</v>
      </c>
    </row>
    <row r="235" spans="1:9">
      <c r="A235" s="39"/>
      <c r="B235" s="37"/>
      <c r="C235" s="37"/>
      <c r="D235" s="37"/>
      <c r="E235" s="37"/>
      <c r="F235" s="37" t="s">
        <v>27</v>
      </c>
      <c r="G235" s="40">
        <f>SUM(G215:G234)</f>
        <v>0.91855253354029687</v>
      </c>
      <c r="H235" s="37"/>
      <c r="I235" s="42"/>
    </row>
    <row r="237" spans="1:9">
      <c r="A237" s="84" t="s">
        <v>856</v>
      </c>
    </row>
    <row r="238" spans="1:9" ht="32">
      <c r="A238" s="60" t="s">
        <v>0</v>
      </c>
      <c r="B238" s="23" t="s">
        <v>1</v>
      </c>
      <c r="C238" s="23" t="s">
        <v>558</v>
      </c>
      <c r="D238" s="23" t="s">
        <v>3</v>
      </c>
      <c r="E238" s="23"/>
      <c r="F238" s="114" t="s">
        <v>631</v>
      </c>
      <c r="G238" s="114" t="s">
        <v>424</v>
      </c>
      <c r="H238" s="114" t="s">
        <v>429</v>
      </c>
      <c r="I238" s="115" t="s">
        <v>527</v>
      </c>
    </row>
    <row r="239" spans="1:9" ht="48">
      <c r="A239" s="67" t="s">
        <v>857</v>
      </c>
      <c r="B239" s="82">
        <f>'[1]Weight%'!$B$192</f>
        <v>1</v>
      </c>
      <c r="C239" s="28" t="s">
        <v>33</v>
      </c>
      <c r="D239" s="32" t="s">
        <v>208</v>
      </c>
      <c r="E239" s="28"/>
      <c r="F239" s="130">
        <v>40</v>
      </c>
      <c r="G239" s="34">
        <f>[33]Production!$M$6</f>
        <v>1.6641100918404421E-2</v>
      </c>
      <c r="H239" s="35">
        <f>G239/$G$248</f>
        <v>1.7489150336299369E-2</v>
      </c>
      <c r="I239" s="66">
        <f>H239*$B$240</f>
        <v>2571993.8928584103</v>
      </c>
    </row>
    <row r="240" spans="1:9" ht="32">
      <c r="A240" s="67" t="s">
        <v>858</v>
      </c>
      <c r="B240" s="65">
        <f>B239*data_rawmat!B344</f>
        <v>147062255.36412385</v>
      </c>
      <c r="C240" s="43" t="s">
        <v>7</v>
      </c>
      <c r="D240" s="28"/>
      <c r="E240" s="28"/>
      <c r="F240" s="130">
        <v>76</v>
      </c>
      <c r="G240" s="34">
        <f>[33]Production!$Z$6</f>
        <v>0.30253912434660152</v>
      </c>
      <c r="H240" s="35">
        <f t="shared" ref="H240:H247" si="26">G240/$G$248</f>
        <v>0.31795686200414003</v>
      </c>
      <c r="I240" s="66">
        <f t="shared" ref="I240:I247" si="27">H240*$B$240</f>
        <v>46759453.234828331</v>
      </c>
    </row>
    <row r="241" spans="1:9" ht="32">
      <c r="A241" s="67" t="s">
        <v>859</v>
      </c>
      <c r="B241" s="65">
        <f>B239*data_rawmat!B347</f>
        <v>1287754755.9224045</v>
      </c>
      <c r="C241" s="43" t="s">
        <v>7</v>
      </c>
      <c r="D241" s="28"/>
      <c r="E241" s="28"/>
      <c r="F241" s="130">
        <v>156</v>
      </c>
      <c r="G241" s="34">
        <f>[33]Production!$AT$6</f>
        <v>0.12270739682868032</v>
      </c>
      <c r="H241" s="35">
        <f t="shared" si="26"/>
        <v>0.12896070524632702</v>
      </c>
      <c r="I241" s="66">
        <f t="shared" si="27"/>
        <v>18965252.166872852</v>
      </c>
    </row>
    <row r="242" spans="1:9">
      <c r="A242" s="30"/>
      <c r="B242" s="28"/>
      <c r="C242" s="28"/>
      <c r="D242" s="28"/>
      <c r="E242" s="28"/>
      <c r="F242" s="130">
        <v>276</v>
      </c>
      <c r="G242" s="34">
        <f>[33]Production!$CE$6</f>
        <v>3.2834589078333559E-2</v>
      </c>
      <c r="H242" s="35">
        <f t="shared" si="26"/>
        <v>3.4507877059172895E-2</v>
      </c>
      <c r="I242" s="66">
        <f t="shared" si="27"/>
        <v>5074806.2281498751</v>
      </c>
    </row>
    <row r="243" spans="1:9">
      <c r="A243" s="30"/>
      <c r="B243" s="28"/>
      <c r="C243" s="28"/>
      <c r="D243" s="28"/>
      <c r="E243" s="28"/>
      <c r="F243" s="130">
        <v>410</v>
      </c>
      <c r="G243" s="34">
        <f>[33]Production!$DJ$6</f>
        <v>2.3458960874327375E-2</v>
      </c>
      <c r="H243" s="35">
        <f t="shared" si="26"/>
        <v>2.4654456185090816E-2</v>
      </c>
      <c r="I243" s="66">
        <f t="shared" si="27"/>
        <v>3625739.9313554284</v>
      </c>
    </row>
    <row r="244" spans="1:9">
      <c r="A244" s="30"/>
      <c r="B244" s="28"/>
      <c r="C244" s="28"/>
      <c r="D244" s="28"/>
      <c r="E244" s="28"/>
      <c r="F244" s="130">
        <v>528</v>
      </c>
      <c r="G244" s="34">
        <f>[33]Production!$EO$6</f>
        <v>1.9643193384730036E-2</v>
      </c>
      <c r="H244" s="35">
        <f t="shared" si="26"/>
        <v>2.0644232847034757E-2</v>
      </c>
      <c r="I244" s="66">
        <f t="shared" si="27"/>
        <v>3035987.4427470588</v>
      </c>
    </row>
    <row r="245" spans="1:9">
      <c r="A245" s="30"/>
      <c r="B245" s="28"/>
      <c r="C245" s="28"/>
      <c r="D245" s="28"/>
      <c r="E245" s="28"/>
      <c r="F245" s="130">
        <v>643</v>
      </c>
      <c r="G245" s="34">
        <f>[33]Production!$FU$6</f>
        <v>0.288493159040701</v>
      </c>
      <c r="H245" s="35">
        <f t="shared" si="26"/>
        <v>0.3031950983409164</v>
      </c>
      <c r="I245" s="66">
        <f t="shared" si="27"/>
        <v>44588554.977362491</v>
      </c>
    </row>
    <row r="246" spans="1:9">
      <c r="A246" s="30"/>
      <c r="B246" s="28"/>
      <c r="C246" s="28"/>
      <c r="D246" s="28"/>
      <c r="E246" s="28"/>
      <c r="F246" s="130">
        <v>699</v>
      </c>
      <c r="G246" s="34">
        <f>[33]Production!$GK$6</f>
        <v>1.0298753271964929E-2</v>
      </c>
      <c r="H246" s="35">
        <f t="shared" si="26"/>
        <v>1.0823589444773317E-2</v>
      </c>
      <c r="I246" s="66">
        <f t="shared" si="27"/>
        <v>1591741.4748836891</v>
      </c>
    </row>
    <row r="247" spans="1:9">
      <c r="A247" s="30"/>
      <c r="B247" s="28"/>
      <c r="C247" s="28"/>
      <c r="D247" s="28"/>
      <c r="E247" s="28"/>
      <c r="F247" s="130">
        <v>710</v>
      </c>
      <c r="G247" s="34">
        <f>[33]Production!$GQ$6</f>
        <v>0.13489369263287426</v>
      </c>
      <c r="H247" s="35">
        <f t="shared" si="26"/>
        <v>0.14176802853624534</v>
      </c>
      <c r="I247" s="66">
        <f t="shared" si="27"/>
        <v>20848726.015065711</v>
      </c>
    </row>
    <row r="248" spans="1:9">
      <c r="A248" s="39"/>
      <c r="B248" s="37"/>
      <c r="C248" s="37"/>
      <c r="D248" s="37"/>
      <c r="E248" s="37"/>
      <c r="F248" s="37" t="s">
        <v>27</v>
      </c>
      <c r="G248" s="40">
        <f>SUM(G239:G247)</f>
        <v>0.95150997037661744</v>
      </c>
      <c r="H248" s="37"/>
      <c r="I248" s="42"/>
    </row>
    <row r="250" spans="1:9">
      <c r="A250" s="20" t="s">
        <v>1043</v>
      </c>
    </row>
    <row r="251" spans="1:9">
      <c r="A251" t="s">
        <v>1091</v>
      </c>
    </row>
  </sheetData>
  <mergeCells count="1">
    <mergeCell ref="D196:D197"/>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abSelected="1" topLeftCell="A90" workbookViewId="0">
      <selection activeCell="C95" sqref="C95"/>
    </sheetView>
  </sheetViews>
  <sheetFormatPr baseColWidth="10" defaultRowHeight="16"/>
  <cols>
    <col min="1" max="1" width="27.7265625" customWidth="1"/>
    <col min="2" max="2" width="15.453125" bestFit="1" customWidth="1"/>
    <col min="4" max="4" width="24.81640625" customWidth="1"/>
  </cols>
  <sheetData>
    <row r="1" spans="1:4">
      <c r="A1" s="20" t="s">
        <v>860</v>
      </c>
    </row>
    <row r="3" spans="1:4">
      <c r="A3" s="84" t="s">
        <v>861</v>
      </c>
    </row>
    <row r="4" spans="1:4">
      <c r="A4" s="60" t="s">
        <v>0</v>
      </c>
      <c r="B4" s="23" t="s">
        <v>1</v>
      </c>
      <c r="C4" s="23" t="s">
        <v>558</v>
      </c>
      <c r="D4" s="24" t="s">
        <v>3</v>
      </c>
    </row>
    <row r="5" spans="1:4" ht="62.25" customHeight="1">
      <c r="A5" s="67" t="s">
        <v>862</v>
      </c>
      <c r="B5" s="34">
        <v>1</v>
      </c>
      <c r="C5" s="28" t="s">
        <v>33</v>
      </c>
      <c r="D5" s="33" t="s">
        <v>208</v>
      </c>
    </row>
    <row r="6" spans="1:4" ht="32">
      <c r="A6" s="67" t="s">
        <v>863</v>
      </c>
      <c r="B6" s="65">
        <f>B5*data_intmat!B6</f>
        <v>70607691.166637331</v>
      </c>
      <c r="C6" s="28" t="s">
        <v>7</v>
      </c>
      <c r="D6" s="29"/>
    </row>
    <row r="7" spans="1:4" ht="32">
      <c r="A7" s="68" t="s">
        <v>864</v>
      </c>
      <c r="B7" s="112">
        <f>B5*data_intmat!B7</f>
        <v>880980437.44904387</v>
      </c>
      <c r="C7" s="37" t="s">
        <v>7</v>
      </c>
      <c r="D7" s="42"/>
    </row>
    <row r="9" spans="1:4">
      <c r="A9" s="84" t="s">
        <v>865</v>
      </c>
    </row>
    <row r="10" spans="1:4">
      <c r="A10" s="60" t="s">
        <v>0</v>
      </c>
      <c r="B10" s="23" t="s">
        <v>1</v>
      </c>
      <c r="C10" s="23" t="s">
        <v>558</v>
      </c>
      <c r="D10" s="24" t="s">
        <v>3</v>
      </c>
    </row>
    <row r="11" spans="1:4" ht="48">
      <c r="A11" s="67" t="s">
        <v>866</v>
      </c>
      <c r="B11" s="34">
        <v>1</v>
      </c>
      <c r="C11" s="28" t="s">
        <v>33</v>
      </c>
      <c r="D11" s="33" t="s">
        <v>208</v>
      </c>
    </row>
    <row r="12" spans="1:4" ht="32">
      <c r="A12" s="67" t="s">
        <v>867</v>
      </c>
      <c r="B12" s="65">
        <f>data_intmat!B21*data_min!B11</f>
        <v>29578777743.652565</v>
      </c>
      <c r="C12" s="28" t="s">
        <v>7</v>
      </c>
      <c r="D12" s="29"/>
    </row>
    <row r="13" spans="1:4" ht="32">
      <c r="A13" s="68" t="s">
        <v>868</v>
      </c>
      <c r="B13" s="112">
        <f>data_intmat!B22*data_min!B11</f>
        <v>270108822196.784</v>
      </c>
      <c r="C13" s="37" t="s">
        <v>7</v>
      </c>
      <c r="D13" s="42"/>
    </row>
    <row r="15" spans="1:4">
      <c r="A15" s="84" t="s">
        <v>869</v>
      </c>
    </row>
    <row r="16" spans="1:4">
      <c r="A16" s="60" t="s">
        <v>0</v>
      </c>
      <c r="B16" s="23" t="s">
        <v>1</v>
      </c>
      <c r="C16" s="23" t="s">
        <v>558</v>
      </c>
      <c r="D16" s="24" t="s">
        <v>3</v>
      </c>
    </row>
    <row r="17" spans="1:4" ht="48">
      <c r="A17" s="67" t="s">
        <v>870</v>
      </c>
      <c r="B17" s="34">
        <v>1</v>
      </c>
      <c r="C17" s="28" t="s">
        <v>33</v>
      </c>
      <c r="D17" s="33" t="s">
        <v>208</v>
      </c>
    </row>
    <row r="18" spans="1:4" ht="32">
      <c r="A18" s="67" t="s">
        <v>871</v>
      </c>
      <c r="B18" s="65">
        <f>B17*data_rawmat!B74</f>
        <v>71571700.059952378</v>
      </c>
      <c r="C18" s="28" t="s">
        <v>7</v>
      </c>
      <c r="D18" s="29"/>
    </row>
    <row r="19" spans="1:4" ht="32">
      <c r="A19" s="68" t="s">
        <v>872</v>
      </c>
      <c r="B19" s="112">
        <f>B17*data_rawmat!B79</f>
        <v>878134293.717803</v>
      </c>
      <c r="C19" s="37" t="s">
        <v>7</v>
      </c>
      <c r="D19" s="42"/>
    </row>
    <row r="21" spans="1:4">
      <c r="A21" s="84" t="s">
        <v>873</v>
      </c>
    </row>
    <row r="22" spans="1:4">
      <c r="A22" s="60" t="s">
        <v>0</v>
      </c>
      <c r="B22" s="23" t="s">
        <v>1</v>
      </c>
      <c r="C22" s="23" t="s">
        <v>558</v>
      </c>
      <c r="D22" s="24" t="s">
        <v>3</v>
      </c>
    </row>
    <row r="23" spans="1:4" ht="48">
      <c r="A23" s="67" t="s">
        <v>874</v>
      </c>
      <c r="B23" s="183">
        <f>100%-data_intmat!B76</f>
        <v>0.82499999999999996</v>
      </c>
      <c r="C23" s="28" t="s">
        <v>33</v>
      </c>
      <c r="D23" s="33" t="s">
        <v>208</v>
      </c>
    </row>
    <row r="24" spans="1:4" ht="32">
      <c r="A24" s="67" t="s">
        <v>875</v>
      </c>
      <c r="B24" s="65">
        <f>B23*data_rawmat!B86</f>
        <v>62529011.247079596</v>
      </c>
      <c r="C24" s="28" t="s">
        <v>7</v>
      </c>
      <c r="D24" s="29"/>
    </row>
    <row r="25" spans="1:4" ht="32">
      <c r="A25" s="68" t="s">
        <v>876</v>
      </c>
      <c r="B25" s="112">
        <f>B23*data_rawmat!B87</f>
        <v>768235594.20125258</v>
      </c>
      <c r="C25" s="37" t="s">
        <v>7</v>
      </c>
      <c r="D25" s="42"/>
    </row>
    <row r="27" spans="1:4">
      <c r="A27" s="84" t="s">
        <v>877</v>
      </c>
    </row>
    <row r="28" spans="1:4">
      <c r="A28" s="60" t="s">
        <v>0</v>
      </c>
      <c r="B28" s="23" t="s">
        <v>1</v>
      </c>
      <c r="C28" s="23" t="s">
        <v>558</v>
      </c>
      <c r="D28" s="24" t="s">
        <v>3</v>
      </c>
    </row>
    <row r="29" spans="1:4" ht="48">
      <c r="A29" s="67" t="s">
        <v>878</v>
      </c>
      <c r="B29" s="34">
        <v>1</v>
      </c>
      <c r="C29" s="28" t="s">
        <v>33</v>
      </c>
      <c r="D29" s="33" t="s">
        <v>208</v>
      </c>
    </row>
    <row r="30" spans="1:4" ht="32">
      <c r="A30" s="67" t="s">
        <v>879</v>
      </c>
      <c r="B30" s="65">
        <f>B29*data_intmat!B87</f>
        <v>294780224.44543564</v>
      </c>
      <c r="C30" s="28" t="s">
        <v>7</v>
      </c>
      <c r="D30" s="29"/>
    </row>
    <row r="31" spans="1:4" ht="32">
      <c r="A31" s="68" t="s">
        <v>880</v>
      </c>
      <c r="B31" s="112">
        <f>B29*data_intmat!B88</f>
        <v>3710550992.2312932</v>
      </c>
      <c r="C31" s="37" t="s">
        <v>7</v>
      </c>
      <c r="D31" s="42"/>
    </row>
    <row r="33" spans="1:4">
      <c r="A33" s="84" t="s">
        <v>881</v>
      </c>
    </row>
    <row r="34" spans="1:4">
      <c r="A34" s="60" t="s">
        <v>0</v>
      </c>
      <c r="B34" s="23" t="s">
        <v>1</v>
      </c>
      <c r="C34" s="23" t="s">
        <v>558</v>
      </c>
      <c r="D34" s="24" t="s">
        <v>3</v>
      </c>
    </row>
    <row r="35" spans="1:4" ht="48">
      <c r="A35" s="67" t="s">
        <v>882</v>
      </c>
      <c r="B35" s="34">
        <v>1</v>
      </c>
      <c r="C35" s="28" t="s">
        <v>33</v>
      </c>
      <c r="D35" s="33" t="s">
        <v>208</v>
      </c>
    </row>
    <row r="36" spans="1:4" ht="32">
      <c r="A36" s="67" t="s">
        <v>883</v>
      </c>
      <c r="B36" s="65">
        <f>B35*data_intmat!B99</f>
        <v>71446708.879457325</v>
      </c>
      <c r="C36" s="28" t="s">
        <v>7</v>
      </c>
      <c r="D36" s="29"/>
    </row>
    <row r="37" spans="1:4" ht="32">
      <c r="A37" s="68" t="s">
        <v>884</v>
      </c>
      <c r="B37" s="112">
        <f>B35*data_intmat!B100</f>
        <v>314064831.41177398</v>
      </c>
      <c r="C37" s="37" t="s">
        <v>7</v>
      </c>
      <c r="D37" s="42"/>
    </row>
    <row r="38" spans="1:4">
      <c r="A38" s="28"/>
      <c r="B38" s="28"/>
      <c r="C38" s="28"/>
      <c r="D38" s="28"/>
    </row>
    <row r="39" spans="1:4">
      <c r="A39" s="5" t="s">
        <v>885</v>
      </c>
      <c r="B39" s="28"/>
      <c r="C39" s="28"/>
      <c r="D39" s="28"/>
    </row>
    <row r="40" spans="1:4">
      <c r="A40" s="60" t="s">
        <v>0</v>
      </c>
      <c r="B40" s="23" t="s">
        <v>1</v>
      </c>
      <c r="C40" s="23" t="s">
        <v>558</v>
      </c>
      <c r="D40" s="24" t="s">
        <v>3</v>
      </c>
    </row>
    <row r="41" spans="1:4" ht="48">
      <c r="A41" s="67" t="s">
        <v>886</v>
      </c>
      <c r="B41" s="34">
        <v>1</v>
      </c>
      <c r="C41" s="28" t="s">
        <v>33</v>
      </c>
      <c r="D41" s="33" t="s">
        <v>208</v>
      </c>
    </row>
    <row r="42" spans="1:4" ht="32">
      <c r="A42" s="67" t="s">
        <v>887</v>
      </c>
      <c r="B42" s="65">
        <f>B41*data_intmat!B135</f>
        <v>2726570.8026960064</v>
      </c>
      <c r="C42" s="28" t="s">
        <v>7</v>
      </c>
      <c r="D42" s="29"/>
    </row>
    <row r="43" spans="1:4" ht="32">
      <c r="A43" s="68" t="s">
        <v>888</v>
      </c>
      <c r="B43" s="112">
        <f>B41*data_intmat!B136</f>
        <v>34199875.545539983</v>
      </c>
      <c r="C43" s="37" t="s">
        <v>7</v>
      </c>
      <c r="D43" s="42"/>
    </row>
    <row r="44" spans="1:4">
      <c r="A44" s="28"/>
      <c r="B44" s="28"/>
      <c r="C44" s="28"/>
      <c r="D44" s="28"/>
    </row>
    <row r="45" spans="1:4">
      <c r="A45" s="5" t="s">
        <v>889</v>
      </c>
      <c r="B45" s="28"/>
      <c r="C45" s="28"/>
      <c r="D45" s="28"/>
    </row>
    <row r="46" spans="1:4">
      <c r="A46" s="60" t="s">
        <v>0</v>
      </c>
      <c r="B46" s="23" t="s">
        <v>1</v>
      </c>
      <c r="C46" s="23" t="s">
        <v>558</v>
      </c>
      <c r="D46" s="24" t="s">
        <v>3</v>
      </c>
    </row>
    <row r="47" spans="1:4" ht="48">
      <c r="A47" s="67" t="s">
        <v>890</v>
      </c>
      <c r="B47" s="35">
        <f>95%</f>
        <v>0.95</v>
      </c>
      <c r="C47" s="28" t="s">
        <v>33</v>
      </c>
      <c r="D47" s="33" t="s">
        <v>208</v>
      </c>
    </row>
    <row r="48" spans="1:4" ht="32">
      <c r="A48" s="67" t="s">
        <v>891</v>
      </c>
      <c r="B48" s="65">
        <f>B47*data_rawmat!B158</f>
        <v>107642640.40385918</v>
      </c>
      <c r="C48" s="28" t="s">
        <v>7</v>
      </c>
      <c r="D48" s="29"/>
    </row>
    <row r="49" spans="1:4" ht="32">
      <c r="A49" s="68" t="s">
        <v>892</v>
      </c>
      <c r="B49" s="112">
        <f>B47*data_rawmat!B161</f>
        <v>1322576603.1992009</v>
      </c>
      <c r="C49" s="37" t="s">
        <v>7</v>
      </c>
      <c r="D49" s="42"/>
    </row>
    <row r="50" spans="1:4">
      <c r="A50" s="28"/>
      <c r="B50" s="28"/>
      <c r="C50" s="28"/>
      <c r="D50" s="28"/>
    </row>
    <row r="51" spans="1:4">
      <c r="A51" s="5" t="s">
        <v>893</v>
      </c>
      <c r="B51" s="28"/>
      <c r="C51" s="28"/>
      <c r="D51" s="28"/>
    </row>
    <row r="52" spans="1:4">
      <c r="A52" s="60" t="s">
        <v>0</v>
      </c>
      <c r="B52" s="23" t="s">
        <v>1</v>
      </c>
      <c r="C52" s="23" t="s">
        <v>558</v>
      </c>
      <c r="D52" s="24" t="s">
        <v>3</v>
      </c>
    </row>
    <row r="53" spans="1:4" ht="48">
      <c r="A53" s="67" t="s">
        <v>894</v>
      </c>
      <c r="B53" s="34">
        <v>1</v>
      </c>
      <c r="C53" s="28" t="s">
        <v>33</v>
      </c>
      <c r="D53" s="33" t="s">
        <v>208</v>
      </c>
    </row>
    <row r="54" spans="1:4" ht="32">
      <c r="A54" s="67" t="s">
        <v>895</v>
      </c>
      <c r="B54" s="65">
        <f>B53*data_rawmat!B166</f>
        <v>95954449.594239458</v>
      </c>
      <c r="C54" s="28" t="s">
        <v>7</v>
      </c>
      <c r="D54" s="29"/>
    </row>
    <row r="55" spans="1:4" ht="32">
      <c r="A55" s="68" t="s">
        <v>896</v>
      </c>
      <c r="B55" s="112">
        <f>B53*data_rawmat!B167</f>
        <v>349504898.49082267</v>
      </c>
      <c r="C55" s="37" t="s">
        <v>7</v>
      </c>
      <c r="D55" s="42"/>
    </row>
    <row r="56" spans="1:4">
      <c r="A56" s="28"/>
      <c r="B56" s="28"/>
      <c r="C56" s="28"/>
      <c r="D56" s="28"/>
    </row>
    <row r="57" spans="1:4">
      <c r="A57" s="5" t="s">
        <v>897</v>
      </c>
      <c r="B57" s="28"/>
      <c r="C57" s="28"/>
      <c r="D57" s="28"/>
    </row>
    <row r="58" spans="1:4">
      <c r="A58" s="60" t="s">
        <v>0</v>
      </c>
      <c r="B58" s="23" t="s">
        <v>1</v>
      </c>
      <c r="C58" s="23" t="s">
        <v>558</v>
      </c>
      <c r="D58" s="24" t="s">
        <v>3</v>
      </c>
    </row>
    <row r="59" spans="1:4" ht="48">
      <c r="A59" s="67" t="s">
        <v>898</v>
      </c>
      <c r="B59" s="34">
        <v>1</v>
      </c>
      <c r="C59" s="28" t="s">
        <v>33</v>
      </c>
      <c r="D59" s="33" t="s">
        <v>208</v>
      </c>
    </row>
    <row r="60" spans="1:4" ht="32">
      <c r="A60" s="67" t="s">
        <v>899</v>
      </c>
      <c r="B60" s="65">
        <f>B59*data_intmat!B148</f>
        <v>1062483886.3458172</v>
      </c>
      <c r="C60" s="28" t="s">
        <v>7</v>
      </c>
      <c r="D60" s="29"/>
    </row>
    <row r="61" spans="1:4" ht="32">
      <c r="A61" s="68" t="s">
        <v>900</v>
      </c>
      <c r="B61" s="112">
        <f>B59*data_intmat!B149</f>
        <v>12481526666.699549</v>
      </c>
      <c r="C61" s="37" t="s">
        <v>7</v>
      </c>
      <c r="D61" s="42"/>
    </row>
    <row r="62" spans="1:4">
      <c r="A62" s="28"/>
      <c r="B62" s="28"/>
      <c r="C62" s="28"/>
      <c r="D62" s="28"/>
    </row>
    <row r="63" spans="1:4">
      <c r="A63" s="5" t="s">
        <v>901</v>
      </c>
      <c r="B63" s="28"/>
      <c r="C63" s="28"/>
      <c r="D63" s="28"/>
    </row>
    <row r="64" spans="1:4">
      <c r="A64" s="60" t="s">
        <v>0</v>
      </c>
      <c r="B64" s="23" t="s">
        <v>1</v>
      </c>
      <c r="C64" s="23" t="s">
        <v>558</v>
      </c>
      <c r="D64" s="24" t="s">
        <v>3</v>
      </c>
    </row>
    <row r="65" spans="1:4" ht="48">
      <c r="A65" s="67" t="s">
        <v>902</v>
      </c>
      <c r="B65" s="34">
        <f>78%</f>
        <v>0.78</v>
      </c>
      <c r="C65" s="28" t="s">
        <v>33</v>
      </c>
      <c r="D65" s="33" t="s">
        <v>208</v>
      </c>
    </row>
    <row r="66" spans="1:4" ht="32">
      <c r="A66" s="67" t="s">
        <v>903</v>
      </c>
      <c r="B66" s="65">
        <f>B65*data_rawmat!B250</f>
        <v>785121290.19288635</v>
      </c>
      <c r="C66" s="28" t="s">
        <v>7</v>
      </c>
      <c r="D66" s="29"/>
    </row>
    <row r="67" spans="1:4" ht="32">
      <c r="A67" s="68" t="s">
        <v>904</v>
      </c>
      <c r="B67" s="112">
        <f>B65*data_rawmat!B251</f>
        <v>9596388232.3185501</v>
      </c>
      <c r="C67" s="37" t="s">
        <v>7</v>
      </c>
      <c r="D67" s="42"/>
    </row>
    <row r="68" spans="1:4">
      <c r="A68" s="28"/>
      <c r="B68" s="28"/>
      <c r="C68" s="28"/>
      <c r="D68" s="28"/>
    </row>
    <row r="69" spans="1:4">
      <c r="A69" s="5" t="s">
        <v>905</v>
      </c>
      <c r="B69" s="28"/>
      <c r="C69" s="28"/>
      <c r="D69" s="28"/>
    </row>
    <row r="70" spans="1:4">
      <c r="A70" s="60" t="s">
        <v>0</v>
      </c>
      <c r="B70" s="23" t="s">
        <v>1</v>
      </c>
      <c r="C70" s="23" t="s">
        <v>558</v>
      </c>
      <c r="D70" s="24" t="s">
        <v>3</v>
      </c>
    </row>
    <row r="71" spans="1:4" ht="48">
      <c r="A71" s="67" t="s">
        <v>906</v>
      </c>
      <c r="B71" s="34">
        <v>0.5</v>
      </c>
      <c r="C71" s="28" t="s">
        <v>33</v>
      </c>
      <c r="D71" s="33" t="s">
        <v>208</v>
      </c>
    </row>
    <row r="72" spans="1:4" ht="32">
      <c r="A72" s="67" t="s">
        <v>907</v>
      </c>
      <c r="B72" s="65">
        <f>B71*data_rawmat!B266</f>
        <v>75047367.439842254</v>
      </c>
      <c r="C72" s="28" t="s">
        <v>7</v>
      </c>
      <c r="D72" s="29"/>
    </row>
    <row r="73" spans="1:4" ht="32">
      <c r="A73" s="68" t="s">
        <v>908</v>
      </c>
      <c r="B73" s="112">
        <f>B71*data_rawmat!B269</f>
        <v>930989993.86411107</v>
      </c>
      <c r="C73" s="37" t="s">
        <v>7</v>
      </c>
      <c r="D73" s="42"/>
    </row>
    <row r="74" spans="1:4">
      <c r="A74" s="28"/>
      <c r="B74" s="28"/>
      <c r="C74" s="28"/>
      <c r="D74" s="28"/>
    </row>
    <row r="75" spans="1:4">
      <c r="A75" s="5" t="s">
        <v>909</v>
      </c>
      <c r="B75" s="28"/>
      <c r="C75" s="28"/>
      <c r="D75" s="28"/>
    </row>
    <row r="76" spans="1:4">
      <c r="A76" s="60" t="s">
        <v>0</v>
      </c>
      <c r="B76" s="23" t="s">
        <v>1</v>
      </c>
      <c r="C76" s="23" t="s">
        <v>558</v>
      </c>
      <c r="D76" s="24" t="s">
        <v>3</v>
      </c>
    </row>
    <row r="77" spans="1:4" ht="48">
      <c r="A77" s="67" t="s">
        <v>910</v>
      </c>
      <c r="B77" s="34">
        <v>1</v>
      </c>
      <c r="C77" s="28" t="s">
        <v>33</v>
      </c>
      <c r="D77" s="33" t="s">
        <v>208</v>
      </c>
    </row>
    <row r="78" spans="1:4" ht="32">
      <c r="A78" s="67" t="s">
        <v>911</v>
      </c>
      <c r="B78" s="65">
        <f>B77*data_rawmat!B280</f>
        <v>144882150.60461316</v>
      </c>
      <c r="C78" s="28" t="s">
        <v>7</v>
      </c>
      <c r="D78" s="29"/>
    </row>
    <row r="79" spans="1:4" ht="32">
      <c r="A79" s="68" t="s">
        <v>912</v>
      </c>
      <c r="B79" s="112">
        <f>B77*data_rawmat!B281</f>
        <v>1301372183.9650013</v>
      </c>
      <c r="C79" s="37" t="s">
        <v>7</v>
      </c>
      <c r="D79" s="42"/>
    </row>
    <row r="80" spans="1:4">
      <c r="A80" s="28"/>
      <c r="B80" s="28"/>
      <c r="C80" s="28"/>
      <c r="D80" s="28"/>
    </row>
    <row r="81" spans="1:4">
      <c r="A81" s="5" t="s">
        <v>913</v>
      </c>
      <c r="B81" s="28"/>
      <c r="C81" s="28"/>
      <c r="D81" s="28"/>
    </row>
    <row r="82" spans="1:4">
      <c r="A82" s="60" t="s">
        <v>0</v>
      </c>
      <c r="B82" s="23" t="s">
        <v>1</v>
      </c>
      <c r="C82" s="23" t="s">
        <v>558</v>
      </c>
      <c r="D82" s="24" t="s">
        <v>3</v>
      </c>
    </row>
    <row r="83" spans="1:4" ht="48">
      <c r="A83" s="67" t="s">
        <v>914</v>
      </c>
      <c r="B83" s="34">
        <v>1</v>
      </c>
      <c r="C83" s="28" t="s">
        <v>33</v>
      </c>
      <c r="D83" s="33" t="s">
        <v>208</v>
      </c>
    </row>
    <row r="84" spans="1:4" ht="32">
      <c r="A84" s="67" t="s">
        <v>915</v>
      </c>
      <c r="B84" s="28">
        <f>B83*data_rawmat!B293</f>
        <v>1637397635.7442424</v>
      </c>
      <c r="C84" s="28" t="s">
        <v>7</v>
      </c>
      <c r="D84" s="29"/>
    </row>
    <row r="85" spans="1:4" ht="32">
      <c r="A85" s="68" t="s">
        <v>916</v>
      </c>
      <c r="B85" s="37">
        <f>B83*data_rawmat!B296</f>
        <v>19478963591.028831</v>
      </c>
      <c r="C85" s="37" t="s">
        <v>7</v>
      </c>
      <c r="D85" s="42"/>
    </row>
    <row r="86" spans="1:4">
      <c r="A86" s="28"/>
      <c r="B86" s="28"/>
      <c r="C86" s="28"/>
      <c r="D86" s="28"/>
    </row>
    <row r="87" spans="1:4">
      <c r="A87" s="5" t="s">
        <v>917</v>
      </c>
      <c r="B87" s="28"/>
      <c r="C87" s="28"/>
      <c r="D87" s="28"/>
    </row>
    <row r="88" spans="1:4">
      <c r="A88" s="60" t="s">
        <v>0</v>
      </c>
      <c r="B88" s="23" t="s">
        <v>1</v>
      </c>
      <c r="C88" s="23" t="s">
        <v>558</v>
      </c>
      <c r="D88" s="24" t="s">
        <v>3</v>
      </c>
    </row>
    <row r="89" spans="1:4" ht="48">
      <c r="A89" s="67" t="s">
        <v>918</v>
      </c>
      <c r="B89" s="34">
        <v>0.8</v>
      </c>
      <c r="C89" s="28" t="s">
        <v>33</v>
      </c>
      <c r="D89" s="33" t="s">
        <v>208</v>
      </c>
    </row>
    <row r="90" spans="1:4" ht="32">
      <c r="A90" s="67" t="s">
        <v>919</v>
      </c>
      <c r="B90" s="65">
        <f>B89*data_rawmat!B306</f>
        <v>14573157.092815302</v>
      </c>
      <c r="C90" s="28" t="s">
        <v>7</v>
      </c>
      <c r="D90" s="29"/>
    </row>
    <row r="91" spans="1:4" ht="32">
      <c r="A91" s="67" t="s">
        <v>920</v>
      </c>
      <c r="B91" s="65">
        <f>B89*data_rawmat!B307</f>
        <v>179046778.0523245</v>
      </c>
      <c r="C91" s="28" t="s">
        <v>7</v>
      </c>
      <c r="D91" s="29"/>
    </row>
    <row r="92" spans="1:4">
      <c r="A92" s="39"/>
      <c r="B92" s="37"/>
      <c r="C92" s="37"/>
      <c r="D92" s="42"/>
    </row>
    <row r="93" spans="1:4">
      <c r="A93" s="5" t="s">
        <v>921</v>
      </c>
      <c r="B93" s="28"/>
      <c r="C93" s="28"/>
      <c r="D93" s="28"/>
    </row>
    <row r="94" spans="1:4">
      <c r="A94" s="60" t="s">
        <v>0</v>
      </c>
      <c r="B94" s="23" t="s">
        <v>1</v>
      </c>
      <c r="C94" s="23" t="s">
        <v>558</v>
      </c>
      <c r="D94" s="24" t="s">
        <v>3</v>
      </c>
    </row>
    <row r="95" spans="1:4" ht="48">
      <c r="A95" s="67" t="s">
        <v>922</v>
      </c>
      <c r="B95" s="34">
        <v>1</v>
      </c>
      <c r="C95" s="28" t="s">
        <v>33</v>
      </c>
      <c r="D95" s="33" t="s">
        <v>208</v>
      </c>
    </row>
    <row r="96" spans="1:4" ht="32">
      <c r="A96" s="67" t="s">
        <v>923</v>
      </c>
      <c r="B96" s="28">
        <f>B95*data_intmat!B200</f>
        <v>7660173699.2558842</v>
      </c>
      <c r="C96" s="28" t="s">
        <v>7</v>
      </c>
      <c r="D96" s="29"/>
    </row>
    <row r="97" spans="1:4" ht="32">
      <c r="A97" s="68" t="s">
        <v>924</v>
      </c>
      <c r="B97" s="37">
        <f>B95*data_intmat!B203</f>
        <v>93871755543.729797</v>
      </c>
      <c r="C97" s="37" t="s">
        <v>7</v>
      </c>
      <c r="D97" s="42"/>
    </row>
    <row r="98" spans="1:4">
      <c r="A98" s="28"/>
      <c r="B98" s="28"/>
      <c r="C98" s="28"/>
      <c r="D98" s="28"/>
    </row>
    <row r="99" spans="1:4">
      <c r="A99" s="5" t="s">
        <v>925</v>
      </c>
      <c r="B99" s="28"/>
      <c r="C99" s="28"/>
      <c r="D99" s="28"/>
    </row>
    <row r="100" spans="1:4">
      <c r="A100" s="60" t="s">
        <v>0</v>
      </c>
      <c r="B100" s="23" t="s">
        <v>1</v>
      </c>
      <c r="C100" s="23" t="s">
        <v>558</v>
      </c>
      <c r="D100" s="24" t="s">
        <v>3</v>
      </c>
    </row>
    <row r="101" spans="1:4" ht="48">
      <c r="A101" s="67" t="s">
        <v>926</v>
      </c>
      <c r="B101" s="34">
        <v>1</v>
      </c>
      <c r="C101" s="28" t="s">
        <v>33</v>
      </c>
      <c r="D101" s="33" t="s">
        <v>208</v>
      </c>
    </row>
    <row r="102" spans="1:4" ht="32">
      <c r="A102" s="67" t="s">
        <v>927</v>
      </c>
      <c r="B102" s="65">
        <f>B101*data_intmat!B240</f>
        <v>147062255.36412385</v>
      </c>
      <c r="C102" s="28" t="s">
        <v>7</v>
      </c>
      <c r="D102" s="29"/>
    </row>
    <row r="103" spans="1:4" ht="32">
      <c r="A103" s="68" t="s">
        <v>928</v>
      </c>
      <c r="B103" s="112">
        <f>B101*data_intmat!B241</f>
        <v>1287754755.9224045</v>
      </c>
      <c r="C103" s="37" t="s">
        <v>7</v>
      </c>
      <c r="D103" s="42"/>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10" workbookViewId="0">
      <selection activeCell="D11" sqref="D11"/>
    </sheetView>
  </sheetViews>
  <sheetFormatPr baseColWidth="10" defaultRowHeight="16"/>
  <cols>
    <col min="1" max="1" width="35" customWidth="1"/>
    <col min="2" max="2" width="16.1796875" customWidth="1"/>
    <col min="3" max="3" width="23.453125" customWidth="1"/>
    <col min="4" max="4" width="27.08984375" customWidth="1"/>
    <col min="5" max="5" width="81.08984375" customWidth="1"/>
  </cols>
  <sheetData>
    <row r="1" spans="1:5" ht="17.5">
      <c r="A1" s="124" t="s">
        <v>930</v>
      </c>
    </row>
    <row r="3" spans="1:5">
      <c r="A3" t="s">
        <v>931</v>
      </c>
    </row>
    <row r="5" spans="1:5" ht="32">
      <c r="A5" t="s">
        <v>932</v>
      </c>
      <c r="B5" t="s">
        <v>933</v>
      </c>
      <c r="C5" s="1" t="s">
        <v>934</v>
      </c>
      <c r="D5" t="s">
        <v>935</v>
      </c>
      <c r="E5" t="s">
        <v>936</v>
      </c>
    </row>
    <row r="6" spans="1:5">
      <c r="A6" t="s">
        <v>937</v>
      </c>
      <c r="B6" t="s">
        <v>938</v>
      </c>
      <c r="C6">
        <v>0</v>
      </c>
      <c r="D6" s="14" t="s">
        <v>1092</v>
      </c>
    </row>
    <row r="7" spans="1:5">
      <c r="A7" t="s">
        <v>939</v>
      </c>
      <c r="C7">
        <v>0</v>
      </c>
      <c r="D7" t="s">
        <v>941</v>
      </c>
    </row>
    <row r="8" spans="1:5">
      <c r="A8" t="s">
        <v>940</v>
      </c>
      <c r="C8">
        <v>0</v>
      </c>
      <c r="D8" t="s">
        <v>941</v>
      </c>
    </row>
    <row r="9" spans="1:5" ht="48">
      <c r="A9" t="s">
        <v>957</v>
      </c>
      <c r="B9" t="s">
        <v>942</v>
      </c>
      <c r="C9">
        <v>1</v>
      </c>
      <c r="D9" s="158" t="s">
        <v>1093</v>
      </c>
      <c r="E9" s="1" t="s">
        <v>1094</v>
      </c>
    </row>
    <row r="10" spans="1:5">
      <c r="A10" t="s">
        <v>943</v>
      </c>
      <c r="C10">
        <v>0</v>
      </c>
      <c r="D10" t="s">
        <v>941</v>
      </c>
    </row>
    <row r="11" spans="1:5" ht="32">
      <c r="A11" s="1" t="s">
        <v>944</v>
      </c>
      <c r="B11" t="s">
        <v>945</v>
      </c>
      <c r="C11">
        <v>0</v>
      </c>
      <c r="D11" s="158" t="s">
        <v>1095</v>
      </c>
    </row>
    <row r="12" spans="1:5">
      <c r="A12" t="s">
        <v>949</v>
      </c>
      <c r="C12">
        <v>0</v>
      </c>
      <c r="D12" t="s">
        <v>941</v>
      </c>
    </row>
    <row r="13" spans="1:5" ht="16" customHeight="1">
      <c r="A13" t="s">
        <v>946</v>
      </c>
      <c r="C13">
        <v>1</v>
      </c>
      <c r="D13" t="s">
        <v>950</v>
      </c>
      <c r="E13" s="157" t="s">
        <v>1110</v>
      </c>
    </row>
    <row r="14" spans="1:5">
      <c r="A14" t="s">
        <v>947</v>
      </c>
      <c r="C14">
        <v>1</v>
      </c>
      <c r="D14" t="s">
        <v>950</v>
      </c>
      <c r="E14" s="157"/>
    </row>
    <row r="15" spans="1:5">
      <c r="A15" t="s">
        <v>948</v>
      </c>
      <c r="C15">
        <v>7</v>
      </c>
      <c r="D15" t="s">
        <v>950</v>
      </c>
      <c r="E15" s="157"/>
    </row>
    <row r="16" spans="1:5">
      <c r="A16" t="s">
        <v>951</v>
      </c>
      <c r="C16">
        <v>1</v>
      </c>
      <c r="D16" t="s">
        <v>950</v>
      </c>
      <c r="E16" s="157"/>
    </row>
    <row r="17" spans="1:5">
      <c r="A17" t="s">
        <v>960</v>
      </c>
      <c r="B17" t="s">
        <v>961</v>
      </c>
      <c r="C17">
        <v>0</v>
      </c>
      <c r="D17" s="14" t="s">
        <v>1096</v>
      </c>
      <c r="E17" s="123"/>
    </row>
    <row r="18" spans="1:5">
      <c r="A18" t="s">
        <v>952</v>
      </c>
      <c r="B18" t="s">
        <v>953</v>
      </c>
      <c r="C18">
        <v>0</v>
      </c>
      <c r="D18" s="14" t="s">
        <v>1097</v>
      </c>
    </row>
    <row r="19" spans="1:5">
      <c r="A19" t="s">
        <v>954</v>
      </c>
      <c r="B19" t="s">
        <v>955</v>
      </c>
      <c r="C19">
        <v>1</v>
      </c>
      <c r="D19" s="14" t="s">
        <v>1098</v>
      </c>
    </row>
    <row r="20" spans="1:5">
      <c r="A20" t="s">
        <v>958</v>
      </c>
      <c r="B20" t="s">
        <v>959</v>
      </c>
      <c r="C20">
        <v>0</v>
      </c>
      <c r="D20" s="14" t="s">
        <v>1099</v>
      </c>
    </row>
    <row r="21" spans="1:5">
      <c r="A21" t="s">
        <v>956</v>
      </c>
    </row>
    <row r="23" spans="1:5">
      <c r="A23" s="20" t="s">
        <v>1043</v>
      </c>
    </row>
    <row r="24" spans="1:5">
      <c r="A24" t="s">
        <v>1100</v>
      </c>
    </row>
    <row r="25" spans="1:5">
      <c r="A25" t="s">
        <v>1101</v>
      </c>
    </row>
    <row r="26" spans="1:5">
      <c r="A26" t="s">
        <v>1102</v>
      </c>
    </row>
    <row r="27" spans="1:5">
      <c r="A27" t="s">
        <v>1103</v>
      </c>
    </row>
    <row r="28" spans="1:5">
      <c r="A28" t="s">
        <v>1104</v>
      </c>
    </row>
    <row r="29" spans="1:5">
      <c r="A29" t="s">
        <v>1105</v>
      </c>
    </row>
    <row r="30" spans="1:5">
      <c r="A30" t="s">
        <v>1106</v>
      </c>
    </row>
    <row r="31" spans="1:5">
      <c r="A31" t="s">
        <v>1107</v>
      </c>
    </row>
    <row r="32" spans="1:5">
      <c r="A32" t="s">
        <v>1108</v>
      </c>
    </row>
    <row r="33" spans="1:1">
      <c r="A33" t="s">
        <v>1109</v>
      </c>
    </row>
  </sheetData>
  <mergeCells count="1">
    <mergeCell ref="E13:E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data_1tier</vt:lpstr>
      <vt:lpstr>data_2tier</vt:lpstr>
      <vt:lpstr>data_3tier</vt:lpstr>
      <vt:lpstr>data_4tier</vt:lpstr>
      <vt:lpstr>data_rawmat</vt:lpstr>
      <vt:lpstr>data_intmat</vt:lpstr>
      <vt:lpstr>data_min</vt:lpstr>
      <vt:lpstr>data(temporal relevance)</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2022-04-14T07:19:16Z</dcterms:created>
  <dcterms:modified xsi:type="dcterms:W3CDTF">2023-05-18T12:24:41Z</dcterms:modified>
</cp:coreProperties>
</file>