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ma\Desktop\BW2 3. Paper\Inventory model\P3_LCIA_data\"/>
    </mc:Choice>
  </mc:AlternateContent>
  <bookViews>
    <workbookView xWindow="0" yWindow="0" windowWidth="18620" windowHeight="10190" activeTab="5"/>
  </bookViews>
  <sheets>
    <sheet name="Fuel_flows" sheetId="1" r:id="rId1"/>
    <sheet name="Prices" sheetId="6" r:id="rId2"/>
    <sheet name="PVI_calc" sheetId="2" r:id="rId3"/>
    <sheet name="DI_calc" sheetId="3" r:id="rId4"/>
    <sheet name="Import amount CHE" sheetId="4" r:id="rId5"/>
    <sheet name="Comparison BEC and ICEC" sheetId="5" r:id="rId6"/>
  </sheets>
  <externalReferences>
    <externalReference r:id="rId7"/>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5" l="1"/>
  <c r="I4" i="5"/>
  <c r="B11" i="5" l="1"/>
  <c r="N4" i="5"/>
  <c r="I11" i="5"/>
  <c r="C44" i="6" l="1"/>
  <c r="C43" i="6"/>
  <c r="C42" i="6"/>
  <c r="C35" i="6"/>
  <c r="C34" i="6"/>
  <c r="C33" i="6"/>
  <c r="C26" i="6"/>
  <c r="C25" i="6"/>
  <c r="C24" i="6"/>
  <c r="C17" i="6"/>
  <c r="C16" i="6"/>
  <c r="C15" i="6"/>
  <c r="C8" i="6"/>
  <c r="C7" i="6"/>
  <c r="C6" i="6"/>
  <c r="B42" i="4" l="1"/>
  <c r="B40" i="4"/>
  <c r="B39" i="4"/>
  <c r="C39" i="4" s="1"/>
  <c r="B38" i="4"/>
  <c r="C38" i="4" s="1"/>
  <c r="B37" i="4"/>
  <c r="C37" i="4" s="1"/>
  <c r="B36" i="4"/>
  <c r="C36" i="4" s="1"/>
  <c r="B35" i="4"/>
  <c r="C35" i="4" s="1"/>
  <c r="C42" i="4"/>
  <c r="C40" i="4"/>
  <c r="P5" i="3"/>
  <c r="T13" i="1" l="1"/>
  <c r="T12" i="1"/>
  <c r="T11" i="1"/>
  <c r="N34" i="5" l="1"/>
  <c r="I51" i="5"/>
  <c r="I50" i="5"/>
  <c r="I49" i="5"/>
  <c r="I48" i="5"/>
  <c r="B27" i="5"/>
  <c r="N30" i="5"/>
  <c r="N29" i="5"/>
  <c r="N22" i="5"/>
  <c r="B4" i="5"/>
  <c r="B6" i="5"/>
  <c r="N33" i="5" s="1"/>
  <c r="B14" i="5"/>
  <c r="B19" i="4"/>
  <c r="B18" i="4"/>
  <c r="B11" i="4"/>
  <c r="S15" i="3"/>
  <c r="T12" i="3" s="1"/>
  <c r="P8" i="3"/>
  <c r="N7" i="3"/>
  <c r="N8" i="3"/>
  <c r="N9" i="3"/>
  <c r="N10" i="3"/>
  <c r="N11" i="3"/>
  <c r="N12" i="3"/>
  <c r="O12" i="3" s="1"/>
  <c r="P12" i="3" s="1"/>
  <c r="N13" i="3"/>
  <c r="O13" i="3" s="1"/>
  <c r="P13" i="3" s="1"/>
  <c r="N14" i="3"/>
  <c r="O14" i="3" s="1"/>
  <c r="P14" i="3" s="1"/>
  <c r="N15" i="3"/>
  <c r="N16" i="3"/>
  <c r="O16" i="3" s="1"/>
  <c r="P16" i="3" s="1"/>
  <c r="N17" i="3"/>
  <c r="N18" i="3"/>
  <c r="O18" i="3" s="1"/>
  <c r="P18" i="3" s="1"/>
  <c r="N19" i="3"/>
  <c r="O19" i="3" s="1"/>
  <c r="P19" i="3" s="1"/>
  <c r="N20" i="3"/>
  <c r="O20" i="3" s="1"/>
  <c r="P20" i="3" s="1"/>
  <c r="N6" i="3"/>
  <c r="O17" i="3"/>
  <c r="P17" i="3" s="1"/>
  <c r="O15" i="3"/>
  <c r="P15" i="3" s="1"/>
  <c r="O11" i="3"/>
  <c r="P11" i="3" s="1"/>
  <c r="O10" i="3"/>
  <c r="P10" i="3" s="1"/>
  <c r="O9" i="3"/>
  <c r="P9" i="3" s="1"/>
  <c r="O8" i="3"/>
  <c r="O7" i="3"/>
  <c r="P7" i="3" s="1"/>
  <c r="O6" i="3"/>
  <c r="P6" i="3" s="1"/>
  <c r="M6" i="3"/>
  <c r="M21" i="3" s="1"/>
  <c r="O5" i="3"/>
  <c r="G5" i="3"/>
  <c r="G32" i="3" s="1"/>
  <c r="B23" i="3"/>
  <c r="B22" i="3"/>
  <c r="B21" i="3"/>
  <c r="B20" i="3"/>
  <c r="B19" i="3"/>
  <c r="B18" i="3"/>
  <c r="B17" i="3"/>
  <c r="B16" i="3"/>
  <c r="B15" i="3"/>
  <c r="B14" i="3"/>
  <c r="B13" i="3"/>
  <c r="B12" i="3"/>
  <c r="B11" i="3"/>
  <c r="B10" i="3"/>
  <c r="B9" i="3"/>
  <c r="B8" i="3"/>
  <c r="B7" i="3"/>
  <c r="B6" i="3"/>
  <c r="B5" i="3"/>
  <c r="P28" i="2"/>
  <c r="P29" i="2" s="1"/>
  <c r="X19" i="2"/>
  <c r="X20" i="2" s="1"/>
  <c r="T19" i="2"/>
  <c r="T20" i="2" s="1"/>
  <c r="B48" i="2"/>
  <c r="B46" i="2"/>
  <c r="B49" i="2" s="1"/>
  <c r="P19" i="2"/>
  <c r="P20" i="2" s="1"/>
  <c r="B35" i="2"/>
  <c r="B33" i="2"/>
  <c r="B32" i="2"/>
  <c r="H19" i="2" s="1"/>
  <c r="H20" i="2" s="1"/>
  <c r="B20" i="2"/>
  <c r="B21" i="2"/>
  <c r="B22" i="2"/>
  <c r="B23" i="2"/>
  <c r="B27" i="2"/>
  <c r="B26" i="2"/>
  <c r="B25" i="2"/>
  <c r="B24" i="2"/>
  <c r="B55" i="2"/>
  <c r="B15" i="2"/>
  <c r="B8" i="2"/>
  <c r="B7" i="2"/>
  <c r="B6" i="2"/>
  <c r="B38" i="1"/>
  <c r="B37" i="1"/>
  <c r="B36" i="1"/>
  <c r="B35" i="1"/>
  <c r="B34" i="1"/>
  <c r="B31" i="1"/>
  <c r="B30" i="1"/>
  <c r="B29" i="1"/>
  <c r="B20" i="1"/>
  <c r="B9" i="1"/>
  <c r="B8" i="1"/>
  <c r="H5" i="1" s="1"/>
  <c r="B19" i="1"/>
  <c r="B5" i="1"/>
  <c r="P5" i="1" s="1"/>
  <c r="P7" i="1" s="1"/>
  <c r="L5" i="1" l="1"/>
  <c r="L7" i="1"/>
  <c r="T10" i="1" s="1"/>
  <c r="L8" i="1"/>
  <c r="T9" i="1" s="1"/>
  <c r="L11" i="1"/>
  <c r="L10" i="1"/>
  <c r="L9" i="1"/>
  <c r="D14" i="4" s="1"/>
  <c r="T5" i="1"/>
  <c r="P8" i="1"/>
  <c r="P11" i="1" s="1"/>
  <c r="H7" i="1"/>
  <c r="H8" i="1"/>
  <c r="H9" i="1"/>
  <c r="N26" i="5"/>
  <c r="N25" i="5"/>
  <c r="I6" i="5"/>
  <c r="I5" i="5"/>
  <c r="B15" i="4"/>
  <c r="B14" i="4"/>
  <c r="D15" i="4"/>
  <c r="B41" i="4"/>
  <c r="C18" i="3"/>
  <c r="C21" i="3"/>
  <c r="C16" i="3"/>
  <c r="C17" i="3"/>
  <c r="C12" i="3"/>
  <c r="H9" i="3"/>
  <c r="H17" i="3"/>
  <c r="H25" i="3"/>
  <c r="H10" i="3"/>
  <c r="H18" i="3"/>
  <c r="H26" i="3"/>
  <c r="H13" i="3"/>
  <c r="H29" i="3"/>
  <c r="H11" i="3"/>
  <c r="H19" i="3"/>
  <c r="H27" i="3"/>
  <c r="H12" i="3"/>
  <c r="H20" i="3"/>
  <c r="H28" i="3"/>
  <c r="H21" i="3"/>
  <c r="H6" i="3"/>
  <c r="H14" i="3"/>
  <c r="H22" i="3"/>
  <c r="H30" i="3"/>
  <c r="H7" i="3"/>
  <c r="H15" i="3"/>
  <c r="H23" i="3"/>
  <c r="H31" i="3"/>
  <c r="H8" i="3"/>
  <c r="H16" i="3"/>
  <c r="H24" i="3"/>
  <c r="H5" i="3"/>
  <c r="C20" i="3"/>
  <c r="T11" i="3"/>
  <c r="T10" i="3"/>
  <c r="T9" i="3"/>
  <c r="T8" i="3"/>
  <c r="B24" i="3"/>
  <c r="C10" i="3" s="1"/>
  <c r="T5" i="3"/>
  <c r="T7" i="3"/>
  <c r="T14" i="3"/>
  <c r="T6" i="3"/>
  <c r="T13" i="3"/>
  <c r="C5" i="3"/>
  <c r="O21" i="3"/>
  <c r="P21" i="3" s="1"/>
  <c r="H28" i="2"/>
  <c r="H29" i="2" s="1"/>
  <c r="L28" i="2"/>
  <c r="L29" i="2" s="1"/>
  <c r="L19" i="2"/>
  <c r="L20" i="2" s="1"/>
  <c r="P5" i="2"/>
  <c r="T8" i="2"/>
  <c r="P6" i="2"/>
  <c r="T5" i="2"/>
  <c r="H9" i="2"/>
  <c r="L6" i="2"/>
  <c r="L5" i="2"/>
  <c r="L7" i="2"/>
  <c r="T7" i="2"/>
  <c r="P8" i="2"/>
  <c r="T6" i="2"/>
  <c r="P7" i="2"/>
  <c r="L8" i="2"/>
  <c r="H8" i="2"/>
  <c r="H6" i="2"/>
  <c r="H7" i="2"/>
  <c r="H5" i="2"/>
  <c r="U5" i="3" l="1"/>
  <c r="E63" i="4"/>
  <c r="E66" i="4"/>
  <c r="E65" i="4"/>
  <c r="E61" i="4"/>
  <c r="E64" i="4"/>
  <c r="E67" i="4"/>
  <c r="E62" i="4"/>
  <c r="E59" i="4"/>
  <c r="E60" i="4"/>
  <c r="T7" i="1"/>
  <c r="C7" i="4"/>
  <c r="C8" i="4"/>
  <c r="C9" i="4"/>
  <c r="C10" i="4"/>
  <c r="C5" i="4"/>
  <c r="C6" i="4"/>
  <c r="L13" i="1"/>
  <c r="L12" i="1"/>
  <c r="L16" i="1" s="1"/>
  <c r="C14" i="4"/>
  <c r="E14" i="4" s="1"/>
  <c r="H11" i="1"/>
  <c r="H10" i="1"/>
  <c r="D26" i="4"/>
  <c r="D29" i="4"/>
  <c r="D24" i="4"/>
  <c r="D27" i="4"/>
  <c r="D25" i="4"/>
  <c r="D28" i="4"/>
  <c r="C15" i="4"/>
  <c r="E15" i="4" s="1"/>
  <c r="P10" i="1"/>
  <c r="P9" i="1"/>
  <c r="T8" i="1"/>
  <c r="C24" i="4"/>
  <c r="C25" i="4"/>
  <c r="C26" i="4"/>
  <c r="C28" i="4"/>
  <c r="C29" i="4"/>
  <c r="C27" i="4"/>
  <c r="D6" i="4"/>
  <c r="D7" i="4"/>
  <c r="D5" i="4"/>
  <c r="D8" i="4"/>
  <c r="D9" i="4"/>
  <c r="D10" i="4"/>
  <c r="N6" i="5"/>
  <c r="N5" i="5"/>
  <c r="J38" i="5"/>
  <c r="I10" i="5"/>
  <c r="I9" i="5"/>
  <c r="C15" i="3"/>
  <c r="C11" i="3"/>
  <c r="C19" i="3"/>
  <c r="C6" i="3"/>
  <c r="C14" i="3"/>
  <c r="C22" i="3"/>
  <c r="C7" i="3"/>
  <c r="C23" i="3"/>
  <c r="C9" i="3"/>
  <c r="C13" i="3"/>
  <c r="C8" i="3"/>
  <c r="L9" i="2"/>
  <c r="L10" i="2" s="1"/>
  <c r="P9" i="2"/>
  <c r="U7" i="3" s="1"/>
  <c r="T9" i="2"/>
  <c r="H10" i="2"/>
  <c r="H11" i="2" s="1"/>
  <c r="H12" i="2" s="1"/>
  <c r="U11" i="3" l="1"/>
  <c r="I22" i="3"/>
  <c r="I29" i="3"/>
  <c r="I19" i="3"/>
  <c r="I15" i="3"/>
  <c r="I6" i="3"/>
  <c r="U9" i="3"/>
  <c r="U8" i="3"/>
  <c r="U6" i="3"/>
  <c r="I10" i="3"/>
  <c r="I28" i="3"/>
  <c r="D22" i="3"/>
  <c r="I21" i="3"/>
  <c r="D17" i="3"/>
  <c r="D6" i="3"/>
  <c r="D10" i="3"/>
  <c r="D20" i="3"/>
  <c r="I25" i="3"/>
  <c r="D8" i="3"/>
  <c r="D19" i="3"/>
  <c r="I9" i="3"/>
  <c r="I20" i="3"/>
  <c r="D18" i="3"/>
  <c r="I27" i="3"/>
  <c r="D13" i="3"/>
  <c r="I13" i="3"/>
  <c r="D9" i="3"/>
  <c r="I14" i="3"/>
  <c r="U14" i="3"/>
  <c r="I5" i="3"/>
  <c r="D16" i="3"/>
  <c r="D11" i="3"/>
  <c r="I11" i="3"/>
  <c r="I7" i="3"/>
  <c r="I30" i="3"/>
  <c r="D15" i="3"/>
  <c r="D5" i="3"/>
  <c r="D23" i="3"/>
  <c r="D12" i="3"/>
  <c r="I16" i="3"/>
  <c r="I17" i="3"/>
  <c r="I18" i="3"/>
  <c r="I26" i="3"/>
  <c r="D21" i="3"/>
  <c r="D7" i="3"/>
  <c r="T10" i="2"/>
  <c r="Y6" i="3"/>
  <c r="Y14" i="3"/>
  <c r="Y5" i="3"/>
  <c r="Y8" i="3"/>
  <c r="Y9" i="3"/>
  <c r="Y11" i="3"/>
  <c r="Y10" i="3"/>
  <c r="Y12" i="3"/>
  <c r="Y13" i="3"/>
  <c r="Y7" i="3"/>
  <c r="I23" i="3"/>
  <c r="P10" i="2"/>
  <c r="U12" i="3"/>
  <c r="D14" i="3"/>
  <c r="I8" i="3"/>
  <c r="I12" i="3"/>
  <c r="I24" i="3"/>
  <c r="I31" i="3"/>
  <c r="U13" i="3"/>
  <c r="U10" i="3"/>
  <c r="E5" i="4"/>
  <c r="E9" i="4"/>
  <c r="E6" i="4"/>
  <c r="E10" i="4"/>
  <c r="H13" i="1"/>
  <c r="H12" i="1"/>
  <c r="E8" i="4"/>
  <c r="E7" i="4"/>
  <c r="T6" i="1"/>
  <c r="H14" i="1"/>
  <c r="E25" i="4"/>
  <c r="F25" i="4" s="1"/>
  <c r="E29" i="4"/>
  <c r="F29" i="4" s="1"/>
  <c r="E24" i="4"/>
  <c r="F24" i="4" s="1"/>
  <c r="E26" i="4"/>
  <c r="F26" i="4" s="1"/>
  <c r="E27" i="4"/>
  <c r="F27" i="4" s="1"/>
  <c r="E28" i="4"/>
  <c r="F28" i="4" s="1"/>
  <c r="D66" i="4"/>
  <c r="D61" i="4"/>
  <c r="D64" i="4"/>
  <c r="D67" i="4"/>
  <c r="D62" i="4"/>
  <c r="D60" i="4"/>
  <c r="D59" i="4"/>
  <c r="D65" i="4"/>
  <c r="D63" i="4"/>
  <c r="E53" i="4"/>
  <c r="E48" i="4"/>
  <c r="E49" i="4"/>
  <c r="E51" i="4"/>
  <c r="E47" i="4"/>
  <c r="E50" i="4"/>
  <c r="E52" i="4"/>
  <c r="L14" i="1"/>
  <c r="L15" i="1"/>
  <c r="O20" i="5"/>
  <c r="O21" i="5"/>
  <c r="O22" i="5"/>
  <c r="O19" i="5"/>
  <c r="O25" i="5"/>
  <c r="O26" i="5"/>
  <c r="O17" i="5"/>
  <c r="O16" i="5"/>
  <c r="O18" i="5"/>
  <c r="J44" i="5"/>
  <c r="J43" i="5"/>
  <c r="J42" i="5"/>
  <c r="J39" i="5"/>
  <c r="J40" i="5"/>
  <c r="J41" i="5"/>
  <c r="J37" i="5"/>
  <c r="J45" i="5"/>
  <c r="J17" i="5"/>
  <c r="J19" i="5"/>
  <c r="J20" i="5"/>
  <c r="J18" i="5"/>
  <c r="J21" i="5"/>
  <c r="J16" i="5"/>
  <c r="J28" i="5"/>
  <c r="J29" i="5"/>
  <c r="J27" i="5"/>
  <c r="J30" i="5"/>
  <c r="J31" i="5"/>
  <c r="J26" i="5"/>
  <c r="J32" i="5"/>
  <c r="C49" i="4" l="1"/>
  <c r="C50" i="4"/>
  <c r="C48" i="4"/>
  <c r="C52" i="4"/>
  <c r="C53" i="4"/>
  <c r="C47" i="4"/>
  <c r="C51" i="4"/>
  <c r="C61" i="4"/>
  <c r="C59" i="4"/>
  <c r="F67" i="4"/>
  <c r="C64" i="4"/>
  <c r="F60" i="4"/>
  <c r="F59" i="4"/>
  <c r="C67" i="4"/>
  <c r="F61" i="4"/>
  <c r="F62" i="4"/>
  <c r="C65" i="4"/>
  <c r="F63" i="4"/>
  <c r="F65" i="4"/>
  <c r="C66" i="4"/>
  <c r="C62" i="4"/>
  <c r="C60" i="4"/>
  <c r="F64" i="4"/>
  <c r="C63" i="4"/>
  <c r="F66" i="4"/>
  <c r="D48" i="4"/>
  <c r="D49" i="4"/>
  <c r="D50" i="4"/>
  <c r="D51" i="4"/>
  <c r="D52" i="4"/>
  <c r="D47" i="4"/>
  <c r="D53" i="4"/>
  <c r="F48" i="4" l="1"/>
  <c r="F49" i="4"/>
  <c r="F51" i="4"/>
  <c r="F47" i="4"/>
  <c r="F68" i="4"/>
  <c r="F53" i="4"/>
  <c r="F52" i="4"/>
  <c r="F50" i="4"/>
</calcChain>
</file>

<file path=xl/sharedStrings.xml><?xml version="1.0" encoding="utf-8"?>
<sst xmlns="http://schemas.openxmlformats.org/spreadsheetml/2006/main" count="832" uniqueCount="389">
  <si>
    <t>Fuel consumption in Switzerland per sector</t>
  </si>
  <si>
    <t>Term</t>
  </si>
  <si>
    <t>Value</t>
  </si>
  <si>
    <t>unit</t>
  </si>
  <si>
    <t>Source</t>
  </si>
  <si>
    <t>comment</t>
  </si>
  <si>
    <t>Final energy consumption in Switzerland in 2020</t>
  </si>
  <si>
    <t>kWh</t>
  </si>
  <si>
    <t>(BFE 2020b)</t>
  </si>
  <si>
    <t>1 TJ is equal to 277778 kWh (https://www.einheiten-umrechnen.de/einheiten-rechner.php?typ=energie)</t>
  </si>
  <si>
    <t>Energy consumption in form of electricity in Switzerland in 2020</t>
  </si>
  <si>
    <t>Mobility</t>
  </si>
  <si>
    <t>Energy consumption per sector in %</t>
  </si>
  <si>
    <t>Energy</t>
  </si>
  <si>
    <t>covers the categories "households" and "industry"</t>
  </si>
  <si>
    <t>ICT</t>
  </si>
  <si>
    <t>(BFE 2022a)</t>
  </si>
  <si>
    <t>Share of Swiss domestic production of electricity</t>
  </si>
  <si>
    <t>(the GlobalEconomy.com 2020)</t>
  </si>
  <si>
    <t>Electricity supply by natural gas</t>
  </si>
  <si>
    <t>(Malerba et al. 2022)</t>
  </si>
  <si>
    <t>Share on the European electricity mix</t>
  </si>
  <si>
    <t>Electricity supply by coal</t>
  </si>
  <si>
    <t>Electricity supply by uranium</t>
  </si>
  <si>
    <t>(Björnsen Gurung et al. 2016)</t>
  </si>
  <si>
    <t>Share on the Swiss electricity mix</t>
  </si>
  <si>
    <t>Electricity produced in Switzerland is mainly supplied in form of hydroelectricity. The supply of hydroelectricity does not require any fuel as primary source.</t>
  </si>
  <si>
    <t>The electricity imported by Switzerland is assumed to be imported from European countries and thus the European electricity mix is considered</t>
  </si>
  <si>
    <t>Mobility sector</t>
  </si>
  <si>
    <t>Energy consumption of the mobility sector</t>
  </si>
  <si>
    <t>petroleum oil</t>
  </si>
  <si>
    <t>electricity</t>
  </si>
  <si>
    <t>Natural gas</t>
  </si>
  <si>
    <t>Energy sector</t>
  </si>
  <si>
    <t>Share of fuels in energy sector (based on BFE (2020b)):</t>
  </si>
  <si>
    <t>Share of fuels in mobility sector (based on BFE (2020b)):</t>
  </si>
  <si>
    <t>Fuel wood</t>
  </si>
  <si>
    <t>Coal</t>
  </si>
  <si>
    <t>Petroleum oil</t>
  </si>
  <si>
    <t>Electricity</t>
  </si>
  <si>
    <t>Energy supply from petroleum oil</t>
  </si>
  <si>
    <t>Energy supply from natural gas</t>
  </si>
  <si>
    <t>Energy supply from electricity</t>
  </si>
  <si>
    <t>Energy supply from natural gas used to produce electricity</t>
  </si>
  <si>
    <t>Energy supply from imported electricity</t>
  </si>
  <si>
    <t>Energy supply from domestically produced electricity</t>
  </si>
  <si>
    <t>Energy supply from coal used to produce electricity</t>
  </si>
  <si>
    <t>Energy supply from uranium used to produce electricity</t>
  </si>
  <si>
    <t>Energy consumption of the energy sector</t>
  </si>
  <si>
    <t>Energy supply from fuel wood</t>
  </si>
  <si>
    <t>Energy supply from coal</t>
  </si>
  <si>
    <t>ICT sector</t>
  </si>
  <si>
    <t>Energy consumption of the ICT sector in form of electricity</t>
  </si>
  <si>
    <t>Calculation of the PVI</t>
  </si>
  <si>
    <t>Global average driven distance per car per year</t>
  </si>
  <si>
    <t>km</t>
  </si>
  <si>
    <t>(Solar On EV 2021)</t>
  </si>
  <si>
    <t>The average driving distance is estimated based on the means.</t>
  </si>
  <si>
    <t>Average driven distance per car per year in Switzerland</t>
  </si>
  <si>
    <t>(Tucki et al. 2019)</t>
  </si>
  <si>
    <t>Global average driven distance per truck per year</t>
  </si>
  <si>
    <t>The average driving distance is estmated based on the data for period 1 (i.e. 123 days from 1Jul 2019 – 31Oct 2019) stated in the source.</t>
  </si>
  <si>
    <t>Global average driven distance per bus per year</t>
  </si>
  <si>
    <t xml:space="preserve">Oil used for PHEC, HEC and HEB  </t>
  </si>
  <si>
    <t>l/km</t>
  </si>
  <si>
    <t>(Mamala et al. 2021)</t>
  </si>
  <si>
    <t>Oil used for ICEC</t>
  </si>
  <si>
    <t>Oil used for ICEB</t>
  </si>
  <si>
    <t>(Al-Mahadin and Mustafa 2018)</t>
  </si>
  <si>
    <t>Oil used for ICET</t>
  </si>
  <si>
    <t>(webfleet 2020)</t>
  </si>
  <si>
    <t>mass of oil per barrel</t>
  </si>
  <si>
    <t>l/barrel</t>
  </si>
  <si>
    <t>https://energyeducation.ca/encyclopedia/In_a_barrel_of_oil</t>
  </si>
  <si>
    <t>Energy content per oil barrel</t>
  </si>
  <si>
    <t>kWh/barrel</t>
  </si>
  <si>
    <t>https://www.investopedia.com/terms/b/barrelofoilequivalent.asp</t>
  </si>
  <si>
    <t>Energy content per oil</t>
  </si>
  <si>
    <t>kWh/l</t>
  </si>
  <si>
    <t>Share of Swiss domestic production of Oil</t>
  </si>
  <si>
    <t>Nuclear power</t>
  </si>
  <si>
    <t>Rest</t>
  </si>
  <si>
    <t>Data used for the calculation</t>
  </si>
  <si>
    <t>Global Oil production for PHEC and HEC per year</t>
  </si>
  <si>
    <t>Global Oil production for HEB</t>
  </si>
  <si>
    <t xml:space="preserve">Global Oil production for ICEC </t>
  </si>
  <si>
    <t xml:space="preserve">Global Oil production for ICEB </t>
  </si>
  <si>
    <t xml:space="preserve">Global Oil production for ICET </t>
  </si>
  <si>
    <t xml:space="preserve">Global Oil production for mobility sector </t>
  </si>
  <si>
    <t>Global Oil production for mobility sector in energy content</t>
  </si>
  <si>
    <t>Battery electric car (BEC)</t>
  </si>
  <si>
    <t>Plug-in hybrid electric car (PHEC)</t>
  </si>
  <si>
    <t>Hybrid electric car (HEC)</t>
  </si>
  <si>
    <t>Battery electric bus (BEB)</t>
  </si>
  <si>
    <t>Hybrid electric bus (HEB)</t>
  </si>
  <si>
    <t>Internal combustion engine bus (ICEB)</t>
  </si>
  <si>
    <t>Internal combustion engine truck (ICET)</t>
  </si>
  <si>
    <t>Stock of vehicles globally</t>
  </si>
  <si>
    <t>Internal combustion engine car (ICEC)</t>
  </si>
  <si>
    <t>piece</t>
  </si>
  <si>
    <t>l</t>
  </si>
  <si>
    <t>Energy content per liter of oil</t>
  </si>
  <si>
    <t>Global natural gas production for PHEC and HEC per year</t>
  </si>
  <si>
    <t>Global natural gas production for HEB</t>
  </si>
  <si>
    <t xml:space="preserve">Global natural gas production for mobility sector </t>
  </si>
  <si>
    <t>(eia 2022)</t>
  </si>
  <si>
    <t xml:space="preserve">Electricity used by BEC and BEB </t>
  </si>
  <si>
    <t>kWh/km</t>
  </si>
  <si>
    <t>(Mamala et al. 2021), (Virta Global 2022)</t>
  </si>
  <si>
    <t xml:space="preserve">Electricity used by PHEC, HEC and HEB  </t>
  </si>
  <si>
    <t>(Virta Global 2022)</t>
  </si>
  <si>
    <t>Global natural gas production for BEC</t>
  </si>
  <si>
    <t>Global natural gas production for BEB</t>
  </si>
  <si>
    <t>Global coal production for PHEC and HEC per year</t>
  </si>
  <si>
    <t>Global coal production for HEB</t>
  </si>
  <si>
    <t>Global coal production for BEC</t>
  </si>
  <si>
    <t>Global coal production for BEB</t>
  </si>
  <si>
    <t xml:space="preserve">Global coal production for mobility sector </t>
  </si>
  <si>
    <t>Uranium</t>
  </si>
  <si>
    <t>Global uranium production for PHEC and HEC per year</t>
  </si>
  <si>
    <t>Global uranium production for HEB</t>
  </si>
  <si>
    <t>Global uranium production for BEC</t>
  </si>
  <si>
    <t>Global uranium production for BEB</t>
  </si>
  <si>
    <t xml:space="preserve">Global uranium production for mobility sector </t>
  </si>
  <si>
    <t>Global annual oil consumption in million tonnes oil equivalent</t>
  </si>
  <si>
    <t>Mtoe</t>
  </si>
  <si>
    <t>(IEA 2018)</t>
  </si>
  <si>
    <t>Energy conversion from cubic meter gas to kWh</t>
  </si>
  <si>
    <t>kWh/cubic meter</t>
  </si>
  <si>
    <t>(Erste AM Communications 2020)</t>
  </si>
  <si>
    <t>Global annual natural gas consumption in million tonnes oil equivalent</t>
  </si>
  <si>
    <t>billion cubic meter</t>
  </si>
  <si>
    <t>(Enerdata 2022a)</t>
  </si>
  <si>
    <t>cubic meter fuel wood in tonne of fuel wood</t>
  </si>
  <si>
    <t>cubic meter per tonne</t>
  </si>
  <si>
    <t>https://bettaburnfirewood.com.au/faqs/</t>
  </si>
  <si>
    <t>toe oil equivalent per 1 tonne of fuel wood</t>
  </si>
  <si>
    <t>toe/tonne fuel wood</t>
  </si>
  <si>
    <t>https://unece.org/forests/handy-guide-wood-energy</t>
  </si>
  <si>
    <t>Energy conversion from toe oil to kWh</t>
  </si>
  <si>
    <t>kWh/toe</t>
  </si>
  <si>
    <t>https://www.unitjuggler.com/energy-umwandeln-von-Mtoe-nach-kWh.html</t>
  </si>
  <si>
    <t>Global annual fuel wood production in million cubic meter</t>
  </si>
  <si>
    <t>million cubic meter</t>
  </si>
  <si>
    <t>(FAOSTAT 2021)</t>
  </si>
  <si>
    <t>Data mobility sector</t>
  </si>
  <si>
    <t>Data energy sector</t>
  </si>
  <si>
    <t>Energy conversion from Mtoe oil to kWh</t>
  </si>
  <si>
    <t>kWh/Mtoe</t>
  </si>
  <si>
    <t>Global annual oil consumption of the energy sector</t>
  </si>
  <si>
    <t>Global in-use stock of oil for the energy sector over the considered time horizon (i.e. 5 years)</t>
  </si>
  <si>
    <t>Global in-use stock of natural gas for the energy sector over the considered time horizon (i.e. 5 years)</t>
  </si>
  <si>
    <t>Share of the global oil consumption used in the energy sector</t>
  </si>
  <si>
    <t>Share of the global natural gas consumption used in the energy sector</t>
  </si>
  <si>
    <t>References:</t>
  </si>
  <si>
    <t xml:space="preserve">BFE, 2020a. Analyse des schweizerischen Energieverbrauchs 2000–2019 nach Verwendungszwecken, in Bundesamt für Energie (ed.). </t>
  </si>
  <si>
    <t xml:space="preserve">BFE, 2020b. Schweizerische Gesamtenergiestatistik 2020, in Bundesamt für Energie (ed.). </t>
  </si>
  <si>
    <t xml:space="preserve">Björnsen Gurung, A., Borsdorf, A., Füreder, L., Kienast, F., Matt, P., Scheidegger, C., Schmocker, L., Zappa, M., Volkart, K., 2016. Rethinking Pumped Storage Hydropower in the European Alps. Mountain Research and Development. 36, 222-32. </t>
  </si>
  <si>
    <t>Malerba, L., Al Mazouzi, A., Bertolus, M., Cologna, M., Efsing, P., Jianu, A., Kinnunen, P., Nilsson, K.-F., Rabung, M., Tarantino, M., 2022. Materials for Sustainable Nuclear Energy: A European Strategic Research and Innovation Agenda for All Reactor Generations. Energies. 15, 1845. 10.3390/en15051845.</t>
  </si>
  <si>
    <t>the GlobalEconomy.com, 2020. Switzerland: Electricity imports. https://www.theglobaleconomy.com/Switzerland/electricity_imports/ (accessed 06/02/2023).</t>
  </si>
  <si>
    <t>(King 2017)</t>
  </si>
  <si>
    <t>Global annual fuel wood consumption of the energy sector</t>
  </si>
  <si>
    <t>Global in-use stock of fuel wood for the energy sector over the considered time horizon (i.e. 5 years)</t>
  </si>
  <si>
    <t>Global annual natural gas consumption of the energy sector</t>
  </si>
  <si>
    <t>Global electricity consumption</t>
  </si>
  <si>
    <t>(Enerdata 2022b)</t>
  </si>
  <si>
    <t>(IEA 2021)</t>
  </si>
  <si>
    <t>(Enerdata 2018)</t>
  </si>
  <si>
    <t>Share of the global electricity consumption used in the ICT sector</t>
  </si>
  <si>
    <t>Share of the global electricity consumption used in the transport sector</t>
  </si>
  <si>
    <t>Share of the global electricity consumption used in the energy sector</t>
  </si>
  <si>
    <t>Electricity data for all three sectors</t>
  </si>
  <si>
    <t>Global annual coal consumption of the energy sector</t>
  </si>
  <si>
    <t>Global in-use stock of coal for the energy sector over the considered time horizon (i.e. 5 years)</t>
  </si>
  <si>
    <t>Global annual uranium consumption of the energy sector</t>
  </si>
  <si>
    <t>Global in-use stock of uranium for the energy sector over the considered time horizon (i.e. 5 years)</t>
  </si>
  <si>
    <t>Global annual natural gas consumption of the ICT sector</t>
  </si>
  <si>
    <t>Global in-use stock of coal for the ICT sector over the considered time horizon (i.e. 5 years)</t>
  </si>
  <si>
    <t>Global in-use stock of natural gas for the ICT sector over the considered time horizon (i.e. 5 years)</t>
  </si>
  <si>
    <t>Global annual uranium consumption of the ICT sector</t>
  </si>
  <si>
    <t>Global in-use stock of uranium for the ICT sector over the considered time horizon (i.e. 5 years)</t>
  </si>
  <si>
    <t xml:space="preserve">Electricity mix (here the electricity mix of OECD countries reported by Daugy and Prime (2021) is considered) </t>
  </si>
  <si>
    <t>References</t>
  </si>
  <si>
    <t>Al-Mahadin, A., Mustafa, M., 2018. Utilizing fuel cell technology for Dubai Roads and Transport Authority (RTA), 1-6. 10.1109/ICASET.2018.8376784.</t>
  </si>
  <si>
    <t>Daugy, M., Prime, J., 2021. Key electricity trends 2020. International Energy Agency, https://www.iea.org/articles/key-electricity-trends-2020 (accessed 19/04/2023).</t>
  </si>
  <si>
    <t>Enerdata, 2018. Between 10 and 20% of electricity consumption from the ICT* sector in 2030? https://www.enerdata.net/publications/executive-briefing/between-10-and-20-electricity-consumption-ict-sector-2030.html (accessed 07/02/2023).</t>
  </si>
  <si>
    <t>Enerdata, 2022a. Electricity production. https://yearbook.enerdata.net/electricity/world-electricity-production-statistics.html (accessed 06/02/2023).</t>
  </si>
  <si>
    <t>Enerdata, 2022b. Natural gas production. https://yearbook.enerdata.net/natural-gas/world-natural-gas-production-statistics.html (accessed 06/02/2023).</t>
  </si>
  <si>
    <t>Erste AM Communications, 2020. Corona and the oil market. https://blog.en.erste-am.com/corona-and-the-oil-market/ (accessed 06/02/2023).</t>
  </si>
  <si>
    <t>FAOSTAT, 2021. Forest product statistics - Facts and figures. https://www.fao.org/forestry/statistics/80938/en/ (accessed 06/02/2023).</t>
  </si>
  <si>
    <t>IEA, 2018. World oil final consumption by sector. https://www.iea.org/data-and-statistics/charts/world-oil-final-consumption-by-sector-2018 (accessed 06/02/2023).</t>
  </si>
  <si>
    <t>IEA, 2021. Key World Energy Statistics 2021. https://www.iea.org/reports/key-world-energy-statistics-2021 (accessed 06702/2023).</t>
  </si>
  <si>
    <t>King, H.M., 2017. Natural Gas: A Fuel and a Raw Material. https://geology.com/articles/natural-gas-uses/ (accessed 19/04/2023).</t>
  </si>
  <si>
    <t>Mamala, J., Graba, M., Bieniek, A., Prażnowski, K., Augustynowicz, A., Smieja, M., 2021. Study of energy consumption of a hybrid vehicle in real-world conditions. Eksploatacja i Niezawodnosc - Maintenance and Reliability. 23, 636-45. 10.17531/ein.2021.4.6.</t>
  </si>
  <si>
    <t>Solar On EV, 2021. Worldwide Daily Driving Distance is 25-50km? What about AU, US, UK, EU, and... https://www.solaronev.com/post/average-daily-driving-distance-for-passenger-vehicles (accessed 01/03/2023).</t>
  </si>
  <si>
    <t>Virta Global, 2022. EV Charging - how much electricity does an electric car use? https://www.virta.global/blog/ev-charging-101-how-much-electricity-does-an-electric-car-use (accessed 01/03/2023).</t>
  </si>
  <si>
    <t>webfleet, 2020. What is the diesel consumption per mile of trucks? https://www.webfleet.com/en_gb/webfleet/blog/do-you-know-the-diesel-consumption-of-a-lorry-per-km/ (accessed 01/03/2023).</t>
  </si>
  <si>
    <t>Production shares of oil produced globally are determined based on eia (2022)</t>
  </si>
  <si>
    <t>Oil production countries</t>
  </si>
  <si>
    <t>Production shares above 1% in 2020</t>
  </si>
  <si>
    <t>Derived global production shares</t>
  </si>
  <si>
    <t>Algeria</t>
  </si>
  <si>
    <t>Angola</t>
  </si>
  <si>
    <t>Brazil</t>
  </si>
  <si>
    <t>Canada</t>
  </si>
  <si>
    <t>China</t>
  </si>
  <si>
    <t>Iran</t>
  </si>
  <si>
    <t>Iraq</t>
  </si>
  <si>
    <t>Kazakhstan</t>
  </si>
  <si>
    <t>Kuwait</t>
  </si>
  <si>
    <t>Mexico</t>
  </si>
  <si>
    <t>Nigeria</t>
  </si>
  <si>
    <t>Norway</t>
  </si>
  <si>
    <t>Oman</t>
  </si>
  <si>
    <t>Qatar</t>
  </si>
  <si>
    <t>Russia</t>
  </si>
  <si>
    <t>Saudi Arabia</t>
  </si>
  <si>
    <t>United Arab Emirates</t>
  </si>
  <si>
    <t>United Kingdom</t>
  </si>
  <si>
    <t>USA</t>
  </si>
  <si>
    <t>total</t>
  </si>
  <si>
    <t>Natural gas production shares are estimated based on data from worldometer (2017). Only countries with production amounts higher than 1% of the total production are considered.</t>
  </si>
  <si>
    <t>Gas production countries</t>
  </si>
  <si>
    <t>Production amounts in 2017 (MMcf)</t>
  </si>
  <si>
    <t>Indonesia</t>
  </si>
  <si>
    <t>Turkmenistan</t>
  </si>
  <si>
    <t>Venezuela</t>
  </si>
  <si>
    <t>Malaysia</t>
  </si>
  <si>
    <t>Australia</t>
  </si>
  <si>
    <t>Uzbekistan</t>
  </si>
  <si>
    <t>Netherlands</t>
  </si>
  <si>
    <t>Egypt</t>
  </si>
  <si>
    <t>Thailand</t>
  </si>
  <si>
    <t>Argentina</t>
  </si>
  <si>
    <t>Trinidad and Tobago</t>
  </si>
  <si>
    <t>Pakistan</t>
  </si>
  <si>
    <t>Production countries</t>
  </si>
  <si>
    <t>Production shares based on FAO (2021)</t>
  </si>
  <si>
    <t>Production amounts in cubic meter and production shares in 2013 based on HelgiLibrary (2016)</t>
  </si>
  <si>
    <t>Estimated production shares</t>
  </si>
  <si>
    <t>India</t>
  </si>
  <si>
    <t>Ethiopia</t>
  </si>
  <si>
    <t>Dem. Rep. of the Congo</t>
  </si>
  <si>
    <t>Bangladesh</t>
  </si>
  <si>
    <t>France</t>
  </si>
  <si>
    <t>Ghana</t>
  </si>
  <si>
    <t>Myanmar</t>
  </si>
  <si>
    <t>Uganda</t>
  </si>
  <si>
    <t>Taiwan</t>
  </si>
  <si>
    <t>Global coal production shares are estimated based on data from Garside (2023)</t>
  </si>
  <si>
    <t>Coal production countries</t>
  </si>
  <si>
    <t>Production amounts in 2020 (million metric tons)</t>
  </si>
  <si>
    <t>South Africa</t>
  </si>
  <si>
    <t>Poland</t>
  </si>
  <si>
    <t>Colombia</t>
  </si>
  <si>
    <t>Global uranium production shares are estimated based on data from (Loesche 2017)</t>
  </si>
  <si>
    <t>Uranium production countries</t>
  </si>
  <si>
    <t>Production shares</t>
  </si>
  <si>
    <t>Namibia</t>
  </si>
  <si>
    <t>Niger</t>
  </si>
  <si>
    <t>Ukraine</t>
  </si>
  <si>
    <t>Fuel wood production shares are estimated based on data from FAO (2021) and HelgiLibrary (2016)</t>
  </si>
  <si>
    <t>eia, 2022. Petroleum and other liquids. https://www.eia.gov/international/data/world (accessed 06/02/2023).</t>
  </si>
  <si>
    <t>FAO, 2021. Forest product statistics - Forest product consumption and production. https://www.fao.org/forestry/statistics/80938@180723/en/ (accessed 06/02/2023).</t>
  </si>
  <si>
    <t>Garside, M., 2023. Leading hard coal producing countries worldwide in 2020. statista, https://www.statista.com/statistics/264775/top-10-countries-based-on-hard-coal-production/ (accessed 19/04/2023).</t>
  </si>
  <si>
    <t>HelgiLibrary, 2016. Wood Fuel Production. https://www.helgilibrary.com/indicators/wood-fuel-production/ (accessed 06/02/2023).</t>
  </si>
  <si>
    <t>Loesche, D., 2017. Where the Uranium Comes From. statista, https://www.statista.com/chart/12304/countries-with-the-biggest-production-volume-of-uranium/ (accessed 19/04/2023).</t>
  </si>
  <si>
    <t>worldometer, 2017. Natural Gas Production by Country. https://www.worldometers.info/gas/gas-production-by-country/ (accessed 06/02/2023).</t>
  </si>
  <si>
    <t xml:space="preserve">Production shares of crude oil used in Switzerland are determined based on FDFA (2023). </t>
  </si>
  <si>
    <t>Oil production countries exporting to Switzerland</t>
  </si>
  <si>
    <t>Swiss import shares</t>
  </si>
  <si>
    <t>Libya</t>
  </si>
  <si>
    <t>Other countries</t>
  </si>
  <si>
    <t>Assumed that these countries are the ones with shares higher than 10% of the global production amounts, when they are not already mentioned. Import shares are estimated based on the production distributions of these countries.</t>
  </si>
  <si>
    <t>Other countries:</t>
  </si>
  <si>
    <t>Economy: Swiss import amounts of oil in kWh</t>
  </si>
  <si>
    <t>Energy sector: Swiss import amounts of oil in kWh</t>
  </si>
  <si>
    <t>Mobility sector: Swiss import amounts of oil in kWh</t>
  </si>
  <si>
    <t>Import shares of natural gas for electricity production in European countries is determined based on Krecke (2022)</t>
  </si>
  <si>
    <t>Natural gas production countries exporting to Europe</t>
  </si>
  <si>
    <t>European import shares</t>
  </si>
  <si>
    <t xml:space="preserve">Algeria </t>
  </si>
  <si>
    <t>Mobility sector: European import amounts of natural gas in kWh</t>
  </si>
  <si>
    <t>Energy sector: European import amounts of natural gas in kWh</t>
  </si>
  <si>
    <t>ICT sector: European import amounts of natural gas in kWh</t>
  </si>
  <si>
    <t>Economy: European import amounts of natural gas in kWh</t>
  </si>
  <si>
    <t>Austria</t>
  </si>
  <si>
    <t>Germany</t>
  </si>
  <si>
    <t>Italy</t>
  </si>
  <si>
    <t>Energy sector: Swiss import amounts of fuel wood in kWh</t>
  </si>
  <si>
    <t>Import share of urnaium is determined based on Nakhle (2022)</t>
  </si>
  <si>
    <t>Uranium production countries exporting to Europe</t>
  </si>
  <si>
    <t>Kazakhastan</t>
  </si>
  <si>
    <t>EU</t>
  </si>
  <si>
    <t xml:space="preserve">Rest </t>
  </si>
  <si>
    <t>Mobility sector: European import amounts of uranium in kWh</t>
  </si>
  <si>
    <t>Import share of coal is determined based on Pandey (2022)</t>
  </si>
  <si>
    <t>Coal production countries exporting to Europe</t>
  </si>
  <si>
    <t>Economy: European import amounts of uranium in kWh</t>
  </si>
  <si>
    <t>Energy sector: European import amounts of uranium in kWh</t>
  </si>
  <si>
    <t>ICT sector: European import amounts of uranium in kWh</t>
  </si>
  <si>
    <t>Mobility sector: European import amounts of coal in kWh</t>
  </si>
  <si>
    <t>Energy sector: European import amounts of coal in kWh</t>
  </si>
  <si>
    <t>ICT sector: European import amounts of coal in kWh</t>
  </si>
  <si>
    <t>Economy: European import amounts of coal in kWh</t>
  </si>
  <si>
    <t>FDFA, 2023. Energy – Facts and Figures. https://www.eda.admin.ch/aboutswitzerland/en/home/wirtschaft/energie/energie---fakten-und-zahlen.html (accessed 06/02/2023).</t>
  </si>
  <si>
    <t xml:space="preserve">Gaulier, G., Zignago, S., 2010. BACI: International Trade Database at the Product-Level. The 1994-2007 Version, (CEPII). </t>
  </si>
  <si>
    <t>Krecke, E., 2022. ‘Repowering’ the European Union. https://www.gisreportsonline.com/r/repower-eu/ (accessed 18/04/2023).</t>
  </si>
  <si>
    <t>Nakhle, C., 2022. The EU’s uranium question. https://www.crystolenergy.com/the-eus-uranium-question/ (accessed 18/04/2023).</t>
  </si>
  <si>
    <t>Pandey, A., 2022. Can the EU survive without Russian coal? https://www.dw.com/en/how-can-the-eu-survive-without-russian-coal/a-61379128 (accessed 18/04/2023).</t>
  </si>
  <si>
    <t>BEC model fuel supply chain data</t>
  </si>
  <si>
    <t>Electricity used by BEC</t>
  </si>
  <si>
    <t>Electricity mix:</t>
  </si>
  <si>
    <t>Functional unit</t>
  </si>
  <si>
    <t>cars used over 5 years</t>
  </si>
  <si>
    <t>Electricity used by BECs used in Switzerland</t>
  </si>
  <si>
    <t xml:space="preserve">Domestic production of electricity </t>
  </si>
  <si>
    <t>Import of electricity</t>
  </si>
  <si>
    <t>Electricity supply per fuel</t>
  </si>
  <si>
    <t>Import amounts of coal for BECs</t>
  </si>
  <si>
    <t>Import amounts of natural gas</t>
  </si>
  <si>
    <t>Import amounts of coal</t>
  </si>
  <si>
    <t>Import amounts of uranium</t>
  </si>
  <si>
    <t>Import amounts of uranium for BECs</t>
  </si>
  <si>
    <t>Global in-use stock of fuel used for 100 BECs and 100 ICECs over the considered time horizon (i.e. 5 years)</t>
  </si>
  <si>
    <t>PVI calculation</t>
  </si>
  <si>
    <t>ICEC model fuel supply chain data</t>
  </si>
  <si>
    <t>Petroleum oil used by ICECs in Switzerland</t>
  </si>
  <si>
    <t>Domestic production of petroleum oil</t>
  </si>
  <si>
    <t>Import of petroleum oil</t>
  </si>
  <si>
    <t>Import amounts of petroleum oil</t>
  </si>
  <si>
    <t>Global annual petroleum oil production for 100 ICECs</t>
  </si>
  <si>
    <t>Import amounts of petroleum oil for ICECs in kWh</t>
  </si>
  <si>
    <t>Import amounts of natural gas for BECs in kWh</t>
  </si>
  <si>
    <t xml:space="preserve">Electricity mix for global supply (here the electricity mix of OECD countries reported by Daugy and Prime (2021) is considered) </t>
  </si>
  <si>
    <t>Global annual coal production for 100 BECs</t>
  </si>
  <si>
    <t>Global annual natural gas production for 100 BECs</t>
  </si>
  <si>
    <t>Global annual uranium production for 100 BECs</t>
  </si>
  <si>
    <t xml:space="preserve">Tucki, K., Orynycz, O., Świć, A., Mitoraj-Wojtanek, M., 2019. The Development of Electromobility in Poland and EU States as a Tool for Management of CO2 Emissions. Energies. 12 (15), 2942. </t>
  </si>
  <si>
    <t>Economy</t>
  </si>
  <si>
    <t>Energy consumption of the economy (including mobility, energy and ICT sectors)</t>
  </si>
  <si>
    <t>Domestically produced electricity (excluding nuclear power because uranium needs to be imported)</t>
  </si>
  <si>
    <t>Domestic production of fuels in Switzerland:</t>
  </si>
  <si>
    <t>Share of Swiss domestic production of natural gas</t>
  </si>
  <si>
    <t>(worldometer 2017)</t>
  </si>
  <si>
    <t>Share of Swiss domestic production of coal</t>
  </si>
  <si>
    <t>(Garside 2023)</t>
  </si>
  <si>
    <t>Share of Swiss domestic production of uranium</t>
  </si>
  <si>
    <t>Share of Swiss domestic production of fuel wood</t>
  </si>
  <si>
    <t>(Loesche 2017)</t>
  </si>
  <si>
    <t>Global production amounts in GWh</t>
  </si>
  <si>
    <t>Estimated production amounts in GWh</t>
  </si>
  <si>
    <t>Global in-use stock of Oil for the mobility sector over the considered time horizon (i.e. 5 years)</t>
  </si>
  <si>
    <t>Global in-use stock of natural gas for the mobility sector over the considered time horizon (i.e. 5 years)</t>
  </si>
  <si>
    <t>Global in-use stock of coal for the mobility sector over the considered time horizon (i.e. 5 years)</t>
  </si>
  <si>
    <t>Global in-use stock of uranium for the mobility sector over the considered time horizon (i.e. 5 years)</t>
  </si>
  <si>
    <t>Wood production countries exporting to Switzerland</t>
  </si>
  <si>
    <t>Hungary</t>
  </si>
  <si>
    <t>Spain</t>
  </si>
  <si>
    <t>Import shares of Switzerland (higher than 1%)</t>
  </si>
  <si>
    <t>Import share of fuel wood is determined based on TrendEconomy (2021)</t>
  </si>
  <si>
    <t>TrendEconomy, 2021. Switzerland | Imports and Exports | World | Wood in the rough, whether or not stripped of bark or sapwood | Value (US$) and Value Growth, YoY (%) | 2010 - 2021. https://trendeconomy.com/data/h2/Switzerland/4403 (accessed 20/04/2023).</t>
  </si>
  <si>
    <t>Domestically prodcued fuel wood</t>
  </si>
  <si>
    <t>(Federal Office for the Environment 2021)</t>
  </si>
  <si>
    <t xml:space="preserve">Federal Office for the Environment, 2021. Wood Resource Policy 2030 Strategy, Objectives and Wood Action Plan 2021–2026, (Bern). </t>
  </si>
  <si>
    <t>Prices based on TradingEconomics (2023)</t>
  </si>
  <si>
    <t>Crude oil</t>
  </si>
  <si>
    <t>year</t>
  </si>
  <si>
    <t>Price (in $/barrel)</t>
  </si>
  <si>
    <t>Price in $/kWh</t>
  </si>
  <si>
    <t>Unit transformation:</t>
  </si>
  <si>
    <t>Price (in $/MMBtu)</t>
  </si>
  <si>
    <t>Energy content per MMBtu of natural gas</t>
  </si>
  <si>
    <t>kWh/MMBtu</t>
  </si>
  <si>
    <t>https://www.inchcalculator.com/convert/million-btu-to-kilowatt-hour/</t>
  </si>
  <si>
    <t>Price (in $/ton)</t>
  </si>
  <si>
    <t>Energy content per ton of coal</t>
  </si>
  <si>
    <t>kWh/ton</t>
  </si>
  <si>
    <t>https://www.convertunits.com/from/tonne+of+coal+equivalent/to/kWh</t>
  </si>
  <si>
    <t>Price (in $/lbs)</t>
  </si>
  <si>
    <t>Energy content per ton of uranium</t>
  </si>
  <si>
    <t>kWh/lbs</t>
  </si>
  <si>
    <t>https://greencleanguide.com/how-much-fuel-we-need-for-a-year/</t>
  </si>
  <si>
    <t>Wood (Lumber)</t>
  </si>
  <si>
    <t>Price (in $/1000 board feet)</t>
  </si>
  <si>
    <t>Energy content per 1000 board feet</t>
  </si>
  <si>
    <t>kWh/1000 board feet</t>
  </si>
  <si>
    <t>TradingEconomics, 2023. Commodities. https://tradingeconomics.com/commodities (accessed 20/04/2023).</t>
  </si>
  <si>
    <t>The electricity imported by Switzerland is assumed to be imported from European countries and thus the European electricity mix is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</si>
</sst>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 #,##0.00_ ;_ * \-#,##0.00_ ;_ * &quot;-&quot;??_ ;_ @_ "/>
    <numFmt numFmtId="164" formatCode="_ * #,##0_ ;_ * \-#,##0_ ;_ * &quot;-&quot;??_ ;_ @_ "/>
    <numFmt numFmtId="165" formatCode="0.0%"/>
    <numFmt numFmtId="166" formatCode="0.000%"/>
    <numFmt numFmtId="167" formatCode="0.000000"/>
    <numFmt numFmtId="168" formatCode="0.000"/>
  </numFmts>
  <fonts count="4" x14ac:knownFonts="1">
    <font>
      <sz val="10"/>
      <color theme="1"/>
      <name val="Segoe UI"/>
      <family val="2"/>
    </font>
    <font>
      <sz val="10"/>
      <color theme="1"/>
      <name val="Segoe UI"/>
      <family val="2"/>
    </font>
    <font>
      <b/>
      <sz val="10"/>
      <color theme="1"/>
      <name val="Segoe UI"/>
      <family val="2"/>
    </font>
    <font>
      <u/>
      <sz val="11"/>
      <color theme="10"/>
      <name val="Calibri"/>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alignment vertical="top"/>
      <protection locked="0"/>
    </xf>
  </cellStyleXfs>
  <cellXfs count="85">
    <xf numFmtId="0" fontId="0" fillId="0" borderId="0" xfId="0"/>
    <xf numFmtId="0" fontId="0" fillId="0" borderId="1" xfId="0" applyBorder="1"/>
    <xf numFmtId="0" fontId="0" fillId="0" borderId="2" xfId="0" applyBorder="1"/>
    <xf numFmtId="0" fontId="0" fillId="0" borderId="0" xfId="0" applyFill="1" applyBorder="1"/>
    <xf numFmtId="0" fontId="0" fillId="0" borderId="0" xfId="0" applyFill="1" applyBorder="1" applyAlignment="1">
      <alignment wrapText="1"/>
    </xf>
    <xf numFmtId="164" fontId="0" fillId="0" borderId="0" xfId="1" applyNumberFormat="1" applyFont="1"/>
    <xf numFmtId="0" fontId="0" fillId="0" borderId="0" xfId="0" applyAlignment="1">
      <alignment wrapText="1"/>
    </xf>
    <xf numFmtId="9" fontId="0" fillId="0" borderId="0" xfId="2" applyFont="1"/>
    <xf numFmtId="9" fontId="0" fillId="0" borderId="0" xfId="0" applyNumberFormat="1"/>
    <xf numFmtId="10" fontId="0" fillId="0" borderId="0" xfId="2" applyNumberFormat="1" applyFont="1"/>
    <xf numFmtId="0" fontId="2" fillId="0" borderId="0" xfId="0" applyFont="1"/>
    <xf numFmtId="164" fontId="0" fillId="0" borderId="0" xfId="0" applyNumberFormat="1"/>
    <xf numFmtId="43" fontId="0" fillId="0" borderId="0" xfId="0" applyNumberFormat="1"/>
    <xf numFmtId="165" fontId="0" fillId="0" borderId="0" xfId="2" applyNumberFormat="1" applyFont="1"/>
    <xf numFmtId="0" fontId="0" fillId="0" borderId="0" xfId="0" applyBorder="1"/>
    <xf numFmtId="0" fontId="0" fillId="0" borderId="0" xfId="0" applyBorder="1" applyAlignment="1">
      <alignment wrapText="1"/>
    </xf>
    <xf numFmtId="1" fontId="0" fillId="0" borderId="0" xfId="0" applyNumberFormat="1" applyBorder="1"/>
    <xf numFmtId="0" fontId="3" fillId="0" borderId="0" xfId="3" applyAlignment="1" applyProtection="1"/>
    <xf numFmtId="2" fontId="0" fillId="0" borderId="0" xfId="0" applyNumberFormat="1"/>
    <xf numFmtId="0" fontId="0" fillId="0" borderId="0" xfId="0" applyBorder="1" applyAlignment="1"/>
    <xf numFmtId="10" fontId="0" fillId="0" borderId="0" xfId="0" applyNumberFormat="1"/>
    <xf numFmtId="1" fontId="0" fillId="0" borderId="0" xfId="0" applyNumberFormat="1"/>
    <xf numFmtId="0" fontId="2" fillId="0" borderId="0" xfId="0" applyFont="1" applyFill="1" applyBorder="1" applyAlignment="1">
      <alignment wrapText="1"/>
    </xf>
    <xf numFmtId="0" fontId="0" fillId="0" borderId="0" xfId="0" applyAlignment="1"/>
    <xf numFmtId="0" fontId="2" fillId="0" borderId="1" xfId="0" applyFont="1" applyBorder="1"/>
    <xf numFmtId="0" fontId="0" fillId="0" borderId="3" xfId="0" applyBorder="1"/>
    <xf numFmtId="0" fontId="0" fillId="0" borderId="4" xfId="0" applyFont="1" applyBorder="1"/>
    <xf numFmtId="0" fontId="0" fillId="0" borderId="5" xfId="0" applyBorder="1"/>
    <xf numFmtId="0" fontId="0" fillId="0" borderId="4" xfId="0" applyBorder="1" applyAlignment="1">
      <alignment wrapText="1"/>
    </xf>
    <xf numFmtId="164" fontId="0" fillId="0" borderId="0" xfId="1" applyNumberFormat="1" applyFont="1" applyBorder="1"/>
    <xf numFmtId="43" fontId="0" fillId="0" borderId="0" xfId="0" applyNumberFormat="1" applyBorder="1"/>
    <xf numFmtId="164" fontId="0" fillId="0" borderId="0" xfId="0" applyNumberFormat="1"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0" xfId="0" applyFont="1" applyBorder="1"/>
    <xf numFmtId="0" fontId="0" fillId="0" borderId="4" xfId="0" applyFill="1" applyBorder="1" applyAlignment="1">
      <alignment wrapText="1"/>
    </xf>
    <xf numFmtId="1" fontId="0" fillId="0" borderId="0" xfId="1" applyNumberFormat="1" applyFont="1"/>
    <xf numFmtId="0" fontId="0" fillId="0" borderId="0" xfId="0" applyAlignment="1">
      <alignment horizontal="left"/>
    </xf>
    <xf numFmtId="0" fontId="2" fillId="0" borderId="0" xfId="0" applyFont="1" applyAlignment="1">
      <alignment horizontal="left"/>
    </xf>
    <xf numFmtId="0" fontId="2" fillId="0" borderId="4" xfId="0" applyFont="1" applyBorder="1"/>
    <xf numFmtId="0" fontId="0" fillId="0" borderId="4" xfId="0" applyBorder="1" applyAlignment="1"/>
    <xf numFmtId="9" fontId="0" fillId="0" borderId="0" xfId="0" applyNumberFormat="1" applyBorder="1"/>
    <xf numFmtId="9" fontId="0" fillId="0" borderId="0" xfId="2" applyFont="1" applyBorder="1"/>
    <xf numFmtId="0" fontId="0" fillId="0" borderId="6" xfId="0" applyFill="1" applyBorder="1" applyAlignment="1">
      <alignment wrapText="1"/>
    </xf>
    <xf numFmtId="0" fontId="0" fillId="0" borderId="5" xfId="0" applyBorder="1" applyAlignment="1">
      <alignment wrapText="1"/>
    </xf>
    <xf numFmtId="10" fontId="0" fillId="0" borderId="0" xfId="0" applyNumberFormat="1" applyBorder="1"/>
    <xf numFmtId="10" fontId="0" fillId="0" borderId="0" xfId="2" applyNumberFormat="1" applyFont="1" applyBorder="1"/>
    <xf numFmtId="1" fontId="0" fillId="0" borderId="0" xfId="1" applyNumberFormat="1" applyFont="1" applyBorder="1"/>
    <xf numFmtId="1" fontId="0" fillId="0" borderId="7" xfId="0" applyNumberFormat="1" applyBorder="1"/>
    <xf numFmtId="167" fontId="0" fillId="0" borderId="0" xfId="0" applyNumberFormat="1"/>
    <xf numFmtId="168" fontId="0" fillId="0" borderId="0" xfId="0" applyNumberFormat="1"/>
    <xf numFmtId="0" fontId="0" fillId="0" borderId="0" xfId="0" applyFont="1"/>
    <xf numFmtId="1" fontId="0" fillId="0" borderId="5" xfId="0" applyNumberFormat="1" applyBorder="1"/>
    <xf numFmtId="0" fontId="0" fillId="0" borderId="0" xfId="0" applyAlignment="1">
      <alignment horizontal="left" wrapText="1"/>
    </xf>
    <xf numFmtId="0" fontId="0" fillId="0" borderId="0" xfId="0" applyFill="1" applyBorder="1" applyAlignment="1">
      <alignment horizontal="left" wrapText="1"/>
    </xf>
    <xf numFmtId="0" fontId="0" fillId="0" borderId="3" xfId="0" applyFill="1" applyBorder="1"/>
    <xf numFmtId="0" fontId="0" fillId="0" borderId="0" xfId="0" applyBorder="1" applyAlignment="1">
      <alignment vertical="center"/>
    </xf>
    <xf numFmtId="0" fontId="0" fillId="0" borderId="4" xfId="0" applyFill="1" applyBorder="1"/>
    <xf numFmtId="0" fontId="0" fillId="0" borderId="4" xfId="0" applyBorder="1" applyAlignment="1">
      <alignment horizontal="left" vertical="center" wrapText="1"/>
    </xf>
    <xf numFmtId="164" fontId="0" fillId="0" borderId="5" xfId="1" applyNumberFormat="1" applyFont="1" applyBorder="1"/>
    <xf numFmtId="165" fontId="0" fillId="0" borderId="0" xfId="2" applyNumberFormat="1" applyFont="1" applyBorder="1"/>
    <xf numFmtId="9" fontId="0" fillId="0" borderId="7" xfId="2" applyFont="1" applyBorder="1"/>
    <xf numFmtId="0" fontId="0" fillId="0" borderId="6" xfId="0" applyBorder="1" applyAlignment="1">
      <alignment wrapText="1"/>
    </xf>
    <xf numFmtId="164" fontId="0" fillId="0" borderId="7" xfId="1" applyNumberFormat="1" applyFont="1" applyBorder="1"/>
    <xf numFmtId="43" fontId="0" fillId="0" borderId="0" xfId="1" applyNumberFormat="1" applyFont="1" applyBorder="1"/>
    <xf numFmtId="43" fontId="0" fillId="0" borderId="7" xfId="1" applyNumberFormat="1" applyFont="1" applyBorder="1"/>
    <xf numFmtId="164" fontId="0" fillId="0" borderId="7" xfId="0" applyNumberFormat="1" applyBorder="1"/>
    <xf numFmtId="0" fontId="0" fillId="2" borderId="4" xfId="0" applyFont="1" applyFill="1" applyBorder="1"/>
    <xf numFmtId="0" fontId="0" fillId="0" borderId="5" xfId="0" applyFill="1" applyBorder="1"/>
    <xf numFmtId="0" fontId="0" fillId="0" borderId="5" xfId="0" applyFill="1" applyBorder="1" applyAlignment="1">
      <alignment wrapText="1"/>
    </xf>
    <xf numFmtId="0" fontId="3" fillId="0" borderId="0" xfId="3" applyBorder="1" applyAlignment="1" applyProtection="1"/>
    <xf numFmtId="2" fontId="0" fillId="0" borderId="0" xfId="0" applyNumberFormat="1" applyBorder="1"/>
    <xf numFmtId="2" fontId="0" fillId="0" borderId="0" xfId="1" applyNumberFormat="1" applyFont="1" applyBorder="1"/>
    <xf numFmtId="0" fontId="0" fillId="0" borderId="4" xfId="0" applyFont="1" applyFill="1" applyBorder="1" applyAlignment="1">
      <alignment wrapText="1"/>
    </xf>
    <xf numFmtId="0" fontId="0" fillId="0" borderId="0" xfId="0" applyFont="1" applyBorder="1" applyAlignment="1"/>
    <xf numFmtId="166" fontId="0" fillId="0" borderId="7" xfId="0" applyNumberFormat="1" applyBorder="1"/>
    <xf numFmtId="0" fontId="0" fillId="0" borderId="5" xfId="0" applyFill="1" applyBorder="1" applyAlignment="1">
      <alignment horizontal="left" vertical="center" wrapText="1"/>
    </xf>
    <xf numFmtId="0" fontId="0" fillId="0" borderId="0" xfId="0" applyBorder="1" applyAlignment="1">
      <alignment vertical="center" wrapText="1"/>
    </xf>
    <xf numFmtId="0" fontId="3" fillId="0" borderId="0" xfId="3" applyBorder="1" applyAlignment="1" applyProtection="1">
      <alignment wrapText="1"/>
    </xf>
    <xf numFmtId="0" fontId="0" fillId="0" borderId="4" xfId="0" applyBorder="1" applyAlignment="1">
      <alignment horizontal="left" wrapText="1"/>
    </xf>
    <xf numFmtId="0" fontId="0" fillId="0" borderId="0" xfId="0" applyBorder="1" applyAlignment="1">
      <alignment horizontal="left" wrapText="1"/>
    </xf>
    <xf numFmtId="0" fontId="0" fillId="0" borderId="5" xfId="0" applyBorder="1" applyAlignment="1">
      <alignment horizontal="left" wrapText="1"/>
    </xf>
    <xf numFmtId="0" fontId="0" fillId="0" borderId="5" xfId="0" applyBorder="1" applyAlignment="1">
      <alignment horizontal="left" vertical="center" wrapText="1"/>
    </xf>
  </cellXfs>
  <cellStyles count="4">
    <cellStyle name="Komma" xfId="1" builtinId="3"/>
    <cellStyle name="Link" xfId="3" builtinId="8"/>
    <cellStyle name="Prozent" xfId="2"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CIA_Mobilit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1tier"/>
      <sheetName val="data_2tier"/>
      <sheetName val="data_3tier"/>
      <sheetName val="data_4tier"/>
      <sheetName val="data_rawmat"/>
      <sheetName val="data_intmat"/>
      <sheetName val="data_min"/>
      <sheetName val="data(temporal relevance)"/>
    </sheetNames>
    <sheetDataSet>
      <sheetData sheetId="0">
        <row r="7">
          <cell r="AG7">
            <v>13000</v>
          </cell>
        </row>
        <row r="8">
          <cell r="B8">
            <v>6892536</v>
          </cell>
          <cell r="G8">
            <v>3414170</v>
          </cell>
          <cell r="L8">
            <v>9232338.4205668345</v>
          </cell>
          <cell r="R8">
            <v>770101349</v>
          </cell>
          <cell r="W8">
            <v>631000</v>
          </cell>
          <cell r="AB8">
            <v>278341</v>
          </cell>
          <cell r="AG8">
            <v>8000</v>
          </cell>
        </row>
        <row r="10">
          <cell r="AG10">
            <v>91650624151.750977</v>
          </cell>
        </row>
        <row r="12">
          <cell r="AG12">
            <v>2014299431906.6147</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nvestopedia.com/terms/b/barrelofoilequivalent.as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bettaburnfirewood.com.au/faqs/" TargetMode="External"/><Relationship Id="rId7" Type="http://schemas.openxmlformats.org/officeDocument/2006/relationships/printerSettings" Target="../printerSettings/printerSettings2.bin"/><Relationship Id="rId2" Type="http://schemas.openxmlformats.org/officeDocument/2006/relationships/hyperlink" Target="https://www.investopedia.com/terms/b/barrelofoilequivalent.asp" TargetMode="External"/><Relationship Id="rId1" Type="http://schemas.openxmlformats.org/officeDocument/2006/relationships/hyperlink" Target="https://energyeducation.ca/encyclopedia/In_a_barrel_of_oil" TargetMode="External"/><Relationship Id="rId6" Type="http://schemas.openxmlformats.org/officeDocument/2006/relationships/hyperlink" Target="https://unece.org/forests/handy-guide-wood-energy" TargetMode="External"/><Relationship Id="rId5" Type="http://schemas.openxmlformats.org/officeDocument/2006/relationships/hyperlink" Target="https://bettaburnfirewood.com.au/faqs/" TargetMode="External"/><Relationship Id="rId4" Type="http://schemas.openxmlformats.org/officeDocument/2006/relationships/hyperlink" Target="https://unece.org/forests/handy-guide-wood-energy"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investopedia.com/terms/b/barrelofoilequivalent.asp" TargetMode="External"/><Relationship Id="rId1" Type="http://schemas.openxmlformats.org/officeDocument/2006/relationships/hyperlink" Target="https://energyeducation.ca/encyclopedia/In_a_barrel_of_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53"/>
  <sheetViews>
    <sheetView workbookViewId="0">
      <selection activeCell="T7" sqref="T7"/>
    </sheetView>
  </sheetViews>
  <sheetFormatPr baseColWidth="10" defaultRowHeight="16" x14ac:dyDescent="0.45"/>
  <cols>
    <col min="1" max="1" width="39.1796875" customWidth="1"/>
    <col min="2" max="2" width="24.453125" customWidth="1"/>
    <col min="4" max="4" width="27.26953125" customWidth="1"/>
    <col min="5" max="5" width="47.81640625" customWidth="1"/>
    <col min="7" max="7" width="30.1796875" customWidth="1"/>
    <col min="8" max="8" width="20.81640625" customWidth="1"/>
    <col min="11" max="11" width="30.81640625" customWidth="1"/>
    <col min="12" max="12" width="20.1796875" customWidth="1"/>
    <col min="13" max="13" width="19.453125" customWidth="1"/>
    <col min="15" max="15" width="31.1796875" customWidth="1"/>
    <col min="16" max="16" width="20.26953125" customWidth="1"/>
    <col min="17" max="17" width="18.81640625" customWidth="1"/>
    <col min="19" max="19" width="37.54296875" customWidth="1"/>
    <col min="20" max="20" width="20.54296875" customWidth="1"/>
  </cols>
  <sheetData>
    <row r="2" spans="1:21" x14ac:dyDescent="0.45">
      <c r="A2" t="s">
        <v>0</v>
      </c>
    </row>
    <row r="3" spans="1:21" x14ac:dyDescent="0.45">
      <c r="G3" s="10" t="s">
        <v>28</v>
      </c>
      <c r="K3" s="10" t="s">
        <v>33</v>
      </c>
      <c r="O3" s="10" t="s">
        <v>51</v>
      </c>
      <c r="S3" s="10" t="s">
        <v>339</v>
      </c>
    </row>
    <row r="4" spans="1:21" x14ac:dyDescent="0.45">
      <c r="A4" s="1" t="s">
        <v>1</v>
      </c>
      <c r="B4" s="2" t="s">
        <v>2</v>
      </c>
      <c r="C4" s="2" t="s">
        <v>3</v>
      </c>
      <c r="D4" s="2" t="s">
        <v>4</v>
      </c>
      <c r="E4" s="57" t="s">
        <v>5</v>
      </c>
      <c r="G4" s="1" t="s">
        <v>1</v>
      </c>
      <c r="H4" s="2" t="s">
        <v>2</v>
      </c>
      <c r="I4" s="25" t="s">
        <v>3</v>
      </c>
      <c r="J4" s="14"/>
      <c r="K4" s="1" t="s">
        <v>1</v>
      </c>
      <c r="L4" s="2" t="s">
        <v>2</v>
      </c>
      <c r="M4" s="25" t="s">
        <v>3</v>
      </c>
      <c r="O4" s="1" t="s">
        <v>1</v>
      </c>
      <c r="P4" s="2" t="s">
        <v>2</v>
      </c>
      <c r="Q4" s="25" t="s">
        <v>3</v>
      </c>
      <c r="S4" s="1" t="s">
        <v>1</v>
      </c>
      <c r="T4" s="2" t="s">
        <v>2</v>
      </c>
      <c r="U4" s="25" t="s">
        <v>3</v>
      </c>
    </row>
    <row r="5" spans="1:21" ht="32" x14ac:dyDescent="0.45">
      <c r="A5" s="37" t="s">
        <v>6</v>
      </c>
      <c r="B5" s="29">
        <f>747900*277778</f>
        <v>207750166200</v>
      </c>
      <c r="C5" s="14" t="s">
        <v>7</v>
      </c>
      <c r="D5" s="58" t="s">
        <v>8</v>
      </c>
      <c r="E5" s="46" t="s">
        <v>9</v>
      </c>
      <c r="G5" s="28" t="s">
        <v>29</v>
      </c>
      <c r="H5" s="29">
        <f>B8*B5</f>
        <v>68134493897.43644</v>
      </c>
      <c r="I5" s="27" t="s">
        <v>7</v>
      </c>
      <c r="K5" s="28" t="s">
        <v>48</v>
      </c>
      <c r="L5" s="31">
        <f>B5*B9</f>
        <v>101353951166.05031</v>
      </c>
      <c r="M5" s="27" t="s">
        <v>7</v>
      </c>
      <c r="O5" s="28" t="s">
        <v>52</v>
      </c>
      <c r="P5" s="29">
        <f>B5*B10</f>
        <v>10387508310</v>
      </c>
      <c r="Q5" s="27" t="s">
        <v>7</v>
      </c>
      <c r="S5" s="28" t="s">
        <v>340</v>
      </c>
      <c r="T5" s="31">
        <f>H5+L5+P5</f>
        <v>179875953373.48676</v>
      </c>
      <c r="U5" s="27" t="s">
        <v>7</v>
      </c>
    </row>
    <row r="6" spans="1:21" ht="48" x14ac:dyDescent="0.45">
      <c r="A6" s="32"/>
      <c r="B6" s="14"/>
      <c r="C6" s="14"/>
      <c r="D6" s="14"/>
      <c r="E6" s="27"/>
      <c r="G6" s="32"/>
      <c r="H6" s="29"/>
      <c r="I6" s="27"/>
      <c r="K6" s="32"/>
      <c r="L6" s="31"/>
      <c r="M6" s="27"/>
      <c r="O6" s="32"/>
      <c r="P6" s="29"/>
      <c r="Q6" s="27"/>
      <c r="S6" s="37" t="s">
        <v>341</v>
      </c>
      <c r="T6" s="31">
        <f>(H10+L11+P7)*(1-B26)</f>
        <v>29199450155.694233</v>
      </c>
      <c r="U6" s="27" t="s">
        <v>7</v>
      </c>
    </row>
    <row r="7" spans="1:21" ht="32" x14ac:dyDescent="0.45">
      <c r="A7" s="59" t="s">
        <v>12</v>
      </c>
      <c r="B7" s="14"/>
      <c r="C7" s="14"/>
      <c r="D7" s="14"/>
      <c r="E7" s="27"/>
      <c r="G7" s="28" t="s">
        <v>40</v>
      </c>
      <c r="H7" s="29">
        <f>H5*B29</f>
        <v>63019959433.856026</v>
      </c>
      <c r="I7" s="27" t="s">
        <v>7</v>
      </c>
      <c r="K7" s="28" t="s">
        <v>49</v>
      </c>
      <c r="L7" s="31">
        <f>L5*B34</f>
        <v>8010917567.4123631</v>
      </c>
      <c r="M7" s="27" t="s">
        <v>7</v>
      </c>
      <c r="O7" s="28" t="s">
        <v>45</v>
      </c>
      <c r="P7" s="29">
        <f>P5*B20</f>
        <v>4970020373.8149261</v>
      </c>
      <c r="Q7" s="27" t="s">
        <v>7</v>
      </c>
      <c r="S7" s="28" t="s">
        <v>40</v>
      </c>
      <c r="T7" s="31">
        <f>H7+L9</f>
        <v>82797085905.798767</v>
      </c>
      <c r="U7" s="27" t="s">
        <v>7</v>
      </c>
    </row>
    <row r="8" spans="1:21" ht="32" x14ac:dyDescent="0.45">
      <c r="A8" s="59" t="s">
        <v>11</v>
      </c>
      <c r="B8" s="44">
        <f>245120/747400</f>
        <v>0.32796360717152795</v>
      </c>
      <c r="C8" s="14"/>
      <c r="D8" s="58" t="s">
        <v>8</v>
      </c>
      <c r="E8" s="27"/>
      <c r="G8" s="28" t="s">
        <v>41</v>
      </c>
      <c r="H8" s="29">
        <f>H5*B30</f>
        <v>294641659.31495851</v>
      </c>
      <c r="I8" s="27" t="s">
        <v>7</v>
      </c>
      <c r="K8" s="28" t="s">
        <v>50</v>
      </c>
      <c r="L8" s="31">
        <f>L5*B35</f>
        <v>1017347616.1252341</v>
      </c>
      <c r="M8" s="27" t="s">
        <v>7</v>
      </c>
      <c r="O8" s="28" t="s">
        <v>44</v>
      </c>
      <c r="P8" s="29">
        <f>P5*(1-B20)</f>
        <v>5417487936.1850739</v>
      </c>
      <c r="Q8" s="27" t="s">
        <v>7</v>
      </c>
      <c r="S8" s="28" t="s">
        <v>41</v>
      </c>
      <c r="T8" s="31">
        <f>H8+L10</f>
        <v>24043871255.418781</v>
      </c>
      <c r="U8" s="27" t="s">
        <v>7</v>
      </c>
    </row>
    <row r="9" spans="1:21" ht="32" x14ac:dyDescent="0.45">
      <c r="A9" s="59" t="s">
        <v>13</v>
      </c>
      <c r="B9" s="44">
        <f>(219030+145600)/747400</f>
        <v>0.48786459727053788</v>
      </c>
      <c r="C9" s="14"/>
      <c r="D9" s="58" t="s">
        <v>8</v>
      </c>
      <c r="E9" s="27" t="s">
        <v>14</v>
      </c>
      <c r="G9" s="28" t="s">
        <v>42</v>
      </c>
      <c r="H9" s="29">
        <f>H5*B31</f>
        <v>2801875401.7875295</v>
      </c>
      <c r="I9" s="27" t="s">
        <v>7</v>
      </c>
      <c r="K9" s="28" t="s">
        <v>40</v>
      </c>
      <c r="L9" s="31">
        <f>L5*B36</f>
        <v>19777126471.942738</v>
      </c>
      <c r="M9" s="27" t="s">
        <v>7</v>
      </c>
      <c r="O9" s="28" t="s">
        <v>43</v>
      </c>
      <c r="P9" s="29">
        <f>P8*$B$23</f>
        <v>1083497587.2370148</v>
      </c>
      <c r="Q9" s="27" t="s">
        <v>7</v>
      </c>
      <c r="S9" s="28" t="s">
        <v>50</v>
      </c>
      <c r="T9" s="31">
        <f>L8</f>
        <v>1017347616.1252341</v>
      </c>
      <c r="U9" s="27" t="s">
        <v>7</v>
      </c>
    </row>
    <row r="10" spans="1:21" ht="32" x14ac:dyDescent="0.45">
      <c r="A10" s="59" t="s">
        <v>15</v>
      </c>
      <c r="B10" s="43">
        <v>0.05</v>
      </c>
      <c r="C10" s="14"/>
      <c r="D10" s="58" t="s">
        <v>16</v>
      </c>
      <c r="E10" s="27"/>
      <c r="G10" s="28" t="s">
        <v>45</v>
      </c>
      <c r="H10" s="29">
        <f>H9*B20</f>
        <v>1340588851.1654923</v>
      </c>
      <c r="I10" s="27" t="s">
        <v>7</v>
      </c>
      <c r="K10" s="28" t="s">
        <v>41</v>
      </c>
      <c r="L10" s="31">
        <f>L5*B37</f>
        <v>23749229596.103825</v>
      </c>
      <c r="M10" s="27" t="s">
        <v>7</v>
      </c>
      <c r="O10" s="28" t="s">
        <v>46</v>
      </c>
      <c r="P10" s="29">
        <f>P8*$B$24</f>
        <v>704273431.7040596</v>
      </c>
      <c r="Q10" s="27" t="s">
        <v>7</v>
      </c>
      <c r="S10" s="28" t="s">
        <v>49</v>
      </c>
      <c r="T10" s="31">
        <f>L7</f>
        <v>8010917567.4123631</v>
      </c>
      <c r="U10" s="27" t="s">
        <v>7</v>
      </c>
    </row>
    <row r="11" spans="1:21" ht="32" x14ac:dyDescent="0.45">
      <c r="A11" s="59"/>
      <c r="B11" s="43"/>
      <c r="C11" s="14"/>
      <c r="D11" s="58"/>
      <c r="E11" s="27"/>
      <c r="G11" s="28" t="s">
        <v>44</v>
      </c>
      <c r="H11" s="29">
        <f>H9*(1-B20)</f>
        <v>1461286550.6220372</v>
      </c>
      <c r="I11" s="27" t="s">
        <v>7</v>
      </c>
      <c r="K11" s="28" t="s">
        <v>42</v>
      </c>
      <c r="L11" s="31">
        <f>L5*B38</f>
        <v>36007434478.924271</v>
      </c>
      <c r="M11" s="27" t="s">
        <v>7</v>
      </c>
      <c r="O11" s="64" t="s">
        <v>47</v>
      </c>
      <c r="P11" s="65">
        <f>P7*$B$26+P8*$B$25</f>
        <v>2895078299.9288955</v>
      </c>
      <c r="Q11" s="35" t="s">
        <v>7</v>
      </c>
      <c r="S11" s="28" t="s">
        <v>43</v>
      </c>
      <c r="T11" s="31">
        <f>H12+L14+P9</f>
        <v>5131609257.8292542</v>
      </c>
      <c r="U11" s="27" t="s">
        <v>7</v>
      </c>
    </row>
    <row r="12" spans="1:21" ht="32" x14ac:dyDescent="0.45">
      <c r="A12" s="59" t="s">
        <v>342</v>
      </c>
      <c r="B12" s="43"/>
      <c r="C12" s="14"/>
      <c r="D12" s="58"/>
      <c r="E12" s="27"/>
      <c r="G12" s="28" t="s">
        <v>43</v>
      </c>
      <c r="H12" s="29">
        <f>H11*B23</f>
        <v>292257310.12440747</v>
      </c>
      <c r="I12" s="27" t="s">
        <v>7</v>
      </c>
      <c r="K12" s="28" t="s">
        <v>45</v>
      </c>
      <c r="L12" s="31">
        <f>L11*B20</f>
        <v>17228162676.58511</v>
      </c>
      <c r="M12" s="27" t="s">
        <v>7</v>
      </c>
      <c r="S12" s="28" t="s">
        <v>46</v>
      </c>
      <c r="T12" s="31">
        <f>H13+L15+P10</f>
        <v>3335546017.5890155</v>
      </c>
      <c r="U12" s="27" t="s">
        <v>7</v>
      </c>
    </row>
    <row r="13" spans="1:21" ht="32" x14ac:dyDescent="0.45">
      <c r="A13" s="28" t="s">
        <v>79</v>
      </c>
      <c r="B13" s="44">
        <v>0</v>
      </c>
      <c r="C13" s="14"/>
      <c r="D13" s="58" t="s">
        <v>105</v>
      </c>
      <c r="E13" s="27"/>
      <c r="G13" s="28" t="s">
        <v>46</v>
      </c>
      <c r="H13" s="29">
        <f>H11*B24</f>
        <v>189967251.58086485</v>
      </c>
      <c r="I13" s="27" t="s">
        <v>7</v>
      </c>
      <c r="K13" s="28" t="s">
        <v>44</v>
      </c>
      <c r="L13" s="31">
        <f>L11*(1-B20)</f>
        <v>18779271802.339161</v>
      </c>
      <c r="M13" s="27" t="s">
        <v>7</v>
      </c>
      <c r="S13" s="64" t="s">
        <v>47</v>
      </c>
      <c r="T13" s="68">
        <f>H14+L16+P11</f>
        <v>13711530861.771881</v>
      </c>
      <c r="U13" s="27" t="s">
        <v>7</v>
      </c>
    </row>
    <row r="14" spans="1:21" ht="32" x14ac:dyDescent="0.45">
      <c r="A14" s="28" t="s">
        <v>343</v>
      </c>
      <c r="B14" s="43">
        <v>0</v>
      </c>
      <c r="C14" s="14"/>
      <c r="D14" s="58" t="s">
        <v>344</v>
      </c>
      <c r="E14" s="27"/>
      <c r="G14" s="64" t="s">
        <v>47</v>
      </c>
      <c r="H14" s="65">
        <f>H10*B26+H11*B25</f>
        <v>780904181.51681185</v>
      </c>
      <c r="I14" s="35" t="s">
        <v>7</v>
      </c>
      <c r="K14" s="28" t="s">
        <v>43</v>
      </c>
      <c r="L14" s="66">
        <f>L13*$B$23</f>
        <v>3755854360.4678326</v>
      </c>
      <c r="M14" s="27" t="s">
        <v>7</v>
      </c>
    </row>
    <row r="15" spans="1:21" ht="32" x14ac:dyDescent="0.45">
      <c r="A15" s="28" t="s">
        <v>345</v>
      </c>
      <c r="B15" s="43">
        <v>0</v>
      </c>
      <c r="C15" s="14"/>
      <c r="D15" s="58" t="s">
        <v>346</v>
      </c>
      <c r="E15" s="27"/>
      <c r="K15" s="28" t="s">
        <v>46</v>
      </c>
      <c r="L15" s="66">
        <f>L13*$B$24</f>
        <v>2441305334.304091</v>
      </c>
      <c r="M15" s="27" t="s">
        <v>7</v>
      </c>
    </row>
    <row r="16" spans="1:21" ht="32" x14ac:dyDescent="0.45">
      <c r="A16" s="28" t="s">
        <v>347</v>
      </c>
      <c r="B16" s="43">
        <v>0</v>
      </c>
      <c r="C16" s="14"/>
      <c r="D16" s="58" t="s">
        <v>349</v>
      </c>
      <c r="E16" s="27"/>
      <c r="K16" s="64" t="s">
        <v>47</v>
      </c>
      <c r="L16" s="67">
        <f>L12*$B$26+L13*$B$25</f>
        <v>10035548380.326174</v>
      </c>
      <c r="M16" s="35" t="s">
        <v>7</v>
      </c>
    </row>
    <row r="17" spans="1:8" ht="32" x14ac:dyDescent="0.45">
      <c r="A17" s="28" t="s">
        <v>348</v>
      </c>
      <c r="B17" s="43">
        <v>0.5</v>
      </c>
      <c r="C17" s="14"/>
      <c r="D17" s="58" t="s">
        <v>363</v>
      </c>
      <c r="E17" s="27"/>
    </row>
    <row r="18" spans="1:8" x14ac:dyDescent="0.45">
      <c r="A18" s="32"/>
      <c r="B18" s="14"/>
      <c r="C18" s="14"/>
      <c r="D18" s="14"/>
      <c r="E18" s="27"/>
    </row>
    <row r="19" spans="1:8" ht="32" x14ac:dyDescent="0.45">
      <c r="A19" s="37" t="s">
        <v>10</v>
      </c>
      <c r="B19" s="29">
        <f>200570*277778</f>
        <v>55713933460</v>
      </c>
      <c r="C19" s="14" t="s">
        <v>7</v>
      </c>
      <c r="D19" s="58" t="s">
        <v>8</v>
      </c>
      <c r="E19" s="27"/>
      <c r="H19" s="11"/>
    </row>
    <row r="20" spans="1:8" ht="32" x14ac:dyDescent="0.45">
      <c r="A20" s="28" t="s">
        <v>17</v>
      </c>
      <c r="B20" s="48">
        <f>26.99/56.41</f>
        <v>0.47846126573302605</v>
      </c>
      <c r="C20" s="14"/>
      <c r="D20" s="58" t="s">
        <v>18</v>
      </c>
      <c r="E20" s="27"/>
    </row>
    <row r="21" spans="1:8" x14ac:dyDescent="0.45">
      <c r="A21" s="32" t="s">
        <v>26</v>
      </c>
      <c r="B21" s="14"/>
      <c r="C21" s="14"/>
      <c r="D21" s="14"/>
      <c r="E21" s="27"/>
    </row>
    <row r="22" spans="1:8" x14ac:dyDescent="0.45">
      <c r="A22" s="32" t="s">
        <v>27</v>
      </c>
      <c r="B22" s="14"/>
      <c r="C22" s="14"/>
      <c r="D22" s="14"/>
      <c r="E22" s="27"/>
    </row>
    <row r="23" spans="1:8" x14ac:dyDescent="0.45">
      <c r="A23" s="28" t="s">
        <v>19</v>
      </c>
      <c r="B23" s="43">
        <v>0.2</v>
      </c>
      <c r="C23" s="14"/>
      <c r="D23" s="58" t="s">
        <v>20</v>
      </c>
      <c r="E23" s="27" t="s">
        <v>21</v>
      </c>
    </row>
    <row r="24" spans="1:8" x14ac:dyDescent="0.45">
      <c r="A24" s="28" t="s">
        <v>22</v>
      </c>
      <c r="B24" s="43">
        <v>0.13</v>
      </c>
      <c r="C24" s="14"/>
      <c r="D24" s="58" t="s">
        <v>20</v>
      </c>
      <c r="E24" s="27" t="s">
        <v>21</v>
      </c>
    </row>
    <row r="25" spans="1:8" x14ac:dyDescent="0.45">
      <c r="A25" s="60" t="s">
        <v>23</v>
      </c>
      <c r="B25" s="43">
        <v>0.25</v>
      </c>
      <c r="C25" s="14"/>
      <c r="D25" s="58" t="s">
        <v>20</v>
      </c>
      <c r="E25" s="27" t="s">
        <v>21</v>
      </c>
    </row>
    <row r="26" spans="1:8" x14ac:dyDescent="0.45">
      <c r="A26" s="60"/>
      <c r="B26" s="43">
        <v>0.31</v>
      </c>
      <c r="C26" s="14"/>
      <c r="D26" s="58" t="s">
        <v>24</v>
      </c>
      <c r="E26" s="27" t="s">
        <v>25</v>
      </c>
    </row>
    <row r="27" spans="1:8" x14ac:dyDescent="0.45">
      <c r="A27" s="32"/>
      <c r="B27" s="14"/>
      <c r="C27" s="14"/>
      <c r="D27" s="14"/>
      <c r="E27" s="27"/>
    </row>
    <row r="28" spans="1:8" x14ac:dyDescent="0.45">
      <c r="A28" s="32" t="s">
        <v>35</v>
      </c>
      <c r="B28" s="14"/>
      <c r="C28" s="14"/>
      <c r="D28" s="14"/>
      <c r="E28" s="27"/>
    </row>
    <row r="29" spans="1:8" x14ac:dyDescent="0.45">
      <c r="A29" s="32" t="s">
        <v>30</v>
      </c>
      <c r="B29" s="44">
        <f>226720/245120</f>
        <v>0.92493472584856395</v>
      </c>
      <c r="C29" s="14"/>
      <c r="D29" s="14"/>
      <c r="E29" s="61"/>
    </row>
    <row r="30" spans="1:8" x14ac:dyDescent="0.45">
      <c r="A30" s="32" t="s">
        <v>32</v>
      </c>
      <c r="B30" s="62">
        <f>1060/245120</f>
        <v>4.3244125326370756E-3</v>
      </c>
      <c r="C30" s="14"/>
      <c r="D30" s="14"/>
      <c r="E30" s="27"/>
    </row>
    <row r="31" spans="1:8" x14ac:dyDescent="0.45">
      <c r="A31" s="32" t="s">
        <v>31</v>
      </c>
      <c r="B31" s="44">
        <f>10080/245120</f>
        <v>4.1122715404699736E-2</v>
      </c>
      <c r="C31" s="14"/>
      <c r="D31" s="14"/>
      <c r="E31" s="27"/>
    </row>
    <row r="32" spans="1:8" x14ac:dyDescent="0.45">
      <c r="A32" s="32"/>
      <c r="B32" s="14"/>
      <c r="C32" s="14"/>
      <c r="D32" s="14"/>
      <c r="E32" s="27"/>
    </row>
    <row r="33" spans="1:5" x14ac:dyDescent="0.45">
      <c r="A33" s="32" t="s">
        <v>34</v>
      </c>
      <c r="B33" s="14"/>
      <c r="C33" s="14"/>
      <c r="D33" s="14"/>
      <c r="E33" s="27"/>
    </row>
    <row r="34" spans="1:5" x14ac:dyDescent="0.45">
      <c r="A34" s="32" t="s">
        <v>36</v>
      </c>
      <c r="B34" s="44">
        <f>(17100+11720)/(219030+145600)</f>
        <v>7.9039025861832549E-2</v>
      </c>
      <c r="C34" s="14"/>
      <c r="D34" s="14"/>
      <c r="E34" s="27"/>
    </row>
    <row r="35" spans="1:5" x14ac:dyDescent="0.45">
      <c r="A35" s="32" t="s">
        <v>37</v>
      </c>
      <c r="B35" s="44">
        <f>(100+3560)/(219030+145600)</f>
        <v>1.0037572333598442E-2</v>
      </c>
      <c r="C35" s="14"/>
      <c r="D35" s="14"/>
      <c r="E35" s="27"/>
    </row>
    <row r="36" spans="1:5" x14ac:dyDescent="0.45">
      <c r="A36" s="32" t="s">
        <v>38</v>
      </c>
      <c r="B36" s="44">
        <f>(59470+11680)/(219030+145600)</f>
        <v>0.1951293091627129</v>
      </c>
      <c r="C36" s="14"/>
      <c r="D36" s="14"/>
      <c r="E36" s="27"/>
    </row>
    <row r="37" spans="1:5" x14ac:dyDescent="0.45">
      <c r="A37" s="32" t="s">
        <v>32</v>
      </c>
      <c r="B37" s="44">
        <f>(47350+38090)/(219030+145600)</f>
        <v>0.23431972136138002</v>
      </c>
      <c r="C37" s="14"/>
      <c r="D37" s="14"/>
      <c r="E37" s="27"/>
    </row>
    <row r="38" spans="1:5" x14ac:dyDescent="0.45">
      <c r="A38" s="33" t="s">
        <v>39</v>
      </c>
      <c r="B38" s="63">
        <f>(69470+60070)/(219030+145600)</f>
        <v>0.35526424046293503</v>
      </c>
      <c r="C38" s="34"/>
      <c r="D38" s="34"/>
      <c r="E38" s="35"/>
    </row>
    <row r="41" spans="1:5" x14ac:dyDescent="0.45">
      <c r="A41" s="10" t="s">
        <v>154</v>
      </c>
    </row>
    <row r="42" spans="1:5" x14ac:dyDescent="0.45">
      <c r="A42" t="s">
        <v>155</v>
      </c>
    </row>
    <row r="43" spans="1:5" x14ac:dyDescent="0.45">
      <c r="A43" t="s">
        <v>156</v>
      </c>
    </row>
    <row r="44" spans="1:5" x14ac:dyDescent="0.45">
      <c r="A44" t="s">
        <v>157</v>
      </c>
    </row>
    <row r="45" spans="1:5" x14ac:dyDescent="0.45">
      <c r="A45" t="s">
        <v>262</v>
      </c>
    </row>
    <row r="46" spans="1:5" x14ac:dyDescent="0.45">
      <c r="A46" t="s">
        <v>263</v>
      </c>
    </row>
    <row r="47" spans="1:5" x14ac:dyDescent="0.45">
      <c r="A47" t="s">
        <v>364</v>
      </c>
    </row>
    <row r="48" spans="1:5" x14ac:dyDescent="0.45">
      <c r="A48" t="s">
        <v>264</v>
      </c>
    </row>
    <row r="49" spans="1:1" x14ac:dyDescent="0.45">
      <c r="A49" t="s">
        <v>265</v>
      </c>
    </row>
    <row r="50" spans="1:1" x14ac:dyDescent="0.45">
      <c r="A50" t="s">
        <v>266</v>
      </c>
    </row>
    <row r="51" spans="1:1" x14ac:dyDescent="0.45">
      <c r="A51" t="s">
        <v>158</v>
      </c>
    </row>
    <row r="52" spans="1:1" x14ac:dyDescent="0.45">
      <c r="A52" t="s">
        <v>159</v>
      </c>
    </row>
    <row r="53" spans="1:1" x14ac:dyDescent="0.45">
      <c r="A53" t="s">
        <v>267</v>
      </c>
    </row>
  </sheetData>
  <mergeCells count="1">
    <mergeCell ref="A25:A26"/>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1"/>
  <sheetViews>
    <sheetView workbookViewId="0">
      <selection activeCell="C44" sqref="C44"/>
    </sheetView>
  </sheetViews>
  <sheetFormatPr baseColWidth="10" defaultRowHeight="16" x14ac:dyDescent="0.45"/>
  <cols>
    <col min="1" max="1" width="25.7265625" customWidth="1"/>
    <col min="2" max="2" width="22.81640625" customWidth="1"/>
    <col min="3" max="3" width="21.453125" customWidth="1"/>
  </cols>
  <sheetData>
    <row r="2" spans="1:4" x14ac:dyDescent="0.45">
      <c r="A2" t="s">
        <v>365</v>
      </c>
    </row>
    <row r="4" spans="1:4" x14ac:dyDescent="0.45">
      <c r="A4" s="10" t="s">
        <v>366</v>
      </c>
    </row>
    <row r="5" spans="1:4" x14ac:dyDescent="0.45">
      <c r="A5" s="53" t="s">
        <v>367</v>
      </c>
      <c r="B5" t="s">
        <v>368</v>
      </c>
      <c r="C5" t="s">
        <v>369</v>
      </c>
    </row>
    <row r="6" spans="1:4" x14ac:dyDescent="0.45">
      <c r="A6">
        <v>2018</v>
      </c>
      <c r="B6">
        <v>64.438999999999993</v>
      </c>
      <c r="C6" s="52">
        <f>B6/$B$11</f>
        <v>3.7905294117647058E-2</v>
      </c>
    </row>
    <row r="7" spans="1:4" x14ac:dyDescent="0.45">
      <c r="A7">
        <v>2019</v>
      </c>
      <c r="B7">
        <v>53.523000000000003</v>
      </c>
      <c r="C7" s="52">
        <f t="shared" ref="C7:C8" si="0">B7/$B$11</f>
        <v>3.1484117647058822E-2</v>
      </c>
    </row>
    <row r="8" spans="1:4" x14ac:dyDescent="0.45">
      <c r="A8">
        <v>2020</v>
      </c>
      <c r="B8">
        <v>58.838999999999999</v>
      </c>
      <c r="C8" s="52">
        <f t="shared" si="0"/>
        <v>3.4611176470588235E-2</v>
      </c>
    </row>
    <row r="10" spans="1:4" x14ac:dyDescent="0.45">
      <c r="A10" t="s">
        <v>370</v>
      </c>
    </row>
    <row r="11" spans="1:4" x14ac:dyDescent="0.45">
      <c r="A11" s="6" t="s">
        <v>74</v>
      </c>
      <c r="B11">
        <v>1700</v>
      </c>
      <c r="C11" t="s">
        <v>75</v>
      </c>
      <c r="D11" s="17" t="s">
        <v>76</v>
      </c>
    </row>
    <row r="12" spans="1:4" x14ac:dyDescent="0.45">
      <c r="A12" s="6"/>
      <c r="B12" s="18"/>
    </row>
    <row r="13" spans="1:4" x14ac:dyDescent="0.45">
      <c r="A13" s="10" t="s">
        <v>32</v>
      </c>
    </row>
    <row r="14" spans="1:4" x14ac:dyDescent="0.45">
      <c r="A14" t="s">
        <v>367</v>
      </c>
      <c r="B14" t="s">
        <v>371</v>
      </c>
      <c r="C14" t="s">
        <v>369</v>
      </c>
    </row>
    <row r="15" spans="1:4" x14ac:dyDescent="0.45">
      <c r="A15">
        <v>2018</v>
      </c>
      <c r="B15">
        <v>2.7949999999999999</v>
      </c>
      <c r="C15" s="52">
        <f>B15/$B$20</f>
        <v>9.5369358701969456E-3</v>
      </c>
    </row>
    <row r="16" spans="1:4" x14ac:dyDescent="0.45">
      <c r="A16">
        <v>2019</v>
      </c>
      <c r="B16">
        <v>3.0990000000000002</v>
      </c>
      <c r="C16" s="52">
        <f t="shared" ref="C16:C17" si="1">B16/$B$20</f>
        <v>1.05742269272774E-2</v>
      </c>
    </row>
    <row r="17" spans="1:4" x14ac:dyDescent="0.45">
      <c r="A17">
        <v>2020</v>
      </c>
      <c r="B17">
        <v>2.1720000000000002</v>
      </c>
      <c r="C17" s="52">
        <f t="shared" si="1"/>
        <v>7.4111716315090398E-3</v>
      </c>
    </row>
    <row r="19" spans="1:4" x14ac:dyDescent="0.45">
      <c r="A19" t="s">
        <v>370</v>
      </c>
    </row>
    <row r="20" spans="1:4" ht="32" x14ac:dyDescent="0.45">
      <c r="A20" s="6" t="s">
        <v>372</v>
      </c>
      <c r="B20">
        <v>293.07107000000002</v>
      </c>
      <c r="C20" t="s">
        <v>373</v>
      </c>
      <c r="D20" t="s">
        <v>374</v>
      </c>
    </row>
    <row r="22" spans="1:4" x14ac:dyDescent="0.45">
      <c r="A22" s="10" t="s">
        <v>37</v>
      </c>
    </row>
    <row r="23" spans="1:4" x14ac:dyDescent="0.45">
      <c r="A23" t="s">
        <v>367</v>
      </c>
      <c r="B23" t="s">
        <v>375</v>
      </c>
      <c r="C23" t="s">
        <v>369</v>
      </c>
    </row>
    <row r="24" spans="1:4" x14ac:dyDescent="0.45">
      <c r="A24">
        <v>2018</v>
      </c>
      <c r="B24">
        <v>105.3</v>
      </c>
      <c r="C24" s="52">
        <f>B24/$B$29</f>
        <v>1.2934528927650166E-2</v>
      </c>
    </row>
    <row r="25" spans="1:4" x14ac:dyDescent="0.45">
      <c r="A25">
        <v>2019</v>
      </c>
      <c r="B25">
        <v>98.05</v>
      </c>
      <c r="C25" s="52">
        <f t="shared" ref="C25:C26" si="2">B25/$B$29</f>
        <v>1.2043974941653358E-2</v>
      </c>
    </row>
    <row r="26" spans="1:4" x14ac:dyDescent="0.45">
      <c r="A26">
        <v>2020</v>
      </c>
      <c r="B26">
        <v>70.900000000000006</v>
      </c>
      <c r="C26" s="52">
        <f t="shared" si="2"/>
        <v>8.7090038078860097E-3</v>
      </c>
    </row>
    <row r="28" spans="1:4" x14ac:dyDescent="0.45">
      <c r="A28" t="s">
        <v>370</v>
      </c>
    </row>
    <row r="29" spans="1:4" x14ac:dyDescent="0.45">
      <c r="A29" s="6" t="s">
        <v>376</v>
      </c>
      <c r="B29">
        <v>8141</v>
      </c>
      <c r="C29" t="s">
        <v>377</v>
      </c>
      <c r="D29" t="s">
        <v>378</v>
      </c>
    </row>
    <row r="31" spans="1:4" x14ac:dyDescent="0.45">
      <c r="A31" s="10" t="s">
        <v>118</v>
      </c>
    </row>
    <row r="32" spans="1:4" x14ac:dyDescent="0.45">
      <c r="A32" t="s">
        <v>367</v>
      </c>
      <c r="B32" t="s">
        <v>379</v>
      </c>
      <c r="C32" t="s">
        <v>369</v>
      </c>
    </row>
    <row r="33" spans="1:4" x14ac:dyDescent="0.45">
      <c r="A33">
        <v>2018</v>
      </c>
      <c r="B33">
        <v>24</v>
      </c>
      <c r="C33" s="51">
        <f>B33/$B$38</f>
        <v>2.3422702981876001E-6</v>
      </c>
    </row>
    <row r="34" spans="1:4" x14ac:dyDescent="0.45">
      <c r="A34">
        <v>2019</v>
      </c>
      <c r="B34">
        <v>28.9</v>
      </c>
      <c r="C34" s="51">
        <f t="shared" ref="C34:C35" si="3">B34/$B$38</f>
        <v>2.8204838174009015E-6</v>
      </c>
    </row>
    <row r="35" spans="1:4" x14ac:dyDescent="0.45">
      <c r="A35">
        <v>2020</v>
      </c>
      <c r="B35">
        <v>24.5</v>
      </c>
      <c r="C35" s="51">
        <f t="shared" si="3"/>
        <v>2.3910675960665082E-6</v>
      </c>
    </row>
    <row r="37" spans="1:4" x14ac:dyDescent="0.45">
      <c r="A37" t="s">
        <v>370</v>
      </c>
    </row>
    <row r="38" spans="1:4" ht="32" x14ac:dyDescent="0.45">
      <c r="A38" s="6" t="s">
        <v>380</v>
      </c>
      <c r="B38" s="5">
        <v>10246469</v>
      </c>
      <c r="C38" t="s">
        <v>381</v>
      </c>
      <c r="D38" t="s">
        <v>382</v>
      </c>
    </row>
    <row r="40" spans="1:4" x14ac:dyDescent="0.45">
      <c r="A40" s="10" t="s">
        <v>383</v>
      </c>
    </row>
    <row r="41" spans="1:4" x14ac:dyDescent="0.45">
      <c r="A41" t="s">
        <v>367</v>
      </c>
      <c r="B41" s="6" t="s">
        <v>384</v>
      </c>
      <c r="C41" t="s">
        <v>369</v>
      </c>
    </row>
    <row r="42" spans="1:4" x14ac:dyDescent="0.45">
      <c r="A42">
        <v>2018</v>
      </c>
      <c r="B42">
        <v>461.3</v>
      </c>
      <c r="C42" s="52">
        <f>B42/$B$47</f>
        <v>2.0968181818181817</v>
      </c>
    </row>
    <row r="43" spans="1:4" x14ac:dyDescent="0.45">
      <c r="A43">
        <v>2019</v>
      </c>
      <c r="B43">
        <v>328.5</v>
      </c>
      <c r="C43" s="52">
        <f t="shared" ref="C43:C44" si="4">B43/$B$47</f>
        <v>1.4931818181818182</v>
      </c>
    </row>
    <row r="44" spans="1:4" x14ac:dyDescent="0.45">
      <c r="A44">
        <v>2020</v>
      </c>
      <c r="B44">
        <v>392</v>
      </c>
      <c r="C44" s="52">
        <f t="shared" si="4"/>
        <v>1.7818181818181817</v>
      </c>
    </row>
    <row r="46" spans="1:4" x14ac:dyDescent="0.45">
      <c r="A46" t="s">
        <v>370</v>
      </c>
    </row>
    <row r="47" spans="1:4" ht="32" x14ac:dyDescent="0.45">
      <c r="A47" s="6" t="s">
        <v>385</v>
      </c>
      <c r="B47">
        <v>220</v>
      </c>
      <c r="C47" t="s">
        <v>386</v>
      </c>
    </row>
    <row r="50" spans="1:1" x14ac:dyDescent="0.45">
      <c r="A50" s="10" t="s">
        <v>154</v>
      </c>
    </row>
    <row r="51" spans="1:1" x14ac:dyDescent="0.45">
      <c r="A51" t="s">
        <v>387</v>
      </c>
    </row>
  </sheetData>
  <hyperlinks>
    <hyperlink ref="D11" r:id="rId1"/>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1"/>
  <sheetViews>
    <sheetView topLeftCell="C37" workbookViewId="0">
      <selection activeCell="Y19" sqref="Y19:Y20"/>
    </sheetView>
  </sheetViews>
  <sheetFormatPr baseColWidth="10" defaultRowHeight="16" x14ac:dyDescent="0.45"/>
  <cols>
    <col min="1" max="1" width="27.453125" customWidth="1"/>
    <col min="2" max="2" width="21.7265625" customWidth="1"/>
    <col min="3" max="3" width="17.7265625" customWidth="1"/>
    <col min="4" max="4" width="34.26953125" customWidth="1"/>
    <col min="5" max="5" width="41.7265625" customWidth="1"/>
    <col min="7" max="7" width="33.54296875" customWidth="1"/>
    <col min="8" max="8" width="19.26953125" customWidth="1"/>
    <col min="9" max="9" width="13" customWidth="1"/>
    <col min="11" max="11" width="32.453125" customWidth="1"/>
    <col min="12" max="12" width="21.26953125" customWidth="1"/>
    <col min="13" max="13" width="14.1796875" customWidth="1"/>
    <col min="15" max="15" width="34.453125" customWidth="1"/>
    <col min="16" max="16" width="24.1796875" customWidth="1"/>
    <col min="19" max="19" width="30.81640625" customWidth="1"/>
    <col min="20" max="20" width="22.1796875" customWidth="1"/>
    <col min="21" max="21" width="17.26953125" customWidth="1"/>
    <col min="23" max="23" width="32.81640625" customWidth="1"/>
    <col min="24" max="24" width="24.54296875" customWidth="1"/>
  </cols>
  <sheetData>
    <row r="1" spans="1:25" x14ac:dyDescent="0.45">
      <c r="A1" s="10" t="s">
        <v>53</v>
      </c>
    </row>
    <row r="2" spans="1:25" x14ac:dyDescent="0.45">
      <c r="A2" s="10"/>
      <c r="G2" s="24" t="s">
        <v>28</v>
      </c>
      <c r="H2" s="2"/>
      <c r="I2" s="2"/>
      <c r="J2" s="2"/>
      <c r="K2" s="2"/>
      <c r="L2" s="2"/>
      <c r="M2" s="2"/>
      <c r="N2" s="2"/>
      <c r="O2" s="2"/>
      <c r="P2" s="2"/>
      <c r="Q2" s="2"/>
      <c r="R2" s="2"/>
      <c r="S2" s="2"/>
      <c r="T2" s="2"/>
      <c r="U2" s="25"/>
    </row>
    <row r="3" spans="1:25" x14ac:dyDescent="0.45">
      <c r="A3" s="10" t="s">
        <v>82</v>
      </c>
      <c r="G3" s="26" t="s">
        <v>38</v>
      </c>
      <c r="H3" s="14"/>
      <c r="I3" s="14"/>
      <c r="J3" s="14"/>
      <c r="K3" s="14" t="s">
        <v>32</v>
      </c>
      <c r="L3" s="14"/>
      <c r="M3" s="14"/>
      <c r="N3" s="14"/>
      <c r="O3" s="14" t="s">
        <v>37</v>
      </c>
      <c r="P3" s="14"/>
      <c r="Q3" s="14"/>
      <c r="R3" s="14"/>
      <c r="S3" s="14" t="s">
        <v>118</v>
      </c>
      <c r="T3" s="14"/>
      <c r="U3" s="27"/>
    </row>
    <row r="4" spans="1:25" x14ac:dyDescent="0.45">
      <c r="A4" s="1" t="s">
        <v>1</v>
      </c>
      <c r="B4" s="2" t="s">
        <v>2</v>
      </c>
      <c r="C4" s="2" t="s">
        <v>3</v>
      </c>
      <c r="D4" s="2" t="s">
        <v>4</v>
      </c>
      <c r="E4" s="57" t="s">
        <v>5</v>
      </c>
      <c r="G4" s="1" t="s">
        <v>1</v>
      </c>
      <c r="H4" s="2" t="s">
        <v>2</v>
      </c>
      <c r="I4" s="2" t="s">
        <v>3</v>
      </c>
      <c r="J4" s="14"/>
      <c r="K4" s="1" t="s">
        <v>1</v>
      </c>
      <c r="L4" s="2" t="s">
        <v>2</v>
      </c>
      <c r="M4" s="2" t="s">
        <v>3</v>
      </c>
      <c r="N4" s="14"/>
      <c r="O4" s="1" t="s">
        <v>1</v>
      </c>
      <c r="P4" s="2" t="s">
        <v>2</v>
      </c>
      <c r="Q4" s="2" t="s">
        <v>3</v>
      </c>
      <c r="R4" s="14"/>
      <c r="S4" s="1" t="s">
        <v>1</v>
      </c>
      <c r="T4" s="2" t="s">
        <v>2</v>
      </c>
      <c r="U4" s="25" t="s">
        <v>3</v>
      </c>
    </row>
    <row r="5" spans="1:25" ht="32" x14ac:dyDescent="0.45">
      <c r="A5" s="69" t="s">
        <v>145</v>
      </c>
      <c r="B5" s="14"/>
      <c r="C5" s="14"/>
      <c r="D5" s="14"/>
      <c r="E5" s="70"/>
      <c r="G5" s="28" t="s">
        <v>83</v>
      </c>
      <c r="H5" s="29">
        <f>B6*B9*(B21+B22)</f>
        <v>2633798729.3168087</v>
      </c>
      <c r="I5" s="14" t="s">
        <v>100</v>
      </c>
      <c r="J5" s="14"/>
      <c r="K5" s="15" t="s">
        <v>102</v>
      </c>
      <c r="L5" s="30">
        <f>B6*B17*(B21+B22)*B53</f>
        <v>8607159619.9080734</v>
      </c>
      <c r="M5" s="14" t="s">
        <v>7</v>
      </c>
      <c r="N5" s="14"/>
      <c r="O5" s="15" t="s">
        <v>113</v>
      </c>
      <c r="P5" s="31">
        <f>B6*B17*(B21+B22)*B52</f>
        <v>5601947956.007967</v>
      </c>
      <c r="Q5" s="14" t="s">
        <v>7</v>
      </c>
      <c r="R5" s="14"/>
      <c r="S5" s="15" t="s">
        <v>119</v>
      </c>
      <c r="T5" s="30">
        <f>B6*B17*(B21+B22)*B54</f>
        <v>5018411710.5904703</v>
      </c>
      <c r="U5" s="27" t="s">
        <v>7</v>
      </c>
    </row>
    <row r="6" spans="1:25" ht="32" x14ac:dyDescent="0.45">
      <c r="A6" s="28" t="s">
        <v>54</v>
      </c>
      <c r="B6" s="16">
        <f>((34+42+32.8+32.9+37.9+25.4)/6)*365</f>
        <v>12470.833333333332</v>
      </c>
      <c r="C6" s="14" t="s">
        <v>55</v>
      </c>
      <c r="D6" s="58" t="s">
        <v>56</v>
      </c>
      <c r="E6" s="71" t="s">
        <v>57</v>
      </c>
      <c r="G6" s="28" t="s">
        <v>84</v>
      </c>
      <c r="H6" s="29">
        <f>B8*B9*B25</f>
        <v>142075316.46056908</v>
      </c>
      <c r="I6" s="14" t="s">
        <v>100</v>
      </c>
      <c r="J6" s="14"/>
      <c r="K6" s="15" t="s">
        <v>103</v>
      </c>
      <c r="L6" s="30">
        <f>B8*B17*B25*B53</f>
        <v>464297029.69075203</v>
      </c>
      <c r="M6" s="14" t="s">
        <v>7</v>
      </c>
      <c r="N6" s="14"/>
      <c r="O6" s="15" t="s">
        <v>114</v>
      </c>
      <c r="P6" s="31">
        <f>B8*B17*B25*B52</f>
        <v>302186541.3580488</v>
      </c>
      <c r="Q6" s="14" t="s">
        <v>7</v>
      </c>
      <c r="R6" s="14"/>
      <c r="S6" s="15" t="s">
        <v>120</v>
      </c>
      <c r="T6" s="30">
        <f>B8*B17*B25*B54</f>
        <v>270708776.63325202</v>
      </c>
      <c r="U6" s="27" t="s">
        <v>7</v>
      </c>
    </row>
    <row r="7" spans="1:25" ht="48" customHeight="1" x14ac:dyDescent="0.45">
      <c r="A7" s="28" t="s">
        <v>60</v>
      </c>
      <c r="B7" s="16">
        <f>((7.5+28.2+4.8)*1000)*365/123</f>
        <v>120182.9268292683</v>
      </c>
      <c r="C7" s="14" t="s">
        <v>55</v>
      </c>
      <c r="D7" s="58" t="s">
        <v>56</v>
      </c>
      <c r="E7" s="78" t="s">
        <v>61</v>
      </c>
      <c r="G7" s="28" t="s">
        <v>85</v>
      </c>
      <c r="H7" s="29">
        <f>B6*B10*B23</f>
        <v>864342501583.87488</v>
      </c>
      <c r="I7" s="14" t="s">
        <v>100</v>
      </c>
      <c r="J7" s="14"/>
      <c r="K7" s="15" t="s">
        <v>111</v>
      </c>
      <c r="L7" s="30">
        <f>B6*B16*B20*B53</f>
        <v>5122098238.2429991</v>
      </c>
      <c r="M7" s="14" t="s">
        <v>7</v>
      </c>
      <c r="N7" s="14"/>
      <c r="O7" s="15" t="s">
        <v>115</v>
      </c>
      <c r="P7" s="31">
        <f>B6*B16*B20*B52</f>
        <v>3333704616.0767994</v>
      </c>
      <c r="Q7" s="14" t="s">
        <v>7</v>
      </c>
      <c r="R7" s="14"/>
      <c r="S7" s="15" t="s">
        <v>121</v>
      </c>
      <c r="T7" s="30">
        <f>B6*B16*B20*B54</f>
        <v>2986443718.5687995</v>
      </c>
      <c r="U7" s="27" t="s">
        <v>7</v>
      </c>
    </row>
    <row r="8" spans="1:25" ht="48" customHeight="1" x14ac:dyDescent="0.45">
      <c r="A8" s="28" t="s">
        <v>62</v>
      </c>
      <c r="B8" s="16">
        <f>((10.3)*1000)*365/123</f>
        <v>30565.040650406503</v>
      </c>
      <c r="C8" s="3" t="s">
        <v>55</v>
      </c>
      <c r="D8" s="58" t="s">
        <v>56</v>
      </c>
      <c r="E8" s="78"/>
      <c r="G8" s="28" t="s">
        <v>86</v>
      </c>
      <c r="H8" s="29">
        <f>B8*B11*B26</f>
        <v>51716400975.385788</v>
      </c>
      <c r="I8" s="14" t="s">
        <v>100</v>
      </c>
      <c r="J8" s="14"/>
      <c r="K8" s="15" t="s">
        <v>112</v>
      </c>
      <c r="L8" s="30">
        <f>B8*B16*B24*B53</f>
        <v>1149284957.3577235</v>
      </c>
      <c r="M8" s="14" t="s">
        <v>7</v>
      </c>
      <c r="N8" s="14"/>
      <c r="O8" s="15" t="s">
        <v>116</v>
      </c>
      <c r="P8" s="31">
        <f>B8*B16*B24*B52</f>
        <v>748009192.58536589</v>
      </c>
      <c r="Q8" s="14" t="s">
        <v>7</v>
      </c>
      <c r="R8" s="14"/>
      <c r="S8" s="15" t="s">
        <v>122</v>
      </c>
      <c r="T8" s="30">
        <f>B8*B16*B24*B54</f>
        <v>670091568.35772359</v>
      </c>
      <c r="U8" s="27" t="s">
        <v>7</v>
      </c>
    </row>
    <row r="9" spans="1:25" ht="32" x14ac:dyDescent="0.45">
      <c r="A9" s="28" t="s">
        <v>63</v>
      </c>
      <c r="B9" s="66">
        <v>1.67E-2</v>
      </c>
      <c r="C9" s="14" t="s">
        <v>64</v>
      </c>
      <c r="D9" s="58" t="s">
        <v>65</v>
      </c>
      <c r="E9" s="27"/>
      <c r="G9" s="28" t="s">
        <v>87</v>
      </c>
      <c r="H9" s="29">
        <f>B7*B12*B27</f>
        <v>10591192554121.785</v>
      </c>
      <c r="I9" s="14" t="s">
        <v>100</v>
      </c>
      <c r="J9" s="14"/>
      <c r="K9" s="15" t="s">
        <v>104</v>
      </c>
      <c r="L9" s="16">
        <f>SUM(L5:L8)</f>
        <v>15342839845.199547</v>
      </c>
      <c r="M9" s="14" t="s">
        <v>7</v>
      </c>
      <c r="N9" s="14"/>
      <c r="O9" s="15" t="s">
        <v>117</v>
      </c>
      <c r="P9" s="16">
        <f>SUM(P5:P8)</f>
        <v>9985848306.0281792</v>
      </c>
      <c r="Q9" s="14" t="s">
        <v>7</v>
      </c>
      <c r="R9" s="14"/>
      <c r="S9" s="15" t="s">
        <v>123</v>
      </c>
      <c r="T9" s="16">
        <f>SUM(T5:T8)</f>
        <v>8945655774.1502457</v>
      </c>
      <c r="U9" s="27" t="s">
        <v>7</v>
      </c>
    </row>
    <row r="10" spans="1:25" ht="48" x14ac:dyDescent="0.45">
      <c r="A10" s="28" t="s">
        <v>66</v>
      </c>
      <c r="B10" s="66">
        <v>0.09</v>
      </c>
      <c r="C10" s="14" t="s">
        <v>64</v>
      </c>
      <c r="D10" s="58" t="s">
        <v>65</v>
      </c>
      <c r="E10" s="27"/>
      <c r="G10" s="28" t="s">
        <v>88</v>
      </c>
      <c r="H10" s="29">
        <f>SUM(H5:H9)</f>
        <v>11510027330726.822</v>
      </c>
      <c r="I10" s="14" t="s">
        <v>100</v>
      </c>
      <c r="J10" s="14"/>
      <c r="K10" s="15" t="s">
        <v>353</v>
      </c>
      <c r="L10" s="49">
        <f>(L9)*5</f>
        <v>76714199225.997742</v>
      </c>
      <c r="M10" s="14" t="s">
        <v>7</v>
      </c>
      <c r="N10" s="14"/>
      <c r="O10" s="15" t="s">
        <v>354</v>
      </c>
      <c r="P10" s="49">
        <f>(P9)*5</f>
        <v>49929241530.1409</v>
      </c>
      <c r="Q10" s="14" t="s">
        <v>7</v>
      </c>
      <c r="R10" s="14"/>
      <c r="S10" s="15" t="s">
        <v>355</v>
      </c>
      <c r="T10" s="49">
        <f>(T9)*5</f>
        <v>44728278870.751228</v>
      </c>
      <c r="U10" s="27" t="s">
        <v>7</v>
      </c>
    </row>
    <row r="11" spans="1:25" ht="32" x14ac:dyDescent="0.45">
      <c r="A11" s="28" t="s">
        <v>67</v>
      </c>
      <c r="B11" s="66">
        <v>0.24</v>
      </c>
      <c r="C11" s="14" t="s">
        <v>64</v>
      </c>
      <c r="D11" s="79" t="s">
        <v>68</v>
      </c>
      <c r="E11" s="27"/>
      <c r="G11" s="28" t="s">
        <v>89</v>
      </c>
      <c r="H11" s="49">
        <f>H10*B15</f>
        <v>123063185297079.23</v>
      </c>
      <c r="I11" s="14" t="s">
        <v>7</v>
      </c>
      <c r="J11" s="14"/>
      <c r="K11" s="14"/>
      <c r="L11" s="14"/>
      <c r="M11" s="14"/>
      <c r="N11" s="14"/>
      <c r="O11" s="14"/>
      <c r="P11" s="14"/>
      <c r="Q11" s="14"/>
      <c r="R11" s="14"/>
      <c r="S11" s="14"/>
      <c r="T11" s="14"/>
      <c r="U11" s="27"/>
    </row>
    <row r="12" spans="1:25" ht="48" x14ac:dyDescent="0.45">
      <c r="A12" s="28" t="s">
        <v>69</v>
      </c>
      <c r="B12" s="66">
        <v>0.35</v>
      </c>
      <c r="C12" s="14" t="s">
        <v>64</v>
      </c>
      <c r="D12" s="58" t="s">
        <v>70</v>
      </c>
      <c r="E12" s="27"/>
      <c r="G12" s="28" t="s">
        <v>352</v>
      </c>
      <c r="H12" s="49">
        <f>(H11)*5</f>
        <v>615315926485396.13</v>
      </c>
      <c r="I12" s="14" t="s">
        <v>7</v>
      </c>
      <c r="J12" s="14"/>
      <c r="K12" s="14"/>
      <c r="L12" s="14"/>
      <c r="M12" s="14"/>
      <c r="N12" s="14"/>
      <c r="O12" s="14"/>
      <c r="P12" s="14"/>
      <c r="Q12" s="14"/>
      <c r="R12" s="14"/>
      <c r="S12" s="14"/>
      <c r="T12" s="14"/>
      <c r="U12" s="27"/>
    </row>
    <row r="13" spans="1:25" x14ac:dyDescent="0.45">
      <c r="A13" s="28" t="s">
        <v>71</v>
      </c>
      <c r="B13" s="14">
        <v>159</v>
      </c>
      <c r="C13" s="14" t="s">
        <v>72</v>
      </c>
      <c r="D13" s="72" t="s">
        <v>73</v>
      </c>
      <c r="E13" s="27"/>
      <c r="G13" s="32"/>
      <c r="H13" s="14"/>
      <c r="I13" s="14"/>
      <c r="J13" s="14"/>
      <c r="K13" s="14"/>
      <c r="L13" s="14"/>
      <c r="M13" s="14"/>
      <c r="N13" s="14"/>
      <c r="O13" s="14"/>
      <c r="P13" s="14"/>
      <c r="Q13" s="14"/>
      <c r="R13" s="14"/>
      <c r="S13" s="14"/>
      <c r="T13" s="14"/>
      <c r="U13" s="27"/>
    </row>
    <row r="14" spans="1:25" x14ac:dyDescent="0.45">
      <c r="A14" s="28" t="s">
        <v>74</v>
      </c>
      <c r="B14" s="14">
        <v>1700</v>
      </c>
      <c r="C14" s="14" t="s">
        <v>75</v>
      </c>
      <c r="D14" s="72" t="s">
        <v>76</v>
      </c>
      <c r="E14" s="27"/>
      <c r="G14" s="33"/>
      <c r="H14" s="34"/>
      <c r="I14" s="34"/>
      <c r="J14" s="34"/>
      <c r="K14" s="34"/>
      <c r="L14" s="34"/>
      <c r="M14" s="34"/>
      <c r="N14" s="34"/>
      <c r="O14" s="34"/>
      <c r="P14" s="34"/>
      <c r="Q14" s="34"/>
      <c r="R14" s="34"/>
      <c r="S14" s="34"/>
      <c r="T14" s="34"/>
      <c r="U14" s="35"/>
    </row>
    <row r="15" spans="1:25" x14ac:dyDescent="0.45">
      <c r="A15" s="28" t="s">
        <v>101</v>
      </c>
      <c r="B15" s="73">
        <f>B14/B13</f>
        <v>10.691823899371069</v>
      </c>
      <c r="C15" s="14" t="s">
        <v>78</v>
      </c>
      <c r="D15" s="14"/>
      <c r="E15" s="27"/>
    </row>
    <row r="16" spans="1:25" x14ac:dyDescent="0.45">
      <c r="A16" s="28" t="s">
        <v>106</v>
      </c>
      <c r="B16" s="73">
        <v>0.20200000000000001</v>
      </c>
      <c r="C16" s="14" t="s">
        <v>107</v>
      </c>
      <c r="D16" s="14" t="s">
        <v>108</v>
      </c>
      <c r="E16" s="27"/>
      <c r="G16" s="24" t="s">
        <v>33</v>
      </c>
      <c r="H16" s="2"/>
      <c r="I16" s="2"/>
      <c r="J16" s="2"/>
      <c r="K16" s="2"/>
      <c r="L16" s="2"/>
      <c r="M16" s="2"/>
      <c r="N16" s="2"/>
      <c r="O16" s="2"/>
      <c r="P16" s="2"/>
      <c r="Q16" s="2"/>
      <c r="R16" s="2"/>
      <c r="S16" s="2"/>
      <c r="T16" s="2"/>
      <c r="U16" s="2"/>
      <c r="V16" s="2"/>
      <c r="W16" s="2"/>
      <c r="X16" s="2"/>
      <c r="Y16" s="25"/>
    </row>
    <row r="17" spans="1:25" ht="32" x14ac:dyDescent="0.45">
      <c r="A17" s="28" t="s">
        <v>109</v>
      </c>
      <c r="B17" s="74">
        <v>0.185</v>
      </c>
      <c r="C17" s="14" t="s">
        <v>107</v>
      </c>
      <c r="D17" s="14" t="s">
        <v>110</v>
      </c>
      <c r="E17" s="27"/>
      <c r="G17" s="26" t="s">
        <v>38</v>
      </c>
      <c r="H17" s="14"/>
      <c r="I17" s="14"/>
      <c r="J17" s="14"/>
      <c r="K17" s="36" t="s">
        <v>32</v>
      </c>
      <c r="L17" s="14"/>
      <c r="M17" s="14"/>
      <c r="N17" s="14"/>
      <c r="O17" s="14" t="s">
        <v>36</v>
      </c>
      <c r="P17" s="14"/>
      <c r="Q17" s="14"/>
      <c r="R17" s="14"/>
      <c r="S17" s="14" t="s">
        <v>37</v>
      </c>
      <c r="T17" s="14"/>
      <c r="U17" s="14"/>
      <c r="V17" s="14"/>
      <c r="W17" s="14" t="s">
        <v>118</v>
      </c>
      <c r="X17" s="14"/>
      <c r="Y17" s="27"/>
    </row>
    <row r="18" spans="1:25" x14ac:dyDescent="0.45">
      <c r="A18" s="28"/>
      <c r="B18" s="44"/>
      <c r="C18" s="14"/>
      <c r="D18" s="58"/>
      <c r="E18" s="27"/>
      <c r="G18" s="1" t="s">
        <v>1</v>
      </c>
      <c r="H18" s="2" t="s">
        <v>2</v>
      </c>
      <c r="I18" s="2" t="s">
        <v>3</v>
      </c>
      <c r="J18" s="14"/>
      <c r="K18" s="1" t="s">
        <v>1</v>
      </c>
      <c r="L18" s="2" t="s">
        <v>2</v>
      </c>
      <c r="M18" s="2" t="s">
        <v>3</v>
      </c>
      <c r="N18" s="14"/>
      <c r="O18" s="1" t="s">
        <v>1</v>
      </c>
      <c r="P18" s="2" t="s">
        <v>2</v>
      </c>
      <c r="Q18" s="2" t="s">
        <v>3</v>
      </c>
      <c r="R18" s="14"/>
      <c r="S18" s="1" t="s">
        <v>1</v>
      </c>
      <c r="T18" s="2" t="s">
        <v>2</v>
      </c>
      <c r="U18" s="2" t="s">
        <v>3</v>
      </c>
      <c r="V18" s="14"/>
      <c r="W18" s="1" t="s">
        <v>1</v>
      </c>
      <c r="X18" s="2" t="s">
        <v>2</v>
      </c>
      <c r="Y18" s="25" t="s">
        <v>3</v>
      </c>
    </row>
    <row r="19" spans="1:25" ht="32" x14ac:dyDescent="0.45">
      <c r="A19" s="75" t="s">
        <v>97</v>
      </c>
      <c r="B19" s="14"/>
      <c r="C19" s="14"/>
      <c r="D19" s="14"/>
      <c r="E19" s="27"/>
      <c r="G19" s="37" t="s">
        <v>149</v>
      </c>
      <c r="H19" s="49">
        <f>B30*B31*B32</f>
        <v>5182444300000</v>
      </c>
      <c r="I19" s="14" t="s">
        <v>7</v>
      </c>
      <c r="J19" s="14"/>
      <c r="K19" s="4" t="s">
        <v>163</v>
      </c>
      <c r="L19" s="49">
        <f>B33*10^9*B34*B35</f>
        <v>20836400000000</v>
      </c>
      <c r="M19" s="14" t="s">
        <v>7</v>
      </c>
      <c r="N19" s="14"/>
      <c r="O19" s="4" t="s">
        <v>161</v>
      </c>
      <c r="P19" s="49">
        <f>B40*10^6/B41*B42*B43</f>
        <v>3432799409523.8096</v>
      </c>
      <c r="Q19" s="14" t="s">
        <v>7</v>
      </c>
      <c r="R19" s="14"/>
      <c r="S19" s="4" t="s">
        <v>172</v>
      </c>
      <c r="T19" s="16">
        <f>B46*B48*B52</f>
        <v>3101767680000.0005</v>
      </c>
      <c r="U19" s="14" t="s">
        <v>7</v>
      </c>
      <c r="V19" s="14"/>
      <c r="W19" s="4" t="s">
        <v>174</v>
      </c>
      <c r="X19" s="16">
        <f>B46*B48*B54</f>
        <v>2778666880000</v>
      </c>
      <c r="Y19" s="14" t="s">
        <v>7</v>
      </c>
    </row>
    <row r="20" spans="1:25" ht="48" x14ac:dyDescent="0.45">
      <c r="A20" s="37" t="s">
        <v>90</v>
      </c>
      <c r="B20" s="29">
        <f>[1]data_1tier!$B$8</f>
        <v>6892536</v>
      </c>
      <c r="C20" s="14" t="s">
        <v>99</v>
      </c>
      <c r="D20" s="14"/>
      <c r="E20" s="27"/>
      <c r="G20" s="37" t="s">
        <v>150</v>
      </c>
      <c r="H20" s="16">
        <f>H19*5</f>
        <v>25912221500000</v>
      </c>
      <c r="I20" s="14" t="s">
        <v>7</v>
      </c>
      <c r="J20" s="14"/>
      <c r="K20" s="4" t="s">
        <v>151</v>
      </c>
      <c r="L20" s="16">
        <f>L19*5</f>
        <v>104182000000000</v>
      </c>
      <c r="M20" s="14" t="s">
        <v>7</v>
      </c>
      <c r="N20" s="14"/>
      <c r="O20" s="4" t="s">
        <v>162</v>
      </c>
      <c r="P20" s="16">
        <f>P19*5</f>
        <v>17163997047619.047</v>
      </c>
      <c r="Q20" s="14" t="s">
        <v>7</v>
      </c>
      <c r="R20" s="14"/>
      <c r="S20" s="4" t="s">
        <v>173</v>
      </c>
      <c r="T20" s="16">
        <f>T19*5</f>
        <v>15508838400000.002</v>
      </c>
      <c r="U20" s="14" t="s">
        <v>7</v>
      </c>
      <c r="V20" s="14"/>
      <c r="W20" s="4" t="s">
        <v>175</v>
      </c>
      <c r="X20" s="16">
        <f>X19*5</f>
        <v>13893334400000</v>
      </c>
      <c r="Y20" s="14" t="s">
        <v>7</v>
      </c>
    </row>
    <row r="21" spans="1:25" x14ac:dyDescent="0.45">
      <c r="A21" s="37" t="s">
        <v>91</v>
      </c>
      <c r="B21" s="29">
        <f>[1]data_1tier!$G$8</f>
        <v>3414170</v>
      </c>
      <c r="C21" s="14" t="s">
        <v>99</v>
      </c>
      <c r="D21" s="14"/>
      <c r="E21" s="27"/>
      <c r="G21" s="37"/>
      <c r="H21" s="49"/>
      <c r="I21" s="14"/>
      <c r="J21" s="14"/>
      <c r="K21" s="4"/>
      <c r="L21" s="14"/>
      <c r="M21" s="14"/>
      <c r="N21" s="14"/>
      <c r="O21" s="14"/>
      <c r="P21" s="14"/>
      <c r="Q21" s="14"/>
      <c r="R21" s="14"/>
      <c r="S21" s="14"/>
      <c r="T21" s="14"/>
      <c r="U21" s="14"/>
      <c r="V21" s="14"/>
      <c r="W21" s="14"/>
      <c r="X21" s="14"/>
      <c r="Y21" s="27"/>
    </row>
    <row r="22" spans="1:25" x14ac:dyDescent="0.45">
      <c r="A22" s="37" t="s">
        <v>92</v>
      </c>
      <c r="B22" s="29">
        <f>[1]data_1tier!$L$8</f>
        <v>9232338.4205668345</v>
      </c>
      <c r="C22" s="14" t="s">
        <v>99</v>
      </c>
      <c r="D22" s="14"/>
      <c r="E22" s="27"/>
      <c r="G22" s="32"/>
      <c r="H22" s="14"/>
      <c r="I22" s="14"/>
      <c r="J22" s="14"/>
      <c r="K22" s="14"/>
      <c r="L22" s="14"/>
      <c r="M22" s="14"/>
      <c r="N22" s="14"/>
      <c r="O22" s="14"/>
      <c r="P22" s="14"/>
      <c r="Q22" s="14"/>
      <c r="R22" s="14"/>
      <c r="S22" s="14"/>
      <c r="T22" s="14"/>
      <c r="U22" s="14"/>
      <c r="V22" s="14"/>
      <c r="W22" s="14"/>
      <c r="X22" s="14"/>
      <c r="Y22" s="27"/>
    </row>
    <row r="23" spans="1:25" ht="32" x14ac:dyDescent="0.45">
      <c r="A23" s="37" t="s">
        <v>98</v>
      </c>
      <c r="B23" s="29">
        <f>[1]data_1tier!$R$8</f>
        <v>770101349</v>
      </c>
      <c r="C23" s="14" t="s">
        <v>99</v>
      </c>
      <c r="D23" s="14"/>
      <c r="E23" s="27"/>
      <c r="G23" s="33"/>
      <c r="H23" s="34"/>
      <c r="I23" s="34"/>
      <c r="J23" s="34"/>
      <c r="K23" s="34"/>
      <c r="L23" s="34"/>
      <c r="M23" s="34"/>
      <c r="N23" s="34"/>
      <c r="O23" s="34"/>
      <c r="P23" s="34"/>
      <c r="Q23" s="34"/>
      <c r="R23" s="34"/>
      <c r="S23" s="34"/>
      <c r="T23" s="34"/>
      <c r="U23" s="34"/>
      <c r="V23" s="34"/>
      <c r="W23" s="34"/>
      <c r="X23" s="34"/>
      <c r="Y23" s="35"/>
    </row>
    <row r="24" spans="1:25" x14ac:dyDescent="0.45">
      <c r="A24" s="37" t="s">
        <v>93</v>
      </c>
      <c r="B24" s="29">
        <f>[1]data_1tier!$W$8</f>
        <v>631000</v>
      </c>
      <c r="C24" s="14" t="s">
        <v>99</v>
      </c>
      <c r="D24" s="14"/>
      <c r="E24" s="27"/>
    </row>
    <row r="25" spans="1:25" x14ac:dyDescent="0.45">
      <c r="A25" s="37" t="s">
        <v>94</v>
      </c>
      <c r="B25" s="29">
        <f>[1]data_1tier!$AB$8</f>
        <v>278341</v>
      </c>
      <c r="C25" s="14" t="s">
        <v>99</v>
      </c>
      <c r="D25" s="14"/>
      <c r="E25" s="27"/>
      <c r="G25" s="24" t="s">
        <v>51</v>
      </c>
      <c r="H25" s="2"/>
      <c r="I25" s="2"/>
      <c r="J25" s="2"/>
      <c r="K25" s="2"/>
      <c r="L25" s="2"/>
      <c r="M25" s="2"/>
      <c r="N25" s="2"/>
      <c r="O25" s="2"/>
      <c r="P25" s="2"/>
      <c r="Q25" s="25"/>
    </row>
    <row r="26" spans="1:25" ht="32" x14ac:dyDescent="0.45">
      <c r="A26" s="37" t="s">
        <v>95</v>
      </c>
      <c r="B26" s="29">
        <f>[1]data_1tier!$AG$10/[1]data_1tier!$AG$7</f>
        <v>7050048.0116731524</v>
      </c>
      <c r="C26" s="14" t="s">
        <v>99</v>
      </c>
      <c r="D26" s="14"/>
      <c r="E26" s="27"/>
      <c r="G26" s="32" t="s">
        <v>37</v>
      </c>
      <c r="H26" s="14"/>
      <c r="I26" s="14"/>
      <c r="J26" s="14"/>
      <c r="K26" s="36" t="s">
        <v>32</v>
      </c>
      <c r="L26" s="14"/>
      <c r="M26" s="14"/>
      <c r="N26" s="14"/>
      <c r="O26" s="14" t="s">
        <v>118</v>
      </c>
      <c r="P26" s="14"/>
      <c r="Q26" s="27"/>
    </row>
    <row r="27" spans="1:25" ht="32" x14ac:dyDescent="0.45">
      <c r="A27" s="37" t="s">
        <v>96</v>
      </c>
      <c r="B27" s="29">
        <f>[1]data_1tier!$AG$12/[1]data_1tier!$AG$8</f>
        <v>251787428.98832685</v>
      </c>
      <c r="C27" s="14" t="s">
        <v>99</v>
      </c>
      <c r="D27" s="14"/>
      <c r="E27" s="27"/>
      <c r="G27" s="1" t="s">
        <v>1</v>
      </c>
      <c r="H27" s="2" t="s">
        <v>2</v>
      </c>
      <c r="I27" s="2" t="s">
        <v>3</v>
      </c>
      <c r="J27" s="14"/>
      <c r="K27" s="1" t="s">
        <v>1</v>
      </c>
      <c r="L27" s="2" t="s">
        <v>2</v>
      </c>
      <c r="M27" s="2" t="s">
        <v>3</v>
      </c>
      <c r="N27" s="14"/>
      <c r="O27" s="1" t="s">
        <v>1</v>
      </c>
      <c r="P27" s="2" t="s">
        <v>2</v>
      </c>
      <c r="Q27" s="25" t="s">
        <v>3</v>
      </c>
    </row>
    <row r="28" spans="1:25" ht="32" x14ac:dyDescent="0.45">
      <c r="A28" s="32"/>
      <c r="B28" s="14"/>
      <c r="C28" s="14"/>
      <c r="D28" s="14"/>
      <c r="E28" s="27"/>
      <c r="G28" s="37" t="s">
        <v>176</v>
      </c>
      <c r="H28" s="16">
        <f>B46*B49*B52</f>
        <v>576000000000</v>
      </c>
      <c r="I28" s="14" t="s">
        <v>7</v>
      </c>
      <c r="J28" s="14"/>
      <c r="K28" s="4" t="s">
        <v>176</v>
      </c>
      <c r="L28" s="16">
        <f>B46*B49*B53</f>
        <v>885000000000</v>
      </c>
      <c r="M28" s="14" t="s">
        <v>7</v>
      </c>
      <c r="N28" s="14"/>
      <c r="O28" s="4" t="s">
        <v>179</v>
      </c>
      <c r="P28" s="16">
        <f>B46*B49*B54</f>
        <v>515999999999.99994</v>
      </c>
      <c r="Q28" s="27" t="s">
        <v>7</v>
      </c>
    </row>
    <row r="29" spans="1:25" ht="48" x14ac:dyDescent="0.45">
      <c r="A29" s="69" t="s">
        <v>146</v>
      </c>
      <c r="B29" s="14"/>
      <c r="C29" s="14"/>
      <c r="D29" s="14"/>
      <c r="E29" s="27"/>
      <c r="G29" s="37" t="s">
        <v>177</v>
      </c>
      <c r="H29" s="16">
        <f>H28*5</f>
        <v>2880000000000</v>
      </c>
      <c r="I29" s="14" t="s">
        <v>7</v>
      </c>
      <c r="J29" s="14"/>
      <c r="K29" s="4" t="s">
        <v>178</v>
      </c>
      <c r="L29" s="16">
        <f>L28*5</f>
        <v>4425000000000</v>
      </c>
      <c r="M29" s="14" t="s">
        <v>7</v>
      </c>
      <c r="N29" s="14"/>
      <c r="O29" s="4" t="s">
        <v>180</v>
      </c>
      <c r="P29" s="16">
        <f>P28*5</f>
        <v>2579999999999.9995</v>
      </c>
      <c r="Q29" s="27" t="s">
        <v>7</v>
      </c>
    </row>
    <row r="30" spans="1:25" ht="32" x14ac:dyDescent="0.45">
      <c r="A30" s="37" t="s">
        <v>124</v>
      </c>
      <c r="B30" s="14">
        <v>4051</v>
      </c>
      <c r="C30" s="14" t="s">
        <v>125</v>
      </c>
      <c r="D30" s="58" t="s">
        <v>126</v>
      </c>
      <c r="E30" s="27"/>
      <c r="G30" s="37"/>
      <c r="H30" s="31"/>
      <c r="I30" s="14"/>
      <c r="J30" s="14"/>
      <c r="K30" s="14"/>
      <c r="L30" s="14"/>
      <c r="M30" s="14"/>
      <c r="N30" s="14"/>
      <c r="O30" s="14"/>
      <c r="P30" s="14"/>
      <c r="Q30" s="27"/>
    </row>
    <row r="31" spans="1:25" ht="32" x14ac:dyDescent="0.45">
      <c r="A31" s="37" t="s">
        <v>147</v>
      </c>
      <c r="B31" s="76">
        <v>11630000000</v>
      </c>
      <c r="C31" s="15" t="s">
        <v>148</v>
      </c>
      <c r="D31" s="79" t="s">
        <v>141</v>
      </c>
      <c r="E31" s="27"/>
      <c r="G31" s="33"/>
      <c r="H31" s="34"/>
      <c r="I31" s="34"/>
      <c r="J31" s="34"/>
      <c r="K31" s="34"/>
      <c r="L31" s="34"/>
      <c r="M31" s="34"/>
      <c r="N31" s="34"/>
      <c r="O31" s="34"/>
      <c r="P31" s="34"/>
      <c r="Q31" s="35"/>
    </row>
    <row r="32" spans="1:25" ht="48" x14ac:dyDescent="0.45">
      <c r="A32" s="37" t="s">
        <v>152</v>
      </c>
      <c r="B32" s="47">
        <f>5%+6%</f>
        <v>0.11</v>
      </c>
      <c r="C32" s="15"/>
      <c r="D32" s="19" t="s">
        <v>129</v>
      </c>
      <c r="E32" s="27"/>
    </row>
    <row r="33" spans="1:5" ht="48" x14ac:dyDescent="0.45">
      <c r="A33" s="37" t="s">
        <v>130</v>
      </c>
      <c r="B33" s="14">
        <f>214+915+1132+185+476+171+237+677</f>
        <v>4007</v>
      </c>
      <c r="C33" s="15" t="s">
        <v>131</v>
      </c>
      <c r="D33" s="58" t="s">
        <v>132</v>
      </c>
      <c r="E33" s="27"/>
    </row>
    <row r="34" spans="1:5" ht="32" x14ac:dyDescent="0.45">
      <c r="A34" s="37" t="s">
        <v>127</v>
      </c>
      <c r="B34" s="14">
        <v>10</v>
      </c>
      <c r="C34" s="14" t="s">
        <v>128</v>
      </c>
      <c r="D34" s="58"/>
      <c r="E34" s="27"/>
    </row>
    <row r="35" spans="1:5" ht="48" x14ac:dyDescent="0.45">
      <c r="A35" s="37" t="s">
        <v>153</v>
      </c>
      <c r="B35" s="44">
        <f>20.7%+31.3%</f>
        <v>0.52</v>
      </c>
      <c r="C35" s="14"/>
      <c r="D35" s="58" t="s">
        <v>160</v>
      </c>
      <c r="E35" s="27"/>
    </row>
    <row r="36" spans="1:5" ht="32" x14ac:dyDescent="0.45">
      <c r="A36" s="28" t="s">
        <v>133</v>
      </c>
      <c r="B36" s="14">
        <v>2.1</v>
      </c>
      <c r="C36" s="15" t="s">
        <v>134</v>
      </c>
      <c r="D36" s="72" t="s">
        <v>135</v>
      </c>
      <c r="E36" s="27"/>
    </row>
    <row r="37" spans="1:5" ht="32" x14ac:dyDescent="0.45">
      <c r="A37" s="28" t="s">
        <v>136</v>
      </c>
      <c r="B37" s="14">
        <v>0.32150000000000001</v>
      </c>
      <c r="C37" s="15" t="s">
        <v>137</v>
      </c>
      <c r="D37" s="72" t="s">
        <v>138</v>
      </c>
      <c r="E37" s="27"/>
    </row>
    <row r="38" spans="1:5" ht="32" x14ac:dyDescent="0.45">
      <c r="A38" s="37" t="s">
        <v>139</v>
      </c>
      <c r="B38" s="14">
        <v>11630</v>
      </c>
      <c r="C38" s="15" t="s">
        <v>140</v>
      </c>
      <c r="D38" s="19" t="s">
        <v>141</v>
      </c>
      <c r="E38" s="27"/>
    </row>
    <row r="39" spans="1:5" ht="48" x14ac:dyDescent="0.45">
      <c r="A39" s="28" t="s">
        <v>142</v>
      </c>
      <c r="B39" s="14">
        <v>1928</v>
      </c>
      <c r="C39" s="15" t="s">
        <v>143</v>
      </c>
      <c r="D39" s="58" t="s">
        <v>144</v>
      </c>
      <c r="E39" s="27"/>
    </row>
    <row r="40" spans="1:5" ht="48" x14ac:dyDescent="0.45">
      <c r="A40" s="28" t="s">
        <v>142</v>
      </c>
      <c r="B40" s="14">
        <v>1928</v>
      </c>
      <c r="C40" s="14" t="s">
        <v>143</v>
      </c>
      <c r="D40" s="58" t="s">
        <v>144</v>
      </c>
      <c r="E40" s="27"/>
    </row>
    <row r="41" spans="1:5" ht="32" x14ac:dyDescent="0.45">
      <c r="A41" s="28" t="s">
        <v>133</v>
      </c>
      <c r="B41" s="14">
        <v>2.1</v>
      </c>
      <c r="C41" s="14" t="s">
        <v>134</v>
      </c>
      <c r="D41" s="72" t="s">
        <v>135</v>
      </c>
      <c r="E41" s="27"/>
    </row>
    <row r="42" spans="1:5" ht="32" x14ac:dyDescent="0.45">
      <c r="A42" s="28" t="s">
        <v>136</v>
      </c>
      <c r="B42" s="14">
        <v>0.32150000000000001</v>
      </c>
      <c r="C42" s="14" t="s">
        <v>137</v>
      </c>
      <c r="D42" s="72" t="s">
        <v>138</v>
      </c>
      <c r="E42" s="27"/>
    </row>
    <row r="43" spans="1:5" ht="32" x14ac:dyDescent="0.45">
      <c r="A43" s="37" t="s">
        <v>139</v>
      </c>
      <c r="B43" s="14">
        <v>11630</v>
      </c>
      <c r="C43" s="14" t="s">
        <v>140</v>
      </c>
      <c r="D43" s="14" t="s">
        <v>141</v>
      </c>
      <c r="E43" s="27"/>
    </row>
    <row r="44" spans="1:5" x14ac:dyDescent="0.45">
      <c r="A44" s="37"/>
      <c r="B44" s="14"/>
      <c r="C44" s="14"/>
      <c r="D44" s="14"/>
      <c r="E44" s="27"/>
    </row>
    <row r="45" spans="1:5" x14ac:dyDescent="0.45">
      <c r="A45" s="69" t="s">
        <v>171</v>
      </c>
      <c r="B45" s="14"/>
      <c r="C45" s="14"/>
      <c r="D45" s="14"/>
      <c r="E45" s="27"/>
    </row>
    <row r="46" spans="1:5" x14ac:dyDescent="0.45">
      <c r="A46" s="28" t="s">
        <v>164</v>
      </c>
      <c r="B46" s="29">
        <f>(3270+1279+4364+1339+11320+285+694+1033)*10^9</f>
        <v>23584000000000</v>
      </c>
      <c r="C46" s="14" t="s">
        <v>7</v>
      </c>
      <c r="D46" s="58" t="s">
        <v>165</v>
      </c>
      <c r="E46" s="27"/>
    </row>
    <row r="47" spans="1:5" ht="48" x14ac:dyDescent="0.45">
      <c r="A47" s="28" t="s">
        <v>169</v>
      </c>
      <c r="B47" s="44">
        <v>1.7999999999999999E-2</v>
      </c>
      <c r="C47" s="14" t="s">
        <v>7</v>
      </c>
      <c r="D47" s="58" t="s">
        <v>166</v>
      </c>
      <c r="E47" s="27"/>
    </row>
    <row r="48" spans="1:5" ht="48" x14ac:dyDescent="0.45">
      <c r="A48" s="28" t="s">
        <v>170</v>
      </c>
      <c r="B48" s="44">
        <f>41.9%+26.6%</f>
        <v>0.68500000000000005</v>
      </c>
      <c r="C48" s="14"/>
      <c r="D48" s="58" t="s">
        <v>166</v>
      </c>
      <c r="E48" s="27"/>
    </row>
    <row r="49" spans="1:5" ht="48" x14ac:dyDescent="0.45">
      <c r="A49" s="28" t="s">
        <v>168</v>
      </c>
      <c r="B49" s="44">
        <f>(3000*10^9)/B46</f>
        <v>0.12720488466757124</v>
      </c>
      <c r="C49" s="14"/>
      <c r="D49" s="58" t="s">
        <v>167</v>
      </c>
      <c r="E49" s="27"/>
    </row>
    <row r="50" spans="1:5" ht="19.5" customHeight="1" x14ac:dyDescent="0.45">
      <c r="A50" s="32"/>
      <c r="B50" s="14"/>
      <c r="C50" s="14"/>
      <c r="D50" s="14"/>
      <c r="E50" s="27"/>
    </row>
    <row r="51" spans="1:5" x14ac:dyDescent="0.45">
      <c r="A51" s="42" t="s">
        <v>181</v>
      </c>
      <c r="B51" s="14"/>
      <c r="C51" s="14"/>
      <c r="D51" s="14"/>
      <c r="E51" s="27"/>
    </row>
    <row r="52" spans="1:5" x14ac:dyDescent="0.45">
      <c r="A52" s="28" t="s">
        <v>37</v>
      </c>
      <c r="B52" s="47">
        <v>0.192</v>
      </c>
      <c r="C52" s="14"/>
      <c r="D52" s="14"/>
      <c r="E52" s="27"/>
    </row>
    <row r="53" spans="1:5" x14ac:dyDescent="0.45">
      <c r="A53" s="28" t="s">
        <v>32</v>
      </c>
      <c r="B53" s="47">
        <v>0.29499999999999998</v>
      </c>
      <c r="C53" s="14"/>
      <c r="D53" s="14"/>
      <c r="E53" s="27"/>
    </row>
    <row r="54" spans="1:5" x14ac:dyDescent="0.45">
      <c r="A54" s="28" t="s">
        <v>80</v>
      </c>
      <c r="B54" s="47">
        <v>0.17199999999999999</v>
      </c>
      <c r="C54" s="14"/>
      <c r="D54" s="14"/>
      <c r="E54" s="27"/>
    </row>
    <row r="55" spans="1:5" x14ac:dyDescent="0.45">
      <c r="A55" s="64" t="s">
        <v>81</v>
      </c>
      <c r="B55" s="77">
        <f>100%-B52-B53-B54</f>
        <v>0.34100000000000014</v>
      </c>
      <c r="C55" s="34"/>
      <c r="D55" s="34"/>
      <c r="E55" s="35"/>
    </row>
    <row r="57" spans="1:5" x14ac:dyDescent="0.45">
      <c r="A57" s="22" t="s">
        <v>182</v>
      </c>
    </row>
    <row r="58" spans="1:5" x14ac:dyDescent="0.45">
      <c r="A58" t="s">
        <v>183</v>
      </c>
    </row>
    <row r="59" spans="1:5" x14ac:dyDescent="0.45">
      <c r="A59" t="s">
        <v>184</v>
      </c>
    </row>
    <row r="60" spans="1:5" x14ac:dyDescent="0.45">
      <c r="A60" t="s">
        <v>185</v>
      </c>
    </row>
    <row r="61" spans="1:5" x14ac:dyDescent="0.45">
      <c r="A61" t="s">
        <v>186</v>
      </c>
    </row>
    <row r="62" spans="1:5" x14ac:dyDescent="0.45">
      <c r="A62" t="s">
        <v>187</v>
      </c>
    </row>
    <row r="63" spans="1:5" x14ac:dyDescent="0.45">
      <c r="A63" t="s">
        <v>188</v>
      </c>
    </row>
    <row r="64" spans="1:5" x14ac:dyDescent="0.45">
      <c r="A64" t="s">
        <v>189</v>
      </c>
    </row>
    <row r="65" spans="1:1" x14ac:dyDescent="0.45">
      <c r="A65" t="s">
        <v>190</v>
      </c>
    </row>
    <row r="66" spans="1:1" x14ac:dyDescent="0.45">
      <c r="A66" t="s">
        <v>191</v>
      </c>
    </row>
    <row r="67" spans="1:1" x14ac:dyDescent="0.45">
      <c r="A67" t="s">
        <v>192</v>
      </c>
    </row>
    <row r="68" spans="1:1" x14ac:dyDescent="0.45">
      <c r="A68" t="s">
        <v>193</v>
      </c>
    </row>
    <row r="69" spans="1:1" x14ac:dyDescent="0.45">
      <c r="A69" t="s">
        <v>194</v>
      </c>
    </row>
    <row r="70" spans="1:1" x14ac:dyDescent="0.45">
      <c r="A70" t="s">
        <v>195</v>
      </c>
    </row>
    <row r="71" spans="1:1" x14ac:dyDescent="0.45">
      <c r="A71" t="s">
        <v>196</v>
      </c>
    </row>
  </sheetData>
  <mergeCells count="1">
    <mergeCell ref="E7:E8"/>
  </mergeCells>
  <hyperlinks>
    <hyperlink ref="D13" r:id="rId1"/>
    <hyperlink ref="D14" r:id="rId2"/>
    <hyperlink ref="D36" r:id="rId3"/>
    <hyperlink ref="D37" r:id="rId4"/>
    <hyperlink ref="D41" r:id="rId5"/>
    <hyperlink ref="D42" r:id="rId6"/>
  </hyperlinks>
  <pageMargins left="0.7" right="0.7" top="0.78740157499999996" bottom="0.78740157499999996"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42"/>
  <sheetViews>
    <sheetView topLeftCell="N1" workbookViewId="0">
      <selection activeCell="P6" sqref="P6"/>
    </sheetView>
  </sheetViews>
  <sheetFormatPr baseColWidth="10" defaultRowHeight="16" x14ac:dyDescent="0.45"/>
  <cols>
    <col min="1" max="1" width="23.81640625" customWidth="1"/>
    <col min="2" max="2" width="20.54296875" customWidth="1"/>
    <col min="3" max="3" width="18.7265625" customWidth="1"/>
    <col min="4" max="4" width="20.81640625" customWidth="1"/>
    <col min="6" max="6" width="20.54296875" customWidth="1"/>
    <col min="7" max="7" width="22.453125" customWidth="1"/>
    <col min="8" max="8" width="23.1796875" customWidth="1"/>
    <col min="9" max="9" width="22.453125" customWidth="1"/>
    <col min="11" max="11" width="18.7265625" customWidth="1"/>
    <col min="12" max="12" width="22.81640625" customWidth="1"/>
    <col min="13" max="13" width="25.26953125" customWidth="1"/>
    <col min="14" max="14" width="21.26953125" customWidth="1"/>
    <col min="15" max="15" width="17.81640625" customWidth="1"/>
    <col min="16" max="16" width="19.54296875" customWidth="1"/>
    <col min="18" max="18" width="20.1796875" customWidth="1"/>
    <col min="19" max="19" width="25.81640625" customWidth="1"/>
    <col min="20" max="20" width="23.453125" customWidth="1"/>
    <col min="21" max="21" width="18.26953125" customWidth="1"/>
    <col min="23" max="23" width="23.453125" customWidth="1"/>
    <col min="24" max="24" width="23" customWidth="1"/>
    <col min="25" max="25" width="18.453125" customWidth="1"/>
  </cols>
  <sheetData>
    <row r="2" spans="1:25" x14ac:dyDescent="0.45">
      <c r="A2" s="10" t="s">
        <v>38</v>
      </c>
      <c r="F2" s="10" t="s">
        <v>32</v>
      </c>
      <c r="K2" s="10" t="s">
        <v>36</v>
      </c>
      <c r="R2" s="10" t="s">
        <v>37</v>
      </c>
      <c r="W2" s="10" t="s">
        <v>118</v>
      </c>
    </row>
    <row r="3" spans="1:25" ht="30.75" customHeight="1" x14ac:dyDescent="0.45">
      <c r="A3" s="23" t="s">
        <v>197</v>
      </c>
      <c r="F3" s="55" t="s">
        <v>221</v>
      </c>
      <c r="G3" s="55"/>
      <c r="H3" s="55"/>
      <c r="I3" s="55"/>
      <c r="K3" t="s">
        <v>261</v>
      </c>
      <c r="R3" s="23" t="s">
        <v>249</v>
      </c>
      <c r="S3" s="5"/>
      <c r="W3" s="55" t="s">
        <v>255</v>
      </c>
      <c r="X3" s="55"/>
      <c r="Y3" s="55"/>
    </row>
    <row r="4" spans="1:25" ht="32" x14ac:dyDescent="0.45">
      <c r="A4" s="6" t="s">
        <v>198</v>
      </c>
      <c r="B4" s="6" t="s">
        <v>199</v>
      </c>
      <c r="C4" s="6" t="s">
        <v>200</v>
      </c>
      <c r="D4" s="4" t="s">
        <v>350</v>
      </c>
      <c r="F4" s="6" t="s">
        <v>222</v>
      </c>
      <c r="G4" s="6" t="s">
        <v>223</v>
      </c>
      <c r="H4" s="6" t="s">
        <v>200</v>
      </c>
      <c r="I4" s="4" t="s">
        <v>350</v>
      </c>
      <c r="K4" s="4" t="s">
        <v>236</v>
      </c>
      <c r="L4" s="4" t="s">
        <v>237</v>
      </c>
      <c r="M4" s="56" t="s">
        <v>238</v>
      </c>
      <c r="N4" s="56"/>
      <c r="O4" s="4" t="s">
        <v>239</v>
      </c>
      <c r="P4" s="4" t="s">
        <v>351</v>
      </c>
      <c r="R4" s="6" t="s">
        <v>250</v>
      </c>
      <c r="S4" s="6" t="s">
        <v>251</v>
      </c>
      <c r="T4" s="6" t="s">
        <v>200</v>
      </c>
      <c r="U4" s="4" t="s">
        <v>350</v>
      </c>
      <c r="W4" s="6" t="s">
        <v>256</v>
      </c>
      <c r="X4" s="6" t="s">
        <v>257</v>
      </c>
      <c r="Y4" s="4" t="s">
        <v>350</v>
      </c>
    </row>
    <row r="5" spans="1:25" x14ac:dyDescent="0.45">
      <c r="A5" s="6" t="s">
        <v>201</v>
      </c>
      <c r="B5" s="7">
        <f>1404/93871</f>
        <v>1.4956695891169797E-2</v>
      </c>
      <c r="C5" s="7">
        <f>B5/$B$24</f>
        <v>1.7186926184355491E-2</v>
      </c>
      <c r="D5" s="38">
        <f>C5*(PVI_calc!$H$11+PVI_calc!$H$20)*1/10^9</f>
        <v>2560.4293199057324</v>
      </c>
      <c r="F5" t="s">
        <v>219</v>
      </c>
      <c r="G5" s="18">
        <f>32914647000</f>
        <v>32914647000</v>
      </c>
      <c r="H5" s="13">
        <f>G5/$G$32</f>
        <v>0.2397235143611775</v>
      </c>
      <c r="I5" s="38">
        <f>H5*(PVI_calc!$L$9+PVI_calc!$L$19+PVI_calc!$L$28)*1/10^9</f>
        <v>5210.8083843328523</v>
      </c>
      <c r="K5" t="s">
        <v>240</v>
      </c>
      <c r="L5" s="8">
        <v>0.16</v>
      </c>
      <c r="M5">
        <v>307709</v>
      </c>
      <c r="N5" s="7">
        <v>0.16400000000000001</v>
      </c>
      <c r="O5" s="8">
        <f>L5</f>
        <v>0.16</v>
      </c>
      <c r="P5" s="11">
        <f>O5*PVI_calc!$P$19*1/10^9</f>
        <v>549.24790552380955</v>
      </c>
      <c r="R5" s="6" t="s">
        <v>205</v>
      </c>
      <c r="S5" s="5">
        <v>3580</v>
      </c>
      <c r="T5" s="7">
        <f>S5/$S$15</f>
        <v>0.55433402496051543</v>
      </c>
      <c r="U5" s="21">
        <f>T5*(PVI_calc!$P$9+PVI_calc!$T$19+PVI_calc!$H$28)*1/10^9</f>
        <v>2044.2472564082229</v>
      </c>
      <c r="W5" s="23" t="s">
        <v>208</v>
      </c>
      <c r="X5" s="20">
        <v>0.39400000000000002</v>
      </c>
      <c r="Y5" s="21">
        <f>X5*(PVI_calc!$T$9+PVI_calc!$X$19+PVI_calc!$P$28)*1/10^9</f>
        <v>1301.6233390950154</v>
      </c>
    </row>
    <row r="6" spans="1:25" x14ac:dyDescent="0.45">
      <c r="A6" s="6" t="s">
        <v>202</v>
      </c>
      <c r="B6" s="7">
        <f>1318/93871</f>
        <v>1.404054500324914E-2</v>
      </c>
      <c r="C6" s="7">
        <f t="shared" ref="C6:C23" si="0">B6/$B$24</f>
        <v>1.6134165748561635E-2</v>
      </c>
      <c r="D6" s="38">
        <f>C6*(PVI_calc!$H$11+PVI_calc!$H$20)*1/10^9</f>
        <v>2403.5939057234723</v>
      </c>
      <c r="F6" t="s">
        <v>215</v>
      </c>
      <c r="G6" s="18">
        <v>22728734000</v>
      </c>
      <c r="H6" s="13">
        <f t="shared" ref="H6:H31" si="1">G6/$G$32</f>
        <v>0.16553760978996324</v>
      </c>
      <c r="I6" s="38">
        <f>H6*(PVI_calc!$L$9+PVI_calc!$L$19+PVI_calc!$L$28)*1/10^9</f>
        <v>3598.2484543270716</v>
      </c>
      <c r="K6" t="s">
        <v>205</v>
      </c>
      <c r="L6" s="8">
        <v>0.08</v>
      </c>
      <c r="M6">
        <f>178831</f>
        <v>178831</v>
      </c>
      <c r="N6" s="7">
        <f>$N$5*M6/$M$5</f>
        <v>9.531175233743569E-2</v>
      </c>
      <c r="O6" s="8">
        <f t="shared" ref="O6:O11" si="2">L6</f>
        <v>0.08</v>
      </c>
      <c r="P6" s="11">
        <f>O6*PVI_calc!$P$19*1/10^9</f>
        <v>274.62395276190477</v>
      </c>
      <c r="R6" s="6" t="s">
        <v>240</v>
      </c>
      <c r="S6" s="5">
        <v>716.1</v>
      </c>
      <c r="T6" s="7">
        <f t="shared" ref="T6:T14" si="3">S6/$S$15</f>
        <v>0.11088228918274444</v>
      </c>
      <c r="U6" s="21">
        <f>T6*(PVI_calc!$P$9+PVI_calc!$T$19+PVI_calc!$H$28)*1/10^9</f>
        <v>408.90655316031524</v>
      </c>
      <c r="W6" s="23" t="s">
        <v>204</v>
      </c>
      <c r="X6" s="20">
        <v>0.22500000000000001</v>
      </c>
      <c r="Y6" s="21">
        <f>X6*(PVI_calc!$T$9+PVI_calc!$X$19+PVI_calc!$P$28)*1/10^9</f>
        <v>743.31282054918381</v>
      </c>
    </row>
    <row r="7" spans="1:25" x14ac:dyDescent="0.45">
      <c r="A7" s="6" t="s">
        <v>203</v>
      </c>
      <c r="B7" s="7">
        <f>3769/93871</f>
        <v>4.0150845308987868E-2</v>
      </c>
      <c r="C7" s="7">
        <f t="shared" si="0"/>
        <v>4.6137838168686503E-2</v>
      </c>
      <c r="D7" s="38">
        <f>C7*(PVI_calc!$H$11+PVI_calc!$H$20)*1/10^9</f>
        <v>6873.4032099178821</v>
      </c>
      <c r="F7" t="s">
        <v>206</v>
      </c>
      <c r="G7" s="18">
        <v>9097956245</v>
      </c>
      <c r="H7" s="13">
        <f t="shared" si="1"/>
        <v>6.6262112565133147E-2</v>
      </c>
      <c r="I7" s="38">
        <f>H7*(PVI_calc!$L$9+PVI_calc!$L$19+PVI_calc!$L$28)*1/10^9</f>
        <v>1440.3225008531745</v>
      </c>
      <c r="K7" t="s">
        <v>203</v>
      </c>
      <c r="L7" s="8">
        <v>0.06</v>
      </c>
      <c r="M7">
        <v>118123</v>
      </c>
      <c r="N7" s="7">
        <f t="shared" ref="N7:N20" si="4">$N$5*M7/$M$5</f>
        <v>6.2956143629208122E-2</v>
      </c>
      <c r="O7" s="8">
        <f t="shared" si="2"/>
        <v>0.06</v>
      </c>
      <c r="P7" s="11">
        <f>O7*PVI_calc!$P$19*1/10^9</f>
        <v>205.96796457142855</v>
      </c>
      <c r="R7" s="6" t="s">
        <v>224</v>
      </c>
      <c r="S7" s="5">
        <v>503.7</v>
      </c>
      <c r="T7" s="7">
        <f t="shared" si="3"/>
        <v>7.7993868260506041E-2</v>
      </c>
      <c r="U7" s="21">
        <f>T7*(PVI_calc!$P$9+PVI_calc!$T$19+PVI_calc!$H$28)*1/10^9</f>
        <v>287.62216286391674</v>
      </c>
      <c r="W7" s="23" t="s">
        <v>228</v>
      </c>
      <c r="X7" s="20">
        <v>0.10100000000000001</v>
      </c>
      <c r="Y7" s="21">
        <f>X7*(PVI_calc!$T$9+PVI_calc!$X$19+PVI_calc!$P$28)*1/10^9</f>
        <v>333.66486611318919</v>
      </c>
    </row>
    <row r="8" spans="1:25" x14ac:dyDescent="0.45">
      <c r="A8" s="6" t="s">
        <v>204</v>
      </c>
      <c r="B8" s="7">
        <f>5235/93871</f>
        <v>5.5768022072844647E-2</v>
      </c>
      <c r="C8" s="7">
        <f t="shared" si="0"/>
        <v>6.4083731178846859E-2</v>
      </c>
      <c r="D8" s="38">
        <f>C8*(PVI_calc!$H$11+PVI_calc!$H$20)*1/10^9</f>
        <v>9546.8999214433807</v>
      </c>
      <c r="F8" t="s">
        <v>204</v>
      </c>
      <c r="G8" s="18">
        <v>6751698275</v>
      </c>
      <c r="H8" s="13">
        <f t="shared" si="1"/>
        <v>4.9173878072862214E-2</v>
      </c>
      <c r="I8" s="38">
        <f>H8*(PVI_calc!$L$9+PVI_calc!$L$19+PVI_calc!$L$28)*1/10^9</f>
        <v>1068.8799421077085</v>
      </c>
      <c r="K8" t="s">
        <v>241</v>
      </c>
      <c r="L8" s="8">
        <v>0.06</v>
      </c>
      <c r="M8">
        <v>105346</v>
      </c>
      <c r="N8" s="7">
        <f t="shared" si="4"/>
        <v>5.6146372059315788E-2</v>
      </c>
      <c r="O8" s="8">
        <f t="shared" si="2"/>
        <v>0.06</v>
      </c>
      <c r="P8" s="11">
        <f>O8*PVI_calc!$P$19*1/10^9</f>
        <v>205.96796457142855</v>
      </c>
      <c r="R8" s="6" t="s">
        <v>219</v>
      </c>
      <c r="S8" s="5">
        <v>441</v>
      </c>
      <c r="T8" s="7">
        <f t="shared" si="3"/>
        <v>6.8285280728376335E-2</v>
      </c>
      <c r="U8" s="21">
        <f>T8*(PVI_calc!$P$9+PVI_calc!$T$19+PVI_calc!$H$28)*1/10^9</f>
        <v>251.81928493743749</v>
      </c>
      <c r="W8" s="23" t="s">
        <v>258</v>
      </c>
      <c r="X8" s="20">
        <v>5.8999999999999997E-2</v>
      </c>
      <c r="Y8" s="21">
        <f>X8*(PVI_calc!$T$9+PVI_calc!$X$19+PVI_calc!$P$28)*1/10^9</f>
        <v>194.91313961067488</v>
      </c>
    </row>
    <row r="9" spans="1:25" x14ac:dyDescent="0.45">
      <c r="A9" s="6" t="s">
        <v>205</v>
      </c>
      <c r="B9" s="7">
        <f>4863/93871</f>
        <v>5.1805136836722734E-2</v>
      </c>
      <c r="C9" s="7">
        <f t="shared" si="0"/>
        <v>5.9529930224017626E-2</v>
      </c>
      <c r="D9" s="38">
        <f>C9*(PVI_calc!$H$11+PVI_calc!$H$20)*1/10^9</f>
        <v>8868.4955717247703</v>
      </c>
      <c r="F9" t="s">
        <v>201</v>
      </c>
      <c r="G9" s="18">
        <v>6491744560</v>
      </c>
      <c r="H9" s="13">
        <f t="shared" si="1"/>
        <v>4.7280586671892791E-2</v>
      </c>
      <c r="I9" s="38">
        <f>H9*(PVI_calc!$L$9+PVI_calc!$L$19+PVI_calc!$L$28)*1/10^9</f>
        <v>1027.7259538039459</v>
      </c>
      <c r="K9" t="s">
        <v>242</v>
      </c>
      <c r="L9" s="8">
        <v>0.05</v>
      </c>
      <c r="M9">
        <v>80078</v>
      </c>
      <c r="N9" s="7">
        <f t="shared" si="4"/>
        <v>4.2679258650218231E-2</v>
      </c>
      <c r="O9" s="8">
        <f t="shared" si="2"/>
        <v>0.05</v>
      </c>
      <c r="P9" s="11">
        <f>O9*PVI_calc!$P$19*1/10^9</f>
        <v>171.63997047619048</v>
      </c>
      <c r="R9" s="6" t="s">
        <v>228</v>
      </c>
      <c r="S9" s="5">
        <v>425.9</v>
      </c>
      <c r="T9" s="7">
        <f t="shared" si="3"/>
        <v>6.5947167941531701E-2</v>
      </c>
      <c r="U9" s="21">
        <f>T9*(PVI_calc!$P$9+PVI_calc!$T$19+PVI_calc!$H$28)*1/10^9</f>
        <v>243.19690125817377</v>
      </c>
      <c r="W9" s="23" t="s">
        <v>259</v>
      </c>
      <c r="X9" s="20">
        <v>5.6000000000000001E-2</v>
      </c>
      <c r="Y9" s="21">
        <f>X9*(PVI_calc!$T$9+PVI_calc!$X$19+PVI_calc!$P$28)*1/10^9</f>
        <v>185.00230200335241</v>
      </c>
    </row>
    <row r="10" spans="1:25" x14ac:dyDescent="0.45">
      <c r="A10" s="6" t="s">
        <v>206</v>
      </c>
      <c r="B10" s="7">
        <f>2990/93871</f>
        <v>3.1852222731194937E-2</v>
      </c>
      <c r="C10" s="7">
        <f t="shared" si="0"/>
        <v>3.6601787244460768E-2</v>
      </c>
      <c r="D10" s="38">
        <f>C10*(PVI_calc!$H$11+PVI_calc!$H$20)*1/10^9</f>
        <v>5452.7661442436893</v>
      </c>
      <c r="F10" t="s">
        <v>214</v>
      </c>
      <c r="G10" s="18">
        <v>6000936690</v>
      </c>
      <c r="H10" s="13">
        <f t="shared" si="1"/>
        <v>4.3705941393985849E-2</v>
      </c>
      <c r="I10" s="38">
        <f>H10*(PVI_calc!$L$9+PVI_calc!$L$19+PVI_calc!$L$28)*1/10^9</f>
        <v>950.02480865441578</v>
      </c>
      <c r="K10" t="s">
        <v>211</v>
      </c>
      <c r="L10" s="8">
        <v>0.03</v>
      </c>
      <c r="M10">
        <v>64414</v>
      </c>
      <c r="N10" s="7">
        <f t="shared" si="4"/>
        <v>3.4330799554124193E-2</v>
      </c>
      <c r="O10" s="8">
        <f t="shared" si="2"/>
        <v>0.03</v>
      </c>
      <c r="P10" s="11">
        <f>O10*PVI_calc!$P$19*1/10^9</f>
        <v>102.98398228571428</v>
      </c>
      <c r="R10" s="6" t="s">
        <v>215</v>
      </c>
      <c r="S10" s="5">
        <v>327.7</v>
      </c>
      <c r="T10" s="7">
        <f t="shared" si="3"/>
        <v>5.0741692731720918E-2</v>
      </c>
      <c r="U10" s="21">
        <f>T10*(PVI_calc!$P$9+PVI_calc!$T$19+PVI_calc!$H$28)*1/10^9</f>
        <v>187.12285640362421</v>
      </c>
      <c r="W10" s="23" t="s">
        <v>215</v>
      </c>
      <c r="X10" s="20">
        <v>4.8000000000000001E-2</v>
      </c>
      <c r="Y10" s="21">
        <f>X10*(PVI_calc!$T$9+PVI_calc!$X$19+PVI_calc!$P$28)*1/10^9</f>
        <v>158.57340171715921</v>
      </c>
    </row>
    <row r="11" spans="1:25" x14ac:dyDescent="0.45">
      <c r="A11" s="6" t="s">
        <v>207</v>
      </c>
      <c r="B11" s="7">
        <f>4152/93871</f>
        <v>4.423091263542521E-2</v>
      </c>
      <c r="C11" s="7">
        <f t="shared" si="0"/>
        <v>5.0826294528094014E-2</v>
      </c>
      <c r="D11" s="38">
        <f>C11*(PVI_calc!$H$11+PVI_calc!$H$20)*1/10^9</f>
        <v>7571.8679033109684</v>
      </c>
      <c r="F11" t="s">
        <v>212</v>
      </c>
      <c r="G11" s="18">
        <v>5763408000</v>
      </c>
      <c r="H11" s="13">
        <f t="shared" si="1"/>
        <v>4.1975975633502173E-2</v>
      </c>
      <c r="I11" s="38">
        <f>H11*(PVI_calc!$L$9+PVI_calc!$L$19+PVI_calc!$L$28)*1/10^9</f>
        <v>912.42098779704497</v>
      </c>
      <c r="K11" t="s">
        <v>219</v>
      </c>
      <c r="L11" s="8">
        <v>0.03</v>
      </c>
      <c r="N11" s="7">
        <f t="shared" si="4"/>
        <v>0</v>
      </c>
      <c r="O11" s="8">
        <f t="shared" si="2"/>
        <v>0.03</v>
      </c>
      <c r="P11" s="11">
        <f>O11*PVI_calc!$P$19*1/10^9</f>
        <v>102.98398228571428</v>
      </c>
      <c r="R11" s="6" t="s">
        <v>252</v>
      </c>
      <c r="S11" s="5">
        <v>252.2</v>
      </c>
      <c r="T11" s="7">
        <f t="shared" si="3"/>
        <v>3.905112879749776E-2</v>
      </c>
      <c r="U11" s="21">
        <f>T11*(PVI_calc!$P$9+PVI_calc!$T$19+PVI_calc!$H$28)*1/10^9</f>
        <v>144.01093800730555</v>
      </c>
      <c r="W11" s="23" t="s">
        <v>229</v>
      </c>
      <c r="X11" s="20">
        <v>3.9E-2</v>
      </c>
      <c r="Y11" s="21">
        <f>X11*(PVI_calc!$T$9+PVI_calc!$X$19+PVI_calc!$P$28)*1/10^9</f>
        <v>128.84088889519185</v>
      </c>
    </row>
    <row r="12" spans="1:25" x14ac:dyDescent="0.45">
      <c r="A12" s="6" t="s">
        <v>208</v>
      </c>
      <c r="B12" s="7">
        <f>1859/93871</f>
        <v>1.9803773263308157E-2</v>
      </c>
      <c r="C12" s="7">
        <f t="shared" si="0"/>
        <v>2.2756763373729956E-2</v>
      </c>
      <c r="D12" s="38">
        <f>C12*(PVI_calc!$H$11+PVI_calc!$H$20)*1/10^9</f>
        <v>3390.1980809862939</v>
      </c>
      <c r="F12" t="s">
        <v>205</v>
      </c>
      <c r="G12" s="18">
        <v>4559625595</v>
      </c>
      <c r="H12" s="13">
        <f t="shared" si="1"/>
        <v>3.3208603811080671E-2</v>
      </c>
      <c r="I12" s="38">
        <f>H12*(PVI_calc!$L$9+PVI_calc!$L$19+PVI_calc!$L$28)*1/10^9</f>
        <v>721.84688111176376</v>
      </c>
      <c r="K12" t="s">
        <v>243</v>
      </c>
      <c r="L12" s="8"/>
      <c r="M12">
        <v>26816</v>
      </c>
      <c r="N12" s="7">
        <f t="shared" si="4"/>
        <v>1.42921526507187E-2</v>
      </c>
      <c r="O12" s="8">
        <f>N12</f>
        <v>1.42921526507187E-2</v>
      </c>
      <c r="P12" s="11">
        <f>O12*PVI_calc!$P$19*1/10^9</f>
        <v>49.062093180211306</v>
      </c>
      <c r="R12" s="6" t="s">
        <v>208</v>
      </c>
      <c r="S12" s="5">
        <v>107.9</v>
      </c>
      <c r="T12" s="7">
        <f t="shared" si="3"/>
        <v>1.6707441702022239E-2</v>
      </c>
      <c r="U12" s="21">
        <f>T12*(PVI_calc!$P$9+PVI_calc!$T$19+PVI_calc!$H$28)*1/10^9</f>
        <v>61.612927085599793</v>
      </c>
      <c r="W12" s="23" t="s">
        <v>205</v>
      </c>
      <c r="X12" s="20">
        <v>2.5999999999999999E-2</v>
      </c>
      <c r="Y12" s="21">
        <f>X12*(PVI_calc!$T$9+PVI_calc!$X$19+PVI_calc!$P$28)*1/10^9</f>
        <v>85.893925930127892</v>
      </c>
    </row>
    <row r="13" spans="1:25" x14ac:dyDescent="0.45">
      <c r="A13" s="6" t="s">
        <v>209</v>
      </c>
      <c r="B13" s="7">
        <f>2735/93871</f>
        <v>2.9135728819337174E-2</v>
      </c>
      <c r="C13" s="7">
        <f t="shared" si="0"/>
        <v>3.3480230138327821E-2</v>
      </c>
      <c r="D13" s="38">
        <f>C13*(PVI_calc!$H$11+PVI_calc!$H$20)*1/10^9</f>
        <v>4987.7309045172196</v>
      </c>
      <c r="F13" t="s">
        <v>216</v>
      </c>
      <c r="G13" s="18">
        <v>4231796450</v>
      </c>
      <c r="H13" s="13">
        <f t="shared" si="1"/>
        <v>3.0820962991192188E-2</v>
      </c>
      <c r="I13" s="38">
        <f>H13*(PVI_calc!$L$9+PVI_calc!$L$19+PVI_calc!$L$28)*1/10^9</f>
        <v>669.94734661593066</v>
      </c>
      <c r="K13" t="s">
        <v>244</v>
      </c>
      <c r="M13">
        <v>26853</v>
      </c>
      <c r="N13" s="7">
        <f t="shared" si="4"/>
        <v>1.4311872580912485E-2</v>
      </c>
      <c r="O13" s="8">
        <f t="shared" ref="O13:O20" si="5">N13</f>
        <v>1.4311872580912485E-2</v>
      </c>
      <c r="P13" s="11">
        <f>O13*PVI_calc!$P$19*1/10^9</f>
        <v>49.12978774493638</v>
      </c>
      <c r="R13" s="6" t="s">
        <v>253</v>
      </c>
      <c r="S13" s="5">
        <v>54.4</v>
      </c>
      <c r="T13" s="7">
        <f t="shared" si="3"/>
        <v>8.4233997088972168E-3</v>
      </c>
      <c r="U13" s="21">
        <f>T13*(PVI_calc!$P$9+PVI_calc!$T$19+PVI_calc!$H$28)*1/10^9</f>
        <v>31.063421996817688</v>
      </c>
      <c r="W13" s="23" t="s">
        <v>219</v>
      </c>
      <c r="X13" s="20">
        <v>1.7999999999999999E-2</v>
      </c>
      <c r="Y13" s="21">
        <f>X13*(PVI_calc!$T$9+PVI_calc!$X$19+PVI_calc!$P$28)*1/10^9</f>
        <v>59.465025643934702</v>
      </c>
    </row>
    <row r="14" spans="1:25" x14ac:dyDescent="0.45">
      <c r="A14" s="6" t="s">
        <v>210</v>
      </c>
      <c r="B14" s="7">
        <f>1934/93871</f>
        <v>2.0602742060913382E-2</v>
      </c>
      <c r="C14" s="7">
        <f t="shared" si="0"/>
        <v>2.3674868404945527E-2</v>
      </c>
      <c r="D14" s="38">
        <f>C14*(PVI_calc!$H$11+PVI_calc!$H$20)*1/10^9</f>
        <v>3526.9731514940786</v>
      </c>
      <c r="F14" t="s">
        <v>217</v>
      </c>
      <c r="G14" s="18">
        <v>3178738465</v>
      </c>
      <c r="H14" s="13">
        <f t="shared" si="1"/>
        <v>2.3151345237421347E-2</v>
      </c>
      <c r="I14" s="38">
        <f>H14*(PVI_calc!$L$9+PVI_calc!$L$19+PVI_calc!$L$28)*1/10^9</f>
        <v>503.23483782230272</v>
      </c>
      <c r="K14" t="s">
        <v>245</v>
      </c>
      <c r="M14">
        <v>41448</v>
      </c>
      <c r="N14" s="7">
        <f t="shared" si="4"/>
        <v>2.2090585585731976E-2</v>
      </c>
      <c r="O14" s="8">
        <f t="shared" si="5"/>
        <v>2.2090585585731976E-2</v>
      </c>
      <c r="P14" s="11">
        <f>O14*PVI_calc!$P$19*1/10^9</f>
        <v>75.832549154735901</v>
      </c>
      <c r="R14" s="6" t="s">
        <v>254</v>
      </c>
      <c r="S14" s="5">
        <v>49.3</v>
      </c>
      <c r="T14" s="7">
        <f t="shared" si="3"/>
        <v>7.6337059861881027E-3</v>
      </c>
      <c r="U14" s="21">
        <f>T14*(PVI_calc!$P$9+PVI_calc!$T$19+PVI_calc!$H$28)*1/10^9</f>
        <v>28.151226184616029</v>
      </c>
      <c r="W14" s="23" t="s">
        <v>260</v>
      </c>
      <c r="X14" s="20">
        <v>1.6E-2</v>
      </c>
      <c r="Y14" s="21">
        <f>X14*(PVI_calc!$T$9+PVI_calc!$X$19+PVI_calc!$P$28)*1/10^9</f>
        <v>52.857800572386402</v>
      </c>
    </row>
    <row r="15" spans="1:25" x14ac:dyDescent="0.45">
      <c r="A15" s="6" t="s">
        <v>211</v>
      </c>
      <c r="B15" s="7">
        <f>1870/93871</f>
        <v>1.9920955353623589E-2</v>
      </c>
      <c r="C15" s="7">
        <f t="shared" si="0"/>
        <v>2.2891418778308237E-2</v>
      </c>
      <c r="D15" s="38">
        <f>C15*(PVI_calc!$H$11+PVI_calc!$H$20)*1/10^9</f>
        <v>3410.2584246607685</v>
      </c>
      <c r="F15" t="s">
        <v>224</v>
      </c>
      <c r="G15" s="18">
        <v>3143035000</v>
      </c>
      <c r="H15" s="13">
        <f t="shared" si="1"/>
        <v>2.2891310241309394E-2</v>
      </c>
      <c r="I15" s="38">
        <f>H15*(PVI_calc!$L$9+PVI_calc!$L$19+PVI_calc!$L$28)*1/10^9</f>
        <v>497.58252398245702</v>
      </c>
      <c r="K15" t="s">
        <v>224</v>
      </c>
      <c r="M15">
        <v>52627</v>
      </c>
      <c r="N15" s="7">
        <f t="shared" si="4"/>
        <v>2.8048669359687237E-2</v>
      </c>
      <c r="O15" s="8">
        <f t="shared" si="5"/>
        <v>2.8048669359687237E-2</v>
      </c>
      <c r="P15" s="11">
        <f>O15*PVI_calc!$P$19*1/10^9</f>
        <v>96.285455615862915</v>
      </c>
      <c r="R15" s="6" t="s">
        <v>220</v>
      </c>
      <c r="S15" s="5">
        <f>SUM(S5:S14)</f>
        <v>6458.1999999999989</v>
      </c>
    </row>
    <row r="16" spans="1:25" x14ac:dyDescent="0.45">
      <c r="A16" s="6" t="s">
        <v>212</v>
      </c>
      <c r="B16" s="7">
        <f>2007/93871</f>
        <v>2.1380405023915798E-2</v>
      </c>
      <c r="C16" s="7">
        <f t="shared" si="0"/>
        <v>2.456849063532868E-2</v>
      </c>
      <c r="D16" s="38">
        <f>C16*(PVI_calc!$H$11+PVI_calc!$H$20)*1/10^9</f>
        <v>3660.1008867883224</v>
      </c>
      <c r="F16" t="s">
        <v>211</v>
      </c>
      <c r="G16">
        <v>3009650245</v>
      </c>
      <c r="H16" s="13">
        <f t="shared" si="1"/>
        <v>2.1919844187585514E-2</v>
      </c>
      <c r="I16" s="38">
        <f>H16*(PVI_calc!$L$9+PVI_calc!$L$19+PVI_calc!$L$28)*1/10^9</f>
        <v>476.46601619502184</v>
      </c>
      <c r="K16" t="s">
        <v>210</v>
      </c>
      <c r="M16">
        <v>38845</v>
      </c>
      <c r="N16" s="7">
        <f t="shared" si="4"/>
        <v>2.0703261848044743E-2</v>
      </c>
      <c r="O16" s="8">
        <f t="shared" si="5"/>
        <v>2.0703261848044743E-2</v>
      </c>
      <c r="P16" s="11">
        <f>O16*PVI_calc!$P$19*1/10^9</f>
        <v>71.070145047184809</v>
      </c>
    </row>
    <row r="17" spans="1:16" x14ac:dyDescent="0.45">
      <c r="A17" s="6" t="s">
        <v>213</v>
      </c>
      <c r="B17" s="7">
        <f>958/93871</f>
        <v>1.0205494774744063E-2</v>
      </c>
      <c r="C17" s="7">
        <f t="shared" si="0"/>
        <v>1.1727261598726894E-2</v>
      </c>
      <c r="D17" s="38">
        <f>C17*(PVI_calc!$H$11+PVI_calc!$H$20)*1/10^9</f>
        <v>1747.0735672861049</v>
      </c>
      <c r="F17" t="s">
        <v>225</v>
      </c>
      <c r="G17">
        <v>2910379780</v>
      </c>
      <c r="H17" s="13">
        <f t="shared" si="1"/>
        <v>2.1196838871986402E-2</v>
      </c>
      <c r="I17" s="38">
        <f>H17*(PVI_calc!$L$9+PVI_calc!$L$19+PVI_calc!$L$28)*1/10^9</f>
        <v>460.75023557800279</v>
      </c>
      <c r="K17" t="s">
        <v>246</v>
      </c>
      <c r="M17">
        <v>38286</v>
      </c>
      <c r="N17" s="7">
        <f t="shared" si="4"/>
        <v>2.0405331010792668E-2</v>
      </c>
      <c r="O17" s="8">
        <f t="shared" si="5"/>
        <v>2.0405331010792668E-2</v>
      </c>
      <c r="P17" s="11">
        <f>O17*PVI_calc!$P$19*1/10^9</f>
        <v>70.047408244986954</v>
      </c>
    </row>
    <row r="18" spans="1:16" x14ac:dyDescent="0.45">
      <c r="A18" s="6" t="s">
        <v>214</v>
      </c>
      <c r="B18" s="7">
        <f>1766/93871</f>
        <v>1.8813051954277678E-2</v>
      </c>
      <c r="C18" s="7">
        <f t="shared" si="0"/>
        <v>2.1618313135022646E-2</v>
      </c>
      <c r="D18" s="38">
        <f>C18*(PVI_calc!$H$11+PVI_calc!$H$20)*1/10^9</f>
        <v>3220.59699355664</v>
      </c>
      <c r="F18" t="s">
        <v>226</v>
      </c>
      <c r="G18">
        <v>2832121740</v>
      </c>
      <c r="H18" s="13">
        <f t="shared" si="1"/>
        <v>2.0626870967551104E-2</v>
      </c>
      <c r="I18" s="38">
        <f>H18*(PVI_calc!$L$9+PVI_calc!$L$19+PVI_calc!$L$28)*1/10^9</f>
        <v>448.36098981232726</v>
      </c>
      <c r="K18" t="s">
        <v>235</v>
      </c>
      <c r="M18">
        <v>29660</v>
      </c>
      <c r="N18" s="7">
        <f t="shared" si="4"/>
        <v>1.5807922420208703E-2</v>
      </c>
      <c r="O18" s="8">
        <f t="shared" si="5"/>
        <v>1.5807922420208703E-2</v>
      </c>
      <c r="P18" s="11">
        <f>O18*PVI_calc!$P$19*1/10^9</f>
        <v>54.265426749890622</v>
      </c>
    </row>
    <row r="19" spans="1:16" x14ac:dyDescent="0.45">
      <c r="A19" s="6" t="s">
        <v>215</v>
      </c>
      <c r="B19" s="7">
        <f>10496/93871</f>
        <v>0.11181301999552577</v>
      </c>
      <c r="C19" s="7">
        <f t="shared" si="0"/>
        <v>0.12848573876851513</v>
      </c>
      <c r="D19" s="38">
        <f>C19*(PVI_calc!$H$11+PVI_calc!$H$20)*1/10^9</f>
        <v>19141.215200662798</v>
      </c>
      <c r="F19" t="s">
        <v>227</v>
      </c>
      <c r="G19">
        <v>2762798395</v>
      </c>
      <c r="H19" s="13">
        <f t="shared" si="1"/>
        <v>2.0121976113577054E-2</v>
      </c>
      <c r="I19" s="38">
        <f>H19*(PVI_calc!$L$9+PVI_calc!$L$19+PVI_calc!$L$28)*1/10^9</f>
        <v>437.38622021033217</v>
      </c>
      <c r="K19" t="s">
        <v>247</v>
      </c>
      <c r="M19">
        <v>41600</v>
      </c>
      <c r="N19" s="7">
        <f t="shared" si="4"/>
        <v>2.2171597190852398E-2</v>
      </c>
      <c r="O19" s="8">
        <f t="shared" si="5"/>
        <v>2.2171597190852398E-2</v>
      </c>
      <c r="P19" s="11">
        <f>O19*PVI_calc!$P$19*1/10^9</f>
        <v>76.110645744957864</v>
      </c>
    </row>
    <row r="20" spans="1:16" x14ac:dyDescent="0.45">
      <c r="A20" s="6" t="s">
        <v>216</v>
      </c>
      <c r="B20" s="7">
        <f>10846/93871</f>
        <v>0.11554154105101683</v>
      </c>
      <c r="C20" s="7">
        <f t="shared" si="0"/>
        <v>0.1327702289141878</v>
      </c>
      <c r="D20" s="38">
        <f>C20*(PVI_calc!$H$11+PVI_calc!$H$20)*1/10^9</f>
        <v>19779.498863032462</v>
      </c>
      <c r="F20" t="s">
        <v>228</v>
      </c>
      <c r="G20">
        <v>2384327540</v>
      </c>
      <c r="H20" s="13">
        <f t="shared" si="1"/>
        <v>1.7365502272497137E-2</v>
      </c>
      <c r="I20" s="38">
        <f>H20*(PVI_calc!$L$9+PVI_calc!$L$19+PVI_calc!$L$28)*1/10^9</f>
        <v>377.46945718201772</v>
      </c>
      <c r="K20" t="s">
        <v>248</v>
      </c>
      <c r="M20">
        <v>178839</v>
      </c>
      <c r="N20" s="7">
        <f t="shared" si="4"/>
        <v>9.531601610612625E-2</v>
      </c>
      <c r="O20" s="8">
        <f t="shared" si="5"/>
        <v>9.531601610612625E-2</v>
      </c>
      <c r="P20" s="11">
        <f>O20*PVI_calc!$P$19*1/10^9</f>
        <v>327.2007638072721</v>
      </c>
    </row>
    <row r="21" spans="1:16" x14ac:dyDescent="0.45">
      <c r="A21" s="6" t="s">
        <v>217</v>
      </c>
      <c r="B21" s="7">
        <f>3780/93871</f>
        <v>4.0268027399303297E-2</v>
      </c>
      <c r="C21" s="7">
        <f t="shared" si="0"/>
        <v>4.6272493573264781E-2</v>
      </c>
      <c r="D21" s="38">
        <f>C21*(PVI_calc!$H$11+PVI_calc!$H$20)*1/10^9</f>
        <v>6893.4635535923553</v>
      </c>
      <c r="F21" t="s">
        <v>210</v>
      </c>
      <c r="G21">
        <v>2336370000</v>
      </c>
      <c r="H21" s="13">
        <f t="shared" si="1"/>
        <v>1.7016218562150288E-2</v>
      </c>
      <c r="I21" s="38">
        <f>H21*(PVI_calc!$L$9+PVI_calc!$L$19+PVI_calc!$L$28)*1/10^9</f>
        <v>369.87716699206123</v>
      </c>
      <c r="K21" t="s">
        <v>220</v>
      </c>
      <c r="M21">
        <f>SUM(M5:M20)</f>
        <v>1329475</v>
      </c>
      <c r="O21" s="8">
        <f>SUM(O5:O20)</f>
        <v>0.72314740875307504</v>
      </c>
      <c r="P21" s="11">
        <f>O21*PVI_calc!$P$19*1/10^9</f>
        <v>2482.4199977662288</v>
      </c>
    </row>
    <row r="22" spans="1:16" x14ac:dyDescent="0.45">
      <c r="A22" s="6" t="s">
        <v>218</v>
      </c>
      <c r="B22" s="7">
        <f>1099/93871</f>
        <v>1.1707556114241886E-2</v>
      </c>
      <c r="C22" s="7">
        <f t="shared" si="0"/>
        <v>1.3453299057412169E-2</v>
      </c>
      <c r="D22" s="38">
        <f>C22*(PVI_calc!$H$11+PVI_calc!$H$20)*1/10^9</f>
        <v>2004.2106998407407</v>
      </c>
      <c r="F22" t="s">
        <v>229</v>
      </c>
      <c r="G22">
        <v>2037675500</v>
      </c>
      <c r="H22" s="13">
        <f t="shared" si="1"/>
        <v>1.4840770796893844E-2</v>
      </c>
      <c r="I22" s="38">
        <f>H22*(PVI_calc!$L$9+PVI_calc!$L$19+PVI_calc!$L$28)*1/10^9</f>
        <v>322.590018357166</v>
      </c>
    </row>
    <row r="23" spans="1:16" x14ac:dyDescent="0.45">
      <c r="A23" s="6" t="s">
        <v>219</v>
      </c>
      <c r="B23" s="7">
        <f>18609/93871</f>
        <v>0.19824013806180824</v>
      </c>
      <c r="C23" s="7">
        <f t="shared" si="0"/>
        <v>0.2278002203452075</v>
      </c>
      <c r="D23" s="38">
        <f>C23*(PVI_calc!$H$11+PVI_calc!$H$20)*1/10^9</f>
        <v>33936.630494391575</v>
      </c>
      <c r="F23" t="s">
        <v>230</v>
      </c>
      <c r="G23">
        <v>1909128900</v>
      </c>
      <c r="H23" s="13">
        <f t="shared" si="1"/>
        <v>1.3904541928597594E-2</v>
      </c>
      <c r="I23" s="38">
        <f>H23*(PVI_calc!$L$9+PVI_calc!$L$19+PVI_calc!$L$28)*1/10^9</f>
        <v>302.23945220777114</v>
      </c>
    </row>
    <row r="24" spans="1:16" x14ac:dyDescent="0.45">
      <c r="A24" s="6" t="s">
        <v>220</v>
      </c>
      <c r="B24" s="8">
        <f>SUM(B5:B23)</f>
        <v>0.87023681435161016</v>
      </c>
      <c r="F24" t="s">
        <v>231</v>
      </c>
      <c r="G24">
        <v>1742018320</v>
      </c>
      <c r="H24" s="13">
        <f t="shared" si="1"/>
        <v>1.268744439981247E-2</v>
      </c>
      <c r="I24" s="38">
        <f>H24*(PVI_calc!$L$9+PVI_calc!$L$19+PVI_calc!$L$28)*1/10^9</f>
        <v>275.7837162135578</v>
      </c>
    </row>
    <row r="25" spans="1:16" x14ac:dyDescent="0.45">
      <c r="F25" t="s">
        <v>218</v>
      </c>
      <c r="G25">
        <v>1675237655</v>
      </c>
      <c r="H25" s="13">
        <f t="shared" si="1"/>
        <v>1.2201068358617909E-2</v>
      </c>
      <c r="I25" s="38">
        <f>H25*(PVI_calc!$L$9+PVI_calc!$L$19+PVI_calc!$L$28)*1/10^9</f>
        <v>265.21148528264962</v>
      </c>
    </row>
    <row r="26" spans="1:16" x14ac:dyDescent="0.45">
      <c r="F26" t="s">
        <v>232</v>
      </c>
      <c r="G26">
        <v>1535072420</v>
      </c>
      <c r="H26" s="13">
        <f t="shared" si="1"/>
        <v>1.1180218804148729E-2</v>
      </c>
      <c r="I26" s="38">
        <f>H26*(PVI_calc!$L$9+PVI_calc!$L$19+PVI_calc!$L$28)*1/10^9</f>
        <v>243.02154103898255</v>
      </c>
    </row>
    <row r="27" spans="1:16" x14ac:dyDescent="0.45">
      <c r="F27" t="s">
        <v>233</v>
      </c>
      <c r="G27">
        <v>1518545000</v>
      </c>
      <c r="H27" s="13">
        <f t="shared" si="1"/>
        <v>1.1059846521082068E-2</v>
      </c>
      <c r="I27" s="38">
        <f>H27*(PVI_calc!$L$9+PVI_calc!$L$19+PVI_calc!$L$28)*1/10^9</f>
        <v>240.40503967691748</v>
      </c>
    </row>
    <row r="28" spans="1:16" x14ac:dyDescent="0.45">
      <c r="F28" t="s">
        <v>208</v>
      </c>
      <c r="G28">
        <v>1515013500</v>
      </c>
      <c r="H28" s="13">
        <f t="shared" si="1"/>
        <v>1.1034125947777225E-2</v>
      </c>
      <c r="I28" s="38">
        <f>H28*(PVI_calc!$L$9+PVI_calc!$L$19+PVI_calc!$L$28)*1/10^9</f>
        <v>239.84595818929671</v>
      </c>
    </row>
    <row r="29" spans="1:16" x14ac:dyDescent="0.45">
      <c r="F29" t="s">
        <v>234</v>
      </c>
      <c r="G29">
        <v>1481287675</v>
      </c>
      <c r="H29" s="13">
        <f t="shared" si="1"/>
        <v>1.0788494472715984E-2</v>
      </c>
      <c r="I29" s="38">
        <f>H29*(PVI_calc!$L$9+PVI_calc!$L$19+PVI_calc!$L$28)*1/10^9</f>
        <v>234.50672998251866</v>
      </c>
    </row>
    <row r="30" spans="1:16" x14ac:dyDescent="0.45">
      <c r="F30" t="s">
        <v>235</v>
      </c>
      <c r="G30">
        <v>1454978000</v>
      </c>
      <c r="H30" s="13">
        <f t="shared" si="1"/>
        <v>1.0596876201594911E-2</v>
      </c>
      <c r="I30" s="38">
        <f>H30*(PVI_calc!$L$9+PVI_calc!$L$19+PVI_calc!$L$28)*1/10^9</f>
        <v>230.34157289974416</v>
      </c>
    </row>
    <row r="31" spans="1:16" x14ac:dyDescent="0.45">
      <c r="F31" t="s">
        <v>213</v>
      </c>
      <c r="G31">
        <v>1335613300</v>
      </c>
      <c r="H31" s="13">
        <f t="shared" si="1"/>
        <v>9.7275208238912503E-3</v>
      </c>
      <c r="I31" s="38">
        <f>H31*(PVI_calc!$L$9+PVI_calc!$L$19+PVI_calc!$L$28)*1/10^9</f>
        <v>211.44461861816322</v>
      </c>
    </row>
    <row r="32" spans="1:16" x14ac:dyDescent="0.45">
      <c r="F32" t="s">
        <v>220</v>
      </c>
      <c r="G32" s="18">
        <f>SUM(G5:G31)</f>
        <v>137302538250</v>
      </c>
      <c r="H32" s="13"/>
    </row>
    <row r="36" spans="1:1" x14ac:dyDescent="0.45">
      <c r="A36" s="10" t="s">
        <v>154</v>
      </c>
    </row>
    <row r="37" spans="1:1" x14ac:dyDescent="0.45">
      <c r="A37" t="s">
        <v>262</v>
      </c>
    </row>
    <row r="38" spans="1:1" x14ac:dyDescent="0.45">
      <c r="A38" t="s">
        <v>263</v>
      </c>
    </row>
    <row r="39" spans="1:1" x14ac:dyDescent="0.45">
      <c r="A39" t="s">
        <v>264</v>
      </c>
    </row>
    <row r="40" spans="1:1" x14ac:dyDescent="0.45">
      <c r="A40" t="s">
        <v>265</v>
      </c>
    </row>
    <row r="41" spans="1:1" x14ac:dyDescent="0.45">
      <c r="A41" t="s">
        <v>266</v>
      </c>
    </row>
    <row r="42" spans="1:1" x14ac:dyDescent="0.45">
      <c r="A42" t="s">
        <v>267</v>
      </c>
    </row>
  </sheetData>
  <mergeCells count="3">
    <mergeCell ref="F3:I3"/>
    <mergeCell ref="M4:N4"/>
    <mergeCell ref="W3:Y3"/>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7"/>
  <sheetViews>
    <sheetView topLeftCell="A52" workbookViewId="0">
      <selection activeCell="C42" sqref="C42"/>
    </sheetView>
  </sheetViews>
  <sheetFormatPr baseColWidth="10" defaultRowHeight="16" x14ac:dyDescent="0.45"/>
  <cols>
    <col min="1" max="1" width="45.7265625" customWidth="1"/>
    <col min="2" max="2" width="39.81640625" customWidth="1"/>
    <col min="3" max="3" width="31.7265625" customWidth="1"/>
    <col min="4" max="4" width="32.453125" customWidth="1"/>
    <col min="5" max="5" width="30.26953125" customWidth="1"/>
    <col min="6" max="6" width="27.453125" customWidth="1"/>
  </cols>
  <sheetData>
    <row r="2" spans="1:5" x14ac:dyDescent="0.45">
      <c r="A2" s="10" t="s">
        <v>38</v>
      </c>
    </row>
    <row r="3" spans="1:5" x14ac:dyDescent="0.45">
      <c r="A3" s="23" t="s">
        <v>268</v>
      </c>
    </row>
    <row r="4" spans="1:5" ht="32" x14ac:dyDescent="0.45">
      <c r="A4" s="6" t="s">
        <v>269</v>
      </c>
      <c r="B4" t="s">
        <v>270</v>
      </c>
      <c r="C4" s="6" t="s">
        <v>277</v>
      </c>
      <c r="D4" s="6" t="s">
        <v>276</v>
      </c>
      <c r="E4" s="6" t="s">
        <v>275</v>
      </c>
    </row>
    <row r="5" spans="1:5" x14ac:dyDescent="0.45">
      <c r="A5" s="6" t="s">
        <v>211</v>
      </c>
      <c r="B5" s="20">
        <v>0.39</v>
      </c>
      <c r="C5" s="21">
        <f>B5*Fuel_flows!$H$7</f>
        <v>24577784179.20385</v>
      </c>
      <c r="D5" s="21">
        <f>B5*Fuel_flows!$L$9</f>
        <v>7713079324.0576677</v>
      </c>
      <c r="E5" s="21">
        <f>SUM(C5:D5)</f>
        <v>32290863503.261517</v>
      </c>
    </row>
    <row r="6" spans="1:5" x14ac:dyDescent="0.45">
      <c r="A6" s="6" t="s">
        <v>271</v>
      </c>
      <c r="B6" s="20">
        <v>0.06</v>
      </c>
      <c r="C6" s="21">
        <f>B6*Fuel_flows!$H$7</f>
        <v>3781197566.0313616</v>
      </c>
      <c r="D6" s="21">
        <f>B6*Fuel_flows!$L$9</f>
        <v>1186627588.3165643</v>
      </c>
      <c r="E6" s="21">
        <f t="shared" ref="E6:E15" si="0">SUM(C6:D6)</f>
        <v>4967825154.3479261</v>
      </c>
    </row>
    <row r="7" spans="1:5" x14ac:dyDescent="0.45">
      <c r="A7" s="6" t="s">
        <v>231</v>
      </c>
      <c r="B7" s="20">
        <v>0.01</v>
      </c>
      <c r="C7" s="21">
        <f>B7*Fuel_flows!$H$7</f>
        <v>630199594.33856022</v>
      </c>
      <c r="D7" s="21">
        <f>B7*Fuel_flows!$L$9</f>
        <v>197771264.71942738</v>
      </c>
      <c r="E7" s="21">
        <f t="shared" si="0"/>
        <v>827970859.05798757</v>
      </c>
    </row>
    <row r="8" spans="1:5" x14ac:dyDescent="0.45">
      <c r="A8" s="6" t="s">
        <v>210</v>
      </c>
      <c r="B8" s="20">
        <v>0.18</v>
      </c>
      <c r="C8" s="21">
        <f>B8*Fuel_flows!$H$7</f>
        <v>11343592698.094084</v>
      </c>
      <c r="D8" s="21">
        <f>B8*Fuel_flows!$L$9</f>
        <v>3559882764.9496927</v>
      </c>
      <c r="E8" s="21">
        <f t="shared" si="0"/>
        <v>14903475463.043777</v>
      </c>
    </row>
    <row r="9" spans="1:5" x14ac:dyDescent="0.45">
      <c r="A9" s="6" t="s">
        <v>219</v>
      </c>
      <c r="B9" s="20">
        <v>0.12</v>
      </c>
      <c r="C9" s="21">
        <f>B9*Fuel_flows!$H$7</f>
        <v>7562395132.0627232</v>
      </c>
      <c r="D9" s="21">
        <f>B9*Fuel_flows!$L$9</f>
        <v>2373255176.6331286</v>
      </c>
      <c r="E9" s="21">
        <f t="shared" si="0"/>
        <v>9935650308.6958523</v>
      </c>
    </row>
    <row r="10" spans="1:5" x14ac:dyDescent="0.45">
      <c r="A10" s="6" t="s">
        <v>208</v>
      </c>
      <c r="B10" s="20">
        <v>0.08</v>
      </c>
      <c r="C10" s="21">
        <f>B10*Fuel_flows!$H$7</f>
        <v>5041596754.7084818</v>
      </c>
      <c r="D10" s="21">
        <f>B10*Fuel_flows!$L$9</f>
        <v>1582170117.755419</v>
      </c>
      <c r="E10" s="21">
        <f t="shared" si="0"/>
        <v>6623766872.4639006</v>
      </c>
    </row>
    <row r="11" spans="1:5" x14ac:dyDescent="0.45">
      <c r="A11" s="6" t="s">
        <v>272</v>
      </c>
      <c r="B11" s="20">
        <f>B12-SUM(B5:B10)</f>
        <v>0.16000000000000003</v>
      </c>
      <c r="C11" s="21" t="s">
        <v>273</v>
      </c>
      <c r="D11" s="21"/>
      <c r="E11" s="21"/>
    </row>
    <row r="12" spans="1:5" x14ac:dyDescent="0.45">
      <c r="A12" s="6" t="s">
        <v>220</v>
      </c>
      <c r="B12" s="20">
        <v>1</v>
      </c>
      <c r="C12" s="21"/>
      <c r="D12" s="21"/>
      <c r="E12" s="21"/>
    </row>
    <row r="13" spans="1:5" x14ac:dyDescent="0.45">
      <c r="A13" s="6" t="s">
        <v>274</v>
      </c>
      <c r="B13" s="20"/>
      <c r="C13" s="21"/>
      <c r="D13" s="21"/>
      <c r="E13" s="21"/>
    </row>
    <row r="14" spans="1:5" x14ac:dyDescent="0.45">
      <c r="A14" s="6" t="s">
        <v>215</v>
      </c>
      <c r="B14" s="9">
        <f>(B18/(B18+B19))*B11</f>
        <v>7.868803298659921E-2</v>
      </c>
      <c r="C14" s="21">
        <f>B14*Fuel_flows!$H$7</f>
        <v>4958916646.7454071</v>
      </c>
      <c r="D14" s="21">
        <f>B14*Fuel_flows!$L$9</f>
        <v>1556223180.2043746</v>
      </c>
      <c r="E14" s="21">
        <f t="shared" si="0"/>
        <v>6515139826.9497814</v>
      </c>
    </row>
    <row r="15" spans="1:5" x14ac:dyDescent="0.45">
      <c r="A15" s="6" t="s">
        <v>216</v>
      </c>
      <c r="B15" s="9">
        <f>(B19/(B18+B19))*B11</f>
        <v>8.1311967013400821E-2</v>
      </c>
      <c r="C15" s="21">
        <f>B15*Fuel_flows!$H$7</f>
        <v>5124276862.6715593</v>
      </c>
      <c r="D15" s="21">
        <f>B15*Fuel_flows!$L$9</f>
        <v>1608117055.306464</v>
      </c>
      <c r="E15" s="21">
        <f t="shared" si="0"/>
        <v>6732393917.9780235</v>
      </c>
    </row>
    <row r="17" spans="1:6" x14ac:dyDescent="0.45">
      <c r="A17" s="23" t="s">
        <v>197</v>
      </c>
    </row>
    <row r="18" spans="1:6" x14ac:dyDescent="0.45">
      <c r="A18" s="6" t="s">
        <v>215</v>
      </c>
      <c r="B18" s="7">
        <f>10496/93871</f>
        <v>0.11181301999552577</v>
      </c>
    </row>
    <row r="19" spans="1:6" x14ac:dyDescent="0.45">
      <c r="A19" s="6" t="s">
        <v>216</v>
      </c>
      <c r="B19" s="7">
        <f>10846/93871</f>
        <v>0.11554154105101683</v>
      </c>
    </row>
    <row r="21" spans="1:6" x14ac:dyDescent="0.45">
      <c r="A21" s="10" t="s">
        <v>32</v>
      </c>
    </row>
    <row r="22" spans="1:6" x14ac:dyDescent="0.45">
      <c r="A22" s="23" t="s">
        <v>278</v>
      </c>
    </row>
    <row r="23" spans="1:6" ht="32" x14ac:dyDescent="0.45">
      <c r="A23" s="6" t="s">
        <v>279</v>
      </c>
      <c r="B23" t="s">
        <v>280</v>
      </c>
      <c r="C23" s="6" t="s">
        <v>282</v>
      </c>
      <c r="D23" s="6" t="s">
        <v>283</v>
      </c>
      <c r="E23" s="6" t="s">
        <v>284</v>
      </c>
      <c r="F23" s="6" t="s">
        <v>285</v>
      </c>
    </row>
    <row r="24" spans="1:6" x14ac:dyDescent="0.45">
      <c r="A24" s="23" t="s">
        <v>215</v>
      </c>
      <c r="B24" s="8">
        <v>0.39200000000000002</v>
      </c>
      <c r="C24" s="38">
        <f>B24*Fuel_flows!$H$8</f>
        <v>115499530.45146374</v>
      </c>
      <c r="D24">
        <f>B24*Fuel_flows!$L$10</f>
        <v>9309698001.672699</v>
      </c>
      <c r="E24" s="21">
        <f>B24*Fuel_flows!$P$9</f>
        <v>424731054.19690979</v>
      </c>
      <c r="F24" s="11">
        <f>C24+D24+E24</f>
        <v>9849928586.3210716</v>
      </c>
    </row>
    <row r="25" spans="1:6" x14ac:dyDescent="0.45">
      <c r="A25" s="23" t="s">
        <v>212</v>
      </c>
      <c r="B25" s="8">
        <v>0.251</v>
      </c>
      <c r="C25" s="38">
        <f>B25*Fuel_flows!$H$8</f>
        <v>73955056.488054588</v>
      </c>
      <c r="D25">
        <f>B25*Fuel_flows!$L$10</f>
        <v>5961056628.6220598</v>
      </c>
      <c r="E25" s="21">
        <f>B25*Fuel_flows!$P$9</f>
        <v>271957894.39649069</v>
      </c>
      <c r="F25" s="11">
        <f t="shared" ref="F25:F29" si="1">C25+D25+E25</f>
        <v>6306969579.5066051</v>
      </c>
    </row>
    <row r="26" spans="1:6" x14ac:dyDescent="0.45">
      <c r="A26" s="23" t="s">
        <v>281</v>
      </c>
      <c r="B26" s="8">
        <v>8.2000000000000003E-2</v>
      </c>
      <c r="C26" s="38">
        <f>B26*Fuel_flows!$H$8</f>
        <v>24160616.063826598</v>
      </c>
      <c r="D26">
        <f>B26*Fuel_flows!$L$10</f>
        <v>1947436826.8805137</v>
      </c>
      <c r="E26" s="21">
        <f>B26*Fuel_flows!$P$9</f>
        <v>88846802.153435215</v>
      </c>
      <c r="F26" s="11">
        <f t="shared" si="1"/>
        <v>2060444245.0977755</v>
      </c>
    </row>
    <row r="27" spans="1:6" x14ac:dyDescent="0.45">
      <c r="A27" s="23" t="s">
        <v>219</v>
      </c>
      <c r="B27" s="8">
        <v>7.2999999999999995E-2</v>
      </c>
      <c r="C27" s="38">
        <f>B27*Fuel_flows!$H$8</f>
        <v>21508841.129991971</v>
      </c>
      <c r="D27">
        <f>B27*Fuel_flows!$L$10</f>
        <v>1733693760.515579</v>
      </c>
      <c r="E27" s="21">
        <f>B27*Fuel_flows!$P$9</f>
        <v>79095323.868302077</v>
      </c>
      <c r="F27" s="11">
        <f t="shared" si="1"/>
        <v>1834297925.5138731</v>
      </c>
    </row>
    <row r="28" spans="1:6" x14ac:dyDescent="0.45">
      <c r="A28" s="23" t="s">
        <v>218</v>
      </c>
      <c r="B28" s="7">
        <v>6.5000000000000002E-2</v>
      </c>
      <c r="C28" s="38">
        <f>B28*Fuel_flows!$H$8</f>
        <v>19151707.855472304</v>
      </c>
      <c r="D28">
        <f>B28*Fuel_flows!$L$10</f>
        <v>1543699923.7467487</v>
      </c>
      <c r="E28" s="21">
        <f>B28*Fuel_flows!$P$9</f>
        <v>70427343.170405969</v>
      </c>
      <c r="F28" s="11">
        <f t="shared" si="1"/>
        <v>1633278974.7726269</v>
      </c>
    </row>
    <row r="29" spans="1:6" x14ac:dyDescent="0.45">
      <c r="A29" s="23" t="s">
        <v>81</v>
      </c>
      <c r="B29" s="8">
        <v>0.13700000000000001</v>
      </c>
      <c r="C29" s="38">
        <f>B29*Fuel_flows!$H$8</f>
        <v>40365907.326149322</v>
      </c>
      <c r="D29">
        <f>B29*Fuel_flows!$L$10</f>
        <v>3253644454.666224</v>
      </c>
      <c r="E29" s="21">
        <f>B29*Fuel_flows!$P$9</f>
        <v>148439169.45147103</v>
      </c>
      <c r="F29" s="11">
        <f t="shared" si="1"/>
        <v>3442449531.4438443</v>
      </c>
    </row>
    <row r="30" spans="1:6" x14ac:dyDescent="0.45">
      <c r="A30" s="23" t="s">
        <v>220</v>
      </c>
      <c r="B30" s="7"/>
      <c r="C30" s="5"/>
    </row>
    <row r="32" spans="1:6" x14ac:dyDescent="0.45">
      <c r="A32" s="10" t="s">
        <v>36</v>
      </c>
    </row>
    <row r="33" spans="1:6" x14ac:dyDescent="0.45">
      <c r="A33" t="s">
        <v>360</v>
      </c>
    </row>
    <row r="34" spans="1:6" x14ac:dyDescent="0.45">
      <c r="A34" s="6" t="s">
        <v>356</v>
      </c>
      <c r="B34" s="6" t="s">
        <v>359</v>
      </c>
      <c r="C34" t="s">
        <v>289</v>
      </c>
    </row>
    <row r="35" spans="1:6" x14ac:dyDescent="0.45">
      <c r="A35" s="39" t="s">
        <v>287</v>
      </c>
      <c r="B35" s="8">
        <f>40%*Fuel_flows!$B$17</f>
        <v>0.2</v>
      </c>
      <c r="C35" s="21">
        <f>B35*Fuel_flows!$L$7</f>
        <v>1602183513.4824727</v>
      </c>
    </row>
    <row r="36" spans="1:6" x14ac:dyDescent="0.45">
      <c r="A36" s="39" t="s">
        <v>244</v>
      </c>
      <c r="B36" s="8">
        <f>27%*Fuel_flows!$B$17</f>
        <v>0.13500000000000001</v>
      </c>
      <c r="C36" s="21">
        <f>B36*Fuel_flows!$L$7*Fuel_flows!$B$17</f>
        <v>540736935.80033457</v>
      </c>
    </row>
    <row r="37" spans="1:6" x14ac:dyDescent="0.45">
      <c r="A37" s="39" t="s">
        <v>288</v>
      </c>
      <c r="B37" s="8">
        <f>12.7%*Fuel_flows!$B$17</f>
        <v>6.3500000000000001E-2</v>
      </c>
      <c r="C37" s="21">
        <f>B37*Fuel_flows!$L$7*Fuel_flows!$B$17</f>
        <v>254346632.76534253</v>
      </c>
    </row>
    <row r="38" spans="1:6" x14ac:dyDescent="0.45">
      <c r="A38" s="39" t="s">
        <v>286</v>
      </c>
      <c r="B38" s="8">
        <f>8.43%*Fuel_flows!$B$17</f>
        <v>4.215E-2</v>
      </c>
      <c r="C38" s="21">
        <f>B38*Fuel_flows!$L$7*Fuel_flows!$B$17</f>
        <v>168830087.73321554</v>
      </c>
    </row>
    <row r="39" spans="1:6" x14ac:dyDescent="0.45">
      <c r="A39" s="39" t="s">
        <v>357</v>
      </c>
      <c r="B39" s="8">
        <f>3.95%*Fuel_flows!$B$17</f>
        <v>1.975E-2</v>
      </c>
      <c r="C39" s="21">
        <f>B39*Fuel_flows!$L$7*Fuel_flows!$B$17</f>
        <v>79107810.978197083</v>
      </c>
    </row>
    <row r="40" spans="1:6" x14ac:dyDescent="0.45">
      <c r="A40" s="39" t="s">
        <v>358</v>
      </c>
      <c r="B40" s="8">
        <f>1.05%*Fuel_flows!$B$17</f>
        <v>5.2500000000000003E-3</v>
      </c>
      <c r="C40" s="21">
        <f>B40*Fuel_flows!$L$7*Fuel_flows!$B$17</f>
        <v>21028658.614457455</v>
      </c>
    </row>
    <row r="41" spans="1:6" x14ac:dyDescent="0.45">
      <c r="A41" t="s">
        <v>220</v>
      </c>
      <c r="B41" s="8">
        <f>SUM(B35:B40)</f>
        <v>0.46565000000000001</v>
      </c>
      <c r="C41" s="12"/>
    </row>
    <row r="42" spans="1:6" x14ac:dyDescent="0.45">
      <c r="A42" s="39" t="s">
        <v>362</v>
      </c>
      <c r="B42" s="8">
        <f>Fuel_flows!$B$17</f>
        <v>0.5</v>
      </c>
      <c r="C42" s="21">
        <f>Fuel_flows!L7*Fuel_flows!B17</f>
        <v>4005458783.7061815</v>
      </c>
    </row>
    <row r="43" spans="1:6" x14ac:dyDescent="0.45">
      <c r="B43" s="8"/>
      <c r="C43" s="12"/>
    </row>
    <row r="44" spans="1:6" x14ac:dyDescent="0.45">
      <c r="A44" s="40" t="s">
        <v>37</v>
      </c>
      <c r="B44" s="8"/>
      <c r="C44" s="12"/>
    </row>
    <row r="45" spans="1:6" x14ac:dyDescent="0.45">
      <c r="A45" t="s">
        <v>296</v>
      </c>
    </row>
    <row r="46" spans="1:6" ht="32" x14ac:dyDescent="0.45">
      <c r="A46" s="6" t="s">
        <v>297</v>
      </c>
      <c r="B46" t="s">
        <v>280</v>
      </c>
      <c r="C46" s="6" t="s">
        <v>301</v>
      </c>
      <c r="D46" s="6" t="s">
        <v>302</v>
      </c>
      <c r="E46" s="6" t="s">
        <v>303</v>
      </c>
      <c r="F46" s="6" t="s">
        <v>304</v>
      </c>
    </row>
    <row r="47" spans="1:6" x14ac:dyDescent="0.45">
      <c r="A47" t="s">
        <v>215</v>
      </c>
      <c r="B47" s="8">
        <v>0.45</v>
      </c>
      <c r="C47" s="21">
        <f>B47*Fuel_flows!$H$13</f>
        <v>85485263.211389184</v>
      </c>
      <c r="D47" s="21">
        <f>B47*Fuel_flows!$L$15</f>
        <v>1098587400.436841</v>
      </c>
      <c r="E47" s="21">
        <f>B47*Fuel_flows!$P$10</f>
        <v>316923044.26682681</v>
      </c>
      <c r="F47" s="11">
        <f>SUM(C47:E47)</f>
        <v>1500995707.9150569</v>
      </c>
    </row>
    <row r="48" spans="1:6" x14ac:dyDescent="0.45">
      <c r="A48" t="s">
        <v>219</v>
      </c>
      <c r="B48" s="8">
        <v>0.19</v>
      </c>
      <c r="C48" s="21">
        <f>B48*Fuel_flows!$H$13</f>
        <v>36093777.800364323</v>
      </c>
      <c r="D48" s="21">
        <f>B48*Fuel_flows!$L$15</f>
        <v>463848013.51777726</v>
      </c>
      <c r="E48" s="21">
        <f>B48*Fuel_flows!$P$10</f>
        <v>133811952.02377133</v>
      </c>
      <c r="F48" s="11">
        <f t="shared" ref="F48:F53" si="2">SUM(C48:E48)</f>
        <v>633753743.34191287</v>
      </c>
    </row>
    <row r="49" spans="1:6" x14ac:dyDescent="0.45">
      <c r="A49" t="s">
        <v>228</v>
      </c>
      <c r="B49" s="8">
        <v>0.11</v>
      </c>
      <c r="C49" s="21">
        <f>B49*Fuel_flows!$H$13</f>
        <v>20896397.673895132</v>
      </c>
      <c r="D49" s="21">
        <f>B49*Fuel_flows!$L$15</f>
        <v>268543586.77345002</v>
      </c>
      <c r="E49" s="21">
        <f>B49*Fuel_flows!$P$10</f>
        <v>77470077.487446561</v>
      </c>
      <c r="F49" s="11">
        <f t="shared" si="2"/>
        <v>366910061.93479168</v>
      </c>
    </row>
    <row r="50" spans="1:6" x14ac:dyDescent="0.45">
      <c r="A50" t="s">
        <v>254</v>
      </c>
      <c r="B50" s="8">
        <v>0.05</v>
      </c>
      <c r="C50" s="21">
        <f>B50*Fuel_flows!$H$13</f>
        <v>9498362.5790432431</v>
      </c>
      <c r="D50" s="21">
        <f>B50*Fuel_flows!$L$15</f>
        <v>122065266.71520455</v>
      </c>
      <c r="E50" s="21">
        <f>B50*Fuel_flows!$P$10</f>
        <v>35213671.585202985</v>
      </c>
      <c r="F50" s="11">
        <f t="shared" si="2"/>
        <v>166777300.87945077</v>
      </c>
    </row>
    <row r="51" spans="1:6" x14ac:dyDescent="0.45">
      <c r="A51" t="s">
        <v>204</v>
      </c>
      <c r="B51" s="8">
        <v>0.03</v>
      </c>
      <c r="C51" s="21">
        <f>B51*Fuel_flows!$H$13</f>
        <v>5699017.5474259453</v>
      </c>
      <c r="D51" s="21">
        <f>B51*Fuel_flows!$L$15</f>
        <v>73239160.029122725</v>
      </c>
      <c r="E51" s="21">
        <f>B51*Fuel_flows!$P$10</f>
        <v>21128202.951121788</v>
      </c>
      <c r="F51" s="11">
        <f t="shared" si="2"/>
        <v>100066380.52767046</v>
      </c>
    </row>
    <row r="52" spans="1:6" x14ac:dyDescent="0.45">
      <c r="A52" t="s">
        <v>293</v>
      </c>
      <c r="B52" s="8">
        <v>0.11</v>
      </c>
      <c r="C52" s="21">
        <f>B52*Fuel_flows!$H$13</f>
        <v>20896397.673895132</v>
      </c>
      <c r="D52" s="21">
        <f>B52*Fuel_flows!$L$15</f>
        <v>268543586.77345002</v>
      </c>
      <c r="E52" s="21">
        <f>B52*Fuel_flows!$P$10</f>
        <v>77470077.487446561</v>
      </c>
      <c r="F52" s="11">
        <f t="shared" si="2"/>
        <v>366910061.93479168</v>
      </c>
    </row>
    <row r="53" spans="1:6" x14ac:dyDescent="0.45">
      <c r="A53" t="s">
        <v>81</v>
      </c>
      <c r="B53" s="8">
        <v>0.06</v>
      </c>
      <c r="C53" s="21">
        <f>B53*Fuel_flows!$H$13</f>
        <v>11398035.094851891</v>
      </c>
      <c r="D53" s="21">
        <f>B53*Fuel_flows!$L$15</f>
        <v>146478320.05824545</v>
      </c>
      <c r="E53" s="21">
        <f>B53*Fuel_flows!$P$10</f>
        <v>42256405.902243577</v>
      </c>
      <c r="F53" s="11">
        <f t="shared" si="2"/>
        <v>200132761.05534092</v>
      </c>
    </row>
    <row r="54" spans="1:6" x14ac:dyDescent="0.45">
      <c r="C54" s="11"/>
    </row>
    <row r="55" spans="1:6" x14ac:dyDescent="0.45">
      <c r="B55" s="8"/>
      <c r="C55" s="12"/>
    </row>
    <row r="56" spans="1:6" x14ac:dyDescent="0.45">
      <c r="A56" s="10" t="s">
        <v>118</v>
      </c>
    </row>
    <row r="57" spans="1:6" x14ac:dyDescent="0.45">
      <c r="A57" t="s">
        <v>290</v>
      </c>
    </row>
    <row r="58" spans="1:6" ht="32" x14ac:dyDescent="0.45">
      <c r="A58" s="6" t="s">
        <v>291</v>
      </c>
      <c r="B58" s="6" t="s">
        <v>280</v>
      </c>
      <c r="C58" s="6" t="s">
        <v>295</v>
      </c>
      <c r="D58" s="6" t="s">
        <v>299</v>
      </c>
      <c r="E58" s="6" t="s">
        <v>300</v>
      </c>
      <c r="F58" s="6" t="s">
        <v>298</v>
      </c>
    </row>
    <row r="59" spans="1:6" x14ac:dyDescent="0.45">
      <c r="A59" t="s">
        <v>259</v>
      </c>
      <c r="B59" s="8">
        <v>0.2</v>
      </c>
      <c r="C59" s="38">
        <f>B59*(Fuel_flows!$H$14)</f>
        <v>156180836.30336237</v>
      </c>
      <c r="D59" s="38">
        <f>B59*(Fuel_flows!$L$16)</f>
        <v>2007109676.0652349</v>
      </c>
      <c r="E59" s="38">
        <f>B59*(Fuel_flows!$P$11)</f>
        <v>579015659.98577917</v>
      </c>
      <c r="F59" s="11">
        <f>B59*(Fuel_flows!$H$14+Fuel_flows!$L$16+Fuel_flows!$P$11)</f>
        <v>2742306172.3543763</v>
      </c>
    </row>
    <row r="60" spans="1:6" x14ac:dyDescent="0.45">
      <c r="A60" t="s">
        <v>215</v>
      </c>
      <c r="B60" s="8">
        <v>0.2</v>
      </c>
      <c r="C60" s="38">
        <f>B60*(Fuel_flows!$H$14)</f>
        <v>156180836.30336237</v>
      </c>
      <c r="D60" s="38">
        <f>B60*(Fuel_flows!$L$16)</f>
        <v>2007109676.0652349</v>
      </c>
      <c r="E60" s="38">
        <f>B60*(Fuel_flows!$P$11)</f>
        <v>579015659.98577917</v>
      </c>
      <c r="F60" s="11">
        <f>B60*(Fuel_flows!$H$14+Fuel_flows!$L$16+Fuel_flows!$P$11)</f>
        <v>2742306172.3543763</v>
      </c>
    </row>
    <row r="61" spans="1:6" x14ac:dyDescent="0.45">
      <c r="A61" t="s">
        <v>292</v>
      </c>
      <c r="B61" s="8">
        <v>0.19</v>
      </c>
      <c r="C61" s="38">
        <f>B61*(Fuel_flows!$H$14)</f>
        <v>148371794.48819426</v>
      </c>
      <c r="D61" s="38">
        <f>B61*(Fuel_flows!$L$16)</f>
        <v>1906754192.2619731</v>
      </c>
      <c r="E61" s="38">
        <f>B61*(Fuel_flows!$P$11)</f>
        <v>550064876.98649013</v>
      </c>
      <c r="F61" s="11">
        <f>B61*(Fuel_flows!$H$14+Fuel_flows!$L$16+Fuel_flows!$P$11)</f>
        <v>2605190863.7366576</v>
      </c>
    </row>
    <row r="62" spans="1:6" x14ac:dyDescent="0.45">
      <c r="A62" t="s">
        <v>204</v>
      </c>
      <c r="B62" s="8">
        <v>0.18</v>
      </c>
      <c r="C62" s="38">
        <f>B62*(Fuel_flows!$H$14)</f>
        <v>140562752.67302611</v>
      </c>
      <c r="D62" s="38">
        <f>B62*(Fuel_flows!$L$16)</f>
        <v>1806398708.4587111</v>
      </c>
      <c r="E62" s="38">
        <f>B62*(Fuel_flows!$P$11)</f>
        <v>521114093.98720115</v>
      </c>
      <c r="F62" s="11">
        <f>B62*(Fuel_flows!$H$14+Fuel_flows!$L$16+Fuel_flows!$P$11)</f>
        <v>2468075555.1189384</v>
      </c>
    </row>
    <row r="63" spans="1:6" x14ac:dyDescent="0.45">
      <c r="A63" t="s">
        <v>228</v>
      </c>
      <c r="B63" s="8">
        <v>0.13</v>
      </c>
      <c r="C63" s="38">
        <f>B63*(Fuel_flows!$H$14)</f>
        <v>101517543.59718554</v>
      </c>
      <c r="D63" s="38">
        <f>B63*(Fuel_flows!$L$16)</f>
        <v>1304621289.4424026</v>
      </c>
      <c r="E63" s="38">
        <f>B63*(Fuel_flows!$P$11)</f>
        <v>376360178.99075645</v>
      </c>
      <c r="F63" s="11">
        <f>B63*(Fuel_flows!$H$14+Fuel_flows!$L$16+Fuel_flows!$P$11)</f>
        <v>1782499012.0303445</v>
      </c>
    </row>
    <row r="64" spans="1:6" x14ac:dyDescent="0.45">
      <c r="A64" t="s">
        <v>252</v>
      </c>
      <c r="B64" s="8">
        <v>0.04</v>
      </c>
      <c r="C64" s="38">
        <f>B64*(Fuel_flows!$H$14)</f>
        <v>31236167.260672476</v>
      </c>
      <c r="D64" s="38">
        <f>B64*(Fuel_flows!$L$16)</f>
        <v>401421935.21304697</v>
      </c>
      <c r="E64" s="38">
        <f>B64*(Fuel_flows!$P$11)</f>
        <v>115803131.99715582</v>
      </c>
      <c r="F64" s="11">
        <f>B64*(Fuel_flows!$H$14+Fuel_flows!$L$16+Fuel_flows!$P$11)</f>
        <v>548461234.47087526</v>
      </c>
    </row>
    <row r="65" spans="1:6" x14ac:dyDescent="0.45">
      <c r="A65" t="s">
        <v>229</v>
      </c>
      <c r="B65" s="8">
        <v>0.03</v>
      </c>
      <c r="C65" s="38">
        <f>B65*(Fuel_flows!$H$14)</f>
        <v>23427125.445504356</v>
      </c>
      <c r="D65" s="38">
        <f>B65*(Fuel_flows!$L$16)</f>
        <v>301066451.40978521</v>
      </c>
      <c r="E65" s="38">
        <f>B65*(Fuel_flows!$P$11)</f>
        <v>86852348.997866854</v>
      </c>
      <c r="F65" s="11">
        <f>B65*(Fuel_flows!$H$14+Fuel_flows!$L$16+Fuel_flows!$P$11)</f>
        <v>411345925.85315645</v>
      </c>
    </row>
    <row r="66" spans="1:6" x14ac:dyDescent="0.45">
      <c r="A66" t="s">
        <v>293</v>
      </c>
      <c r="B66" s="8">
        <v>0.01</v>
      </c>
      <c r="C66" s="38">
        <f>B66*(Fuel_flows!$H$14)</f>
        <v>7809041.815168119</v>
      </c>
      <c r="D66" s="38">
        <f>B66*(Fuel_flows!$L$16)</f>
        <v>100355483.80326174</v>
      </c>
      <c r="E66" s="38">
        <f>B66*(Fuel_flows!$P$11)</f>
        <v>28950782.999288954</v>
      </c>
      <c r="F66" s="11">
        <f>B66*(Fuel_flows!$H$14+Fuel_flows!$L$16+Fuel_flows!$P$11)</f>
        <v>137115308.61771882</v>
      </c>
    </row>
    <row r="67" spans="1:6" x14ac:dyDescent="0.45">
      <c r="A67" t="s">
        <v>294</v>
      </c>
      <c r="B67" s="8">
        <v>0.02</v>
      </c>
      <c r="C67" s="38">
        <f>B67*(Fuel_flows!$H$14)</f>
        <v>15618083.630336238</v>
      </c>
      <c r="D67" s="38">
        <f>B67*(Fuel_flows!$L$16)</f>
        <v>200710967.60652348</v>
      </c>
      <c r="E67" s="38">
        <f>B67*(Fuel_flows!$P$11)</f>
        <v>57901565.998577908</v>
      </c>
      <c r="F67" s="11">
        <f>B67*(Fuel_flows!$H$14+Fuel_flows!$L$16+Fuel_flows!$P$11)</f>
        <v>274230617.23543763</v>
      </c>
    </row>
    <row r="68" spans="1:6" x14ac:dyDescent="0.45">
      <c r="A68" t="s">
        <v>220</v>
      </c>
      <c r="F68" s="11">
        <f>SUM(F59:F67)</f>
        <v>13711530861.771881</v>
      </c>
    </row>
    <row r="70" spans="1:6" x14ac:dyDescent="0.45">
      <c r="A70" s="10" t="s">
        <v>182</v>
      </c>
    </row>
    <row r="71" spans="1:6" x14ac:dyDescent="0.45">
      <c r="A71" t="s">
        <v>262</v>
      </c>
    </row>
    <row r="72" spans="1:6" x14ac:dyDescent="0.45">
      <c r="A72" t="s">
        <v>305</v>
      </c>
    </row>
    <row r="73" spans="1:6" x14ac:dyDescent="0.45">
      <c r="A73" t="s">
        <v>306</v>
      </c>
    </row>
    <row r="74" spans="1:6" x14ac:dyDescent="0.45">
      <c r="A74" t="s">
        <v>307</v>
      </c>
    </row>
    <row r="75" spans="1:6" x14ac:dyDescent="0.45">
      <c r="A75" t="s">
        <v>308</v>
      </c>
    </row>
    <row r="76" spans="1:6" x14ac:dyDescent="0.45">
      <c r="A76" t="s">
        <v>309</v>
      </c>
    </row>
    <row r="77" spans="1:6" x14ac:dyDescent="0.45">
      <c r="A77" t="s">
        <v>361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66"/>
  <sheetViews>
    <sheetView tabSelected="1" topLeftCell="E16" workbookViewId="0">
      <selection activeCell="K49" sqref="K49:K50"/>
    </sheetView>
  </sheetViews>
  <sheetFormatPr baseColWidth="10" defaultRowHeight="16" x14ac:dyDescent="0.45"/>
  <cols>
    <col min="1" max="1" width="29.453125" customWidth="1"/>
    <col min="2" max="2" width="21.1796875" customWidth="1"/>
    <col min="3" max="3" width="19" customWidth="1"/>
    <col min="4" max="4" width="21.54296875" customWidth="1"/>
    <col min="5" max="5" width="22.26953125" customWidth="1"/>
    <col min="8" max="8" width="27.1796875" customWidth="1"/>
    <col min="9" max="9" width="26.81640625" customWidth="1"/>
    <col min="10" max="10" width="21.54296875" customWidth="1"/>
    <col min="13" max="13" width="34.54296875" customWidth="1"/>
    <col min="14" max="14" width="22" customWidth="1"/>
    <col min="15" max="15" width="21.7265625" customWidth="1"/>
  </cols>
  <sheetData>
    <row r="2" spans="1:15" x14ac:dyDescent="0.45">
      <c r="A2" s="10" t="s">
        <v>82</v>
      </c>
      <c r="H2" s="10" t="s">
        <v>310</v>
      </c>
      <c r="M2" s="10" t="s">
        <v>326</v>
      </c>
    </row>
    <row r="3" spans="1:15" x14ac:dyDescent="0.45">
      <c r="A3" s="1" t="s">
        <v>1</v>
      </c>
      <c r="B3" s="2" t="s">
        <v>2</v>
      </c>
      <c r="C3" s="2" t="s">
        <v>3</v>
      </c>
      <c r="D3" s="2" t="s">
        <v>4</v>
      </c>
      <c r="E3" s="57" t="s">
        <v>5</v>
      </c>
      <c r="H3" s="1" t="s">
        <v>1</v>
      </c>
      <c r="I3" s="2" t="s">
        <v>2</v>
      </c>
      <c r="J3" s="2" t="s">
        <v>3</v>
      </c>
      <c r="K3" s="25"/>
      <c r="M3" s="1" t="s">
        <v>1</v>
      </c>
      <c r="N3" s="2" t="s">
        <v>2</v>
      </c>
      <c r="O3" s="25" t="s">
        <v>3</v>
      </c>
    </row>
    <row r="4" spans="1:15" ht="32" x14ac:dyDescent="0.45">
      <c r="A4" s="32" t="s">
        <v>313</v>
      </c>
      <c r="B4" s="14">
        <f>100</f>
        <v>100</v>
      </c>
      <c r="C4" s="14" t="s">
        <v>314</v>
      </c>
      <c r="D4" s="14"/>
      <c r="E4" s="70"/>
      <c r="H4" s="28" t="s">
        <v>315</v>
      </c>
      <c r="I4" s="29">
        <f>B4*B5*B7</f>
        <v>506575.60000000003</v>
      </c>
      <c r="J4" s="14" t="s">
        <v>7</v>
      </c>
      <c r="K4" s="27"/>
      <c r="M4" s="28" t="s">
        <v>327</v>
      </c>
      <c r="N4" s="31">
        <f>B5*B4*B8*B11</f>
        <v>2413166.0377358492</v>
      </c>
      <c r="O4" s="27"/>
    </row>
    <row r="5" spans="1:15" ht="32" x14ac:dyDescent="0.45">
      <c r="A5" s="28" t="s">
        <v>58</v>
      </c>
      <c r="B5" s="14">
        <v>25078</v>
      </c>
      <c r="C5" s="14" t="s">
        <v>55</v>
      </c>
      <c r="D5" s="58" t="s">
        <v>59</v>
      </c>
      <c r="E5" s="27"/>
      <c r="H5" s="28" t="s">
        <v>316</v>
      </c>
      <c r="I5" s="16">
        <f>I4*B14</f>
        <v>242376.80276546712</v>
      </c>
      <c r="J5" s="14" t="s">
        <v>7</v>
      </c>
      <c r="K5" s="27"/>
      <c r="M5" s="28" t="s">
        <v>328</v>
      </c>
      <c r="N5" s="31">
        <f>N4*B13</f>
        <v>0</v>
      </c>
      <c r="O5" s="27"/>
    </row>
    <row r="6" spans="1:15" ht="48" x14ac:dyDescent="0.45">
      <c r="A6" s="28" t="s">
        <v>54</v>
      </c>
      <c r="B6" s="16">
        <f>((34+42+32.8+32.9+37.9+25.4)/6)*365</f>
        <v>12470.833333333332</v>
      </c>
      <c r="C6" s="14" t="s">
        <v>55</v>
      </c>
      <c r="D6" s="58" t="s">
        <v>56</v>
      </c>
      <c r="E6" s="71" t="s">
        <v>57</v>
      </c>
      <c r="H6" s="32" t="s">
        <v>317</v>
      </c>
      <c r="I6" s="16">
        <f>I4*(1-B14)</f>
        <v>264198.79723453289</v>
      </c>
      <c r="J6" s="14" t="s">
        <v>7</v>
      </c>
      <c r="K6" s="27"/>
      <c r="M6" s="32" t="s">
        <v>329</v>
      </c>
      <c r="N6" s="14">
        <f>N4*(1-B13)</f>
        <v>2413166.0377358492</v>
      </c>
      <c r="O6" s="27"/>
    </row>
    <row r="7" spans="1:15" x14ac:dyDescent="0.45">
      <c r="A7" s="28" t="s">
        <v>311</v>
      </c>
      <c r="B7" s="73">
        <v>0.20200000000000001</v>
      </c>
      <c r="C7" s="14" t="s">
        <v>107</v>
      </c>
      <c r="D7" s="14" t="s">
        <v>108</v>
      </c>
      <c r="E7" s="27"/>
      <c r="H7" s="32"/>
      <c r="I7" s="14"/>
      <c r="J7" s="14"/>
      <c r="K7" s="27"/>
      <c r="M7" s="32"/>
      <c r="N7" s="14"/>
      <c r="O7" s="27"/>
    </row>
    <row r="8" spans="1:15" x14ac:dyDescent="0.45">
      <c r="A8" s="28" t="s">
        <v>66</v>
      </c>
      <c r="B8" s="66">
        <v>0.09</v>
      </c>
      <c r="C8" s="14" t="s">
        <v>64</v>
      </c>
      <c r="D8" s="58" t="s">
        <v>65</v>
      </c>
      <c r="E8" s="27"/>
      <c r="H8" s="32" t="s">
        <v>318</v>
      </c>
      <c r="I8" s="14"/>
      <c r="J8" s="14"/>
      <c r="K8" s="27"/>
      <c r="M8" s="32"/>
      <c r="N8" s="14"/>
      <c r="O8" s="27"/>
    </row>
    <row r="9" spans="1:15" ht="44.5" x14ac:dyDescent="0.45">
      <c r="A9" s="28" t="s">
        <v>71</v>
      </c>
      <c r="B9" s="14">
        <v>159</v>
      </c>
      <c r="C9" s="14" t="s">
        <v>72</v>
      </c>
      <c r="D9" s="80" t="s">
        <v>73</v>
      </c>
      <c r="E9" s="27"/>
      <c r="H9" s="32" t="s">
        <v>32</v>
      </c>
      <c r="I9" s="16">
        <f>I6*B18</f>
        <v>52839.759446906581</v>
      </c>
      <c r="J9" s="14" t="s">
        <v>7</v>
      </c>
      <c r="K9" s="27"/>
      <c r="M9" s="32"/>
      <c r="N9" s="14"/>
      <c r="O9" s="27"/>
    </row>
    <row r="10" spans="1:15" ht="44.5" x14ac:dyDescent="0.45">
      <c r="A10" s="28" t="s">
        <v>74</v>
      </c>
      <c r="B10" s="14">
        <v>1700</v>
      </c>
      <c r="C10" s="14" t="s">
        <v>75</v>
      </c>
      <c r="D10" s="80" t="s">
        <v>76</v>
      </c>
      <c r="E10" s="27"/>
      <c r="H10" s="32" t="s">
        <v>37</v>
      </c>
      <c r="I10" s="16">
        <f>I6*B19</f>
        <v>34345.843640489278</v>
      </c>
      <c r="J10" s="14" t="s">
        <v>7</v>
      </c>
      <c r="K10" s="27"/>
      <c r="M10" s="32"/>
      <c r="N10" s="14"/>
      <c r="O10" s="27"/>
    </row>
    <row r="11" spans="1:15" x14ac:dyDescent="0.45">
      <c r="A11" s="28" t="s">
        <v>77</v>
      </c>
      <c r="B11" s="73">
        <f>B10/B9</f>
        <v>10.691823899371069</v>
      </c>
      <c r="C11" s="14" t="s">
        <v>78</v>
      </c>
      <c r="D11" s="15"/>
      <c r="E11" s="27"/>
      <c r="H11" s="32" t="s">
        <v>118</v>
      </c>
      <c r="I11" s="16">
        <f>I5*B21+I6*B20</f>
        <v>141186.50816592801</v>
      </c>
      <c r="J11" s="14" t="s">
        <v>7</v>
      </c>
      <c r="K11" s="27"/>
      <c r="M11" s="32"/>
      <c r="N11" s="14"/>
      <c r="O11" s="27"/>
    </row>
    <row r="12" spans="1:15" x14ac:dyDescent="0.45">
      <c r="A12" s="32"/>
      <c r="B12" s="30">
        <f>B11*B8</f>
        <v>0.96226415094339623</v>
      </c>
      <c r="C12" s="14"/>
      <c r="D12" s="14"/>
      <c r="E12" s="27"/>
      <c r="H12" s="32"/>
      <c r="I12" s="14"/>
      <c r="J12" s="14"/>
      <c r="K12" s="27"/>
      <c r="M12" s="32"/>
      <c r="N12" s="14"/>
      <c r="O12" s="27"/>
    </row>
    <row r="13" spans="1:15" ht="32" x14ac:dyDescent="0.45">
      <c r="A13" s="28" t="s">
        <v>79</v>
      </c>
      <c r="B13" s="44">
        <v>0</v>
      </c>
      <c r="C13" s="14"/>
      <c r="D13" s="58" t="s">
        <v>105</v>
      </c>
      <c r="E13" s="27"/>
      <c r="H13" s="41" t="s">
        <v>320</v>
      </c>
      <c r="I13" s="14"/>
      <c r="J13" s="14"/>
      <c r="K13" s="27"/>
      <c r="M13" s="41" t="s">
        <v>330</v>
      </c>
      <c r="N13" s="14"/>
      <c r="O13" s="27"/>
    </row>
    <row r="14" spans="1:15" ht="32" x14ac:dyDescent="0.45">
      <c r="A14" s="28" t="s">
        <v>17</v>
      </c>
      <c r="B14" s="48">
        <f>26.99/56.41</f>
        <v>0.47846126573302605</v>
      </c>
      <c r="C14" s="14"/>
      <c r="D14" s="58" t="s">
        <v>18</v>
      </c>
      <c r="E14" s="27"/>
      <c r="H14" s="81" t="s">
        <v>278</v>
      </c>
      <c r="I14" s="82"/>
      <c r="J14" s="82"/>
      <c r="K14" s="83"/>
      <c r="M14" s="42" t="s">
        <v>268</v>
      </c>
      <c r="N14" s="14"/>
      <c r="O14" s="27"/>
    </row>
    <row r="15" spans="1:15" ht="48" x14ac:dyDescent="0.45">
      <c r="A15" s="81" t="s">
        <v>26</v>
      </c>
      <c r="B15" s="82"/>
      <c r="C15" s="82"/>
      <c r="D15" s="82"/>
      <c r="E15" s="83"/>
      <c r="H15" s="28" t="s">
        <v>279</v>
      </c>
      <c r="I15" s="14" t="s">
        <v>280</v>
      </c>
      <c r="J15" s="15" t="s">
        <v>333</v>
      </c>
      <c r="K15" s="27"/>
      <c r="M15" s="28" t="s">
        <v>269</v>
      </c>
      <c r="N15" s="14" t="s">
        <v>270</v>
      </c>
      <c r="O15" s="46" t="s">
        <v>332</v>
      </c>
    </row>
    <row r="16" spans="1:15" ht="31.5" customHeight="1" x14ac:dyDescent="0.45">
      <c r="A16" s="81" t="s">
        <v>388</v>
      </c>
      <c r="B16" s="82"/>
      <c r="C16" s="82"/>
      <c r="D16" s="82"/>
      <c r="E16" s="83"/>
      <c r="H16" s="42" t="s">
        <v>215</v>
      </c>
      <c r="I16" s="43">
        <v>0.39200000000000002</v>
      </c>
      <c r="J16" s="49">
        <f>I16*$I$9</f>
        <v>20713.185703187381</v>
      </c>
      <c r="K16" s="27"/>
      <c r="M16" s="28" t="s">
        <v>211</v>
      </c>
      <c r="N16" s="47">
        <v>0.39</v>
      </c>
      <c r="O16" s="54">
        <f>$N$6*N16</f>
        <v>941134.7547169812</v>
      </c>
    </row>
    <row r="17" spans="1:15" x14ac:dyDescent="0.45">
      <c r="A17" s="32" t="s">
        <v>312</v>
      </c>
      <c r="B17" s="14"/>
      <c r="C17" s="14"/>
      <c r="D17" s="14"/>
      <c r="E17" s="27"/>
      <c r="H17" s="42" t="s">
        <v>212</v>
      </c>
      <c r="I17" s="43">
        <v>0.251</v>
      </c>
      <c r="J17" s="49">
        <f t="shared" ref="J17:J21" si="0">I17*$I$9</f>
        <v>13262.779621173551</v>
      </c>
      <c r="K17" s="27"/>
      <c r="M17" s="28" t="s">
        <v>271</v>
      </c>
      <c r="N17" s="47">
        <v>0.06</v>
      </c>
      <c r="O17" s="54">
        <f t="shared" ref="O17:O26" si="1">$N$6*N17</f>
        <v>144789.96226415093</v>
      </c>
    </row>
    <row r="18" spans="1:15" x14ac:dyDescent="0.45">
      <c r="A18" s="28" t="s">
        <v>19</v>
      </c>
      <c r="B18" s="43">
        <v>0.2</v>
      </c>
      <c r="C18" s="14"/>
      <c r="D18" s="58" t="s">
        <v>20</v>
      </c>
      <c r="E18" s="84" t="s">
        <v>21</v>
      </c>
      <c r="H18" s="42" t="s">
        <v>281</v>
      </c>
      <c r="I18" s="43">
        <v>8.2000000000000003E-2</v>
      </c>
      <c r="J18" s="49">
        <f t="shared" si="0"/>
        <v>4332.8602746463393</v>
      </c>
      <c r="K18" s="27"/>
      <c r="M18" s="28" t="s">
        <v>231</v>
      </c>
      <c r="N18" s="47">
        <v>0.01</v>
      </c>
      <c r="O18" s="54">
        <f t="shared" si="1"/>
        <v>24131.66037735849</v>
      </c>
    </row>
    <row r="19" spans="1:15" x14ac:dyDescent="0.45">
      <c r="A19" s="28" t="s">
        <v>22</v>
      </c>
      <c r="B19" s="43">
        <v>0.13</v>
      </c>
      <c r="C19" s="14"/>
      <c r="D19" s="58" t="s">
        <v>20</v>
      </c>
      <c r="E19" s="84"/>
      <c r="H19" s="42" t="s">
        <v>219</v>
      </c>
      <c r="I19" s="43">
        <v>7.2999999999999995E-2</v>
      </c>
      <c r="J19" s="49">
        <f t="shared" si="0"/>
        <v>3857.3024396241804</v>
      </c>
      <c r="K19" s="27"/>
      <c r="M19" s="28" t="s">
        <v>210</v>
      </c>
      <c r="N19" s="47">
        <v>0.18</v>
      </c>
      <c r="O19" s="54">
        <f t="shared" si="1"/>
        <v>434369.88679245283</v>
      </c>
    </row>
    <row r="20" spans="1:15" x14ac:dyDescent="0.45">
      <c r="A20" s="60" t="s">
        <v>23</v>
      </c>
      <c r="B20" s="43">
        <v>0.25</v>
      </c>
      <c r="C20" s="14"/>
      <c r="D20" s="58" t="s">
        <v>20</v>
      </c>
      <c r="E20" s="84"/>
      <c r="H20" s="42" t="s">
        <v>218</v>
      </c>
      <c r="I20" s="44">
        <v>6.5000000000000002E-2</v>
      </c>
      <c r="J20" s="49">
        <f t="shared" si="0"/>
        <v>3434.5843640489279</v>
      </c>
      <c r="K20" s="27"/>
      <c r="M20" s="28" t="s">
        <v>219</v>
      </c>
      <c r="N20" s="47">
        <v>0.12</v>
      </c>
      <c r="O20" s="54">
        <f t="shared" si="1"/>
        <v>289579.92452830187</v>
      </c>
    </row>
    <row r="21" spans="1:15" ht="32" x14ac:dyDescent="0.45">
      <c r="A21" s="60"/>
      <c r="B21" s="43">
        <v>0.31</v>
      </c>
      <c r="C21" s="14"/>
      <c r="D21" s="79" t="s">
        <v>24</v>
      </c>
      <c r="E21" s="46" t="s">
        <v>25</v>
      </c>
      <c r="H21" s="42" t="s">
        <v>81</v>
      </c>
      <c r="I21" s="43">
        <v>0.13700000000000001</v>
      </c>
      <c r="J21" s="49">
        <f t="shared" si="0"/>
        <v>7239.0470442262022</v>
      </c>
      <c r="K21" s="27"/>
      <c r="M21" s="28" t="s">
        <v>208</v>
      </c>
      <c r="N21" s="47">
        <v>0.08</v>
      </c>
      <c r="O21" s="54">
        <f t="shared" si="1"/>
        <v>193053.28301886792</v>
      </c>
    </row>
    <row r="22" spans="1:15" x14ac:dyDescent="0.45">
      <c r="A22" s="32"/>
      <c r="B22" s="14"/>
      <c r="C22" s="14"/>
      <c r="D22" s="14"/>
      <c r="E22" s="27"/>
      <c r="H22" s="32"/>
      <c r="I22" s="14"/>
      <c r="J22" s="14"/>
      <c r="K22" s="27"/>
      <c r="M22" s="28" t="s">
        <v>272</v>
      </c>
      <c r="N22" s="47">
        <f>N23-SUM(N16:N21)</f>
        <v>0.16000000000000003</v>
      </c>
      <c r="O22" s="54">
        <f t="shared" si="1"/>
        <v>386106.56603773596</v>
      </c>
    </row>
    <row r="23" spans="1:15" x14ac:dyDescent="0.45">
      <c r="A23" s="42" t="s">
        <v>334</v>
      </c>
      <c r="B23" s="14"/>
      <c r="C23" s="14"/>
      <c r="D23" s="14"/>
      <c r="E23" s="27"/>
      <c r="H23" s="41" t="s">
        <v>321</v>
      </c>
      <c r="I23" s="14"/>
      <c r="J23" s="14"/>
      <c r="K23" s="27"/>
      <c r="M23" s="28" t="s">
        <v>220</v>
      </c>
      <c r="N23" s="47">
        <v>1</v>
      </c>
      <c r="O23" s="54"/>
    </row>
    <row r="24" spans="1:15" x14ac:dyDescent="0.45">
      <c r="A24" s="28" t="s">
        <v>37</v>
      </c>
      <c r="B24" s="47">
        <v>0.192</v>
      </c>
      <c r="C24" s="14"/>
      <c r="D24" s="14"/>
      <c r="E24" s="27"/>
      <c r="H24" s="32" t="s">
        <v>296</v>
      </c>
      <c r="I24" s="14"/>
      <c r="J24" s="14"/>
      <c r="K24" s="27"/>
      <c r="M24" s="28" t="s">
        <v>274</v>
      </c>
      <c r="N24" s="47"/>
      <c r="O24" s="54"/>
    </row>
    <row r="25" spans="1:15" ht="32" x14ac:dyDescent="0.45">
      <c r="A25" s="28" t="s">
        <v>32</v>
      </c>
      <c r="B25" s="47">
        <v>0.29499999999999998</v>
      </c>
      <c r="C25" s="14"/>
      <c r="D25" s="14"/>
      <c r="E25" s="27"/>
      <c r="H25" s="28" t="s">
        <v>297</v>
      </c>
      <c r="I25" s="14" t="s">
        <v>280</v>
      </c>
      <c r="J25" s="14" t="s">
        <v>319</v>
      </c>
      <c r="K25" s="27"/>
      <c r="M25" s="28" t="s">
        <v>215</v>
      </c>
      <c r="N25" s="48">
        <f>(N29/(N29+N30))*N22</f>
        <v>7.868803298659921E-2</v>
      </c>
      <c r="O25" s="54">
        <f t="shared" si="1"/>
        <v>189887.28877949942</v>
      </c>
    </row>
    <row r="26" spans="1:15" x14ac:dyDescent="0.45">
      <c r="A26" s="28" t="s">
        <v>80</v>
      </c>
      <c r="B26" s="47">
        <v>0.17199999999999999</v>
      </c>
      <c r="C26" s="14"/>
      <c r="D26" s="14"/>
      <c r="E26" s="27"/>
      <c r="H26" s="32" t="s">
        <v>215</v>
      </c>
      <c r="I26" s="43">
        <v>0.45</v>
      </c>
      <c r="J26" s="49">
        <f>I26*$I$10</f>
        <v>15455.629638220176</v>
      </c>
      <c r="K26" s="27"/>
      <c r="M26" s="28" t="s">
        <v>216</v>
      </c>
      <c r="N26" s="48">
        <f>(N30/(N29+N30))*N22</f>
        <v>8.1311967013400821E-2</v>
      </c>
      <c r="O26" s="54">
        <f t="shared" si="1"/>
        <v>196219.27725823651</v>
      </c>
    </row>
    <row r="27" spans="1:15" x14ac:dyDescent="0.45">
      <c r="A27" s="64" t="s">
        <v>81</v>
      </c>
      <c r="B27" s="77">
        <f>100%-B24-B25-B26</f>
        <v>0.34100000000000014</v>
      </c>
      <c r="C27" s="34"/>
      <c r="D27" s="34"/>
      <c r="E27" s="35"/>
      <c r="H27" s="32" t="s">
        <v>219</v>
      </c>
      <c r="I27" s="43">
        <v>0.19</v>
      </c>
      <c r="J27" s="49">
        <f t="shared" ref="J27:J32" si="2">I27*$I$10</f>
        <v>6525.7102916929625</v>
      </c>
      <c r="K27" s="27"/>
      <c r="M27" s="32"/>
      <c r="N27" s="14"/>
      <c r="O27" s="27"/>
    </row>
    <row r="28" spans="1:15" x14ac:dyDescent="0.45">
      <c r="H28" s="32" t="s">
        <v>228</v>
      </c>
      <c r="I28" s="43">
        <v>0.11</v>
      </c>
      <c r="J28" s="49">
        <f t="shared" si="2"/>
        <v>3778.0428004538207</v>
      </c>
      <c r="K28" s="27"/>
      <c r="M28" s="42" t="s">
        <v>197</v>
      </c>
      <c r="N28" s="14"/>
      <c r="O28" s="27"/>
    </row>
    <row r="29" spans="1:15" x14ac:dyDescent="0.45">
      <c r="H29" s="32" t="s">
        <v>254</v>
      </c>
      <c r="I29" s="43">
        <v>0.05</v>
      </c>
      <c r="J29" s="49">
        <f t="shared" si="2"/>
        <v>1717.292182024464</v>
      </c>
      <c r="K29" s="27"/>
      <c r="M29" s="28" t="s">
        <v>215</v>
      </c>
      <c r="N29" s="44">
        <f>10496/93871</f>
        <v>0.11181301999552577</v>
      </c>
      <c r="O29" s="27"/>
    </row>
    <row r="30" spans="1:15" x14ac:dyDescent="0.45">
      <c r="H30" s="32" t="s">
        <v>204</v>
      </c>
      <c r="I30" s="43">
        <v>0.03</v>
      </c>
      <c r="J30" s="49">
        <f t="shared" si="2"/>
        <v>1030.3753092146783</v>
      </c>
      <c r="K30" s="27"/>
      <c r="M30" s="28" t="s">
        <v>216</v>
      </c>
      <c r="N30" s="44">
        <f>10846/93871</f>
        <v>0.11554154105101683</v>
      </c>
      <c r="O30" s="27"/>
    </row>
    <row r="31" spans="1:15" x14ac:dyDescent="0.45">
      <c r="H31" s="32" t="s">
        <v>293</v>
      </c>
      <c r="I31" s="43">
        <v>0.11</v>
      </c>
      <c r="J31" s="49">
        <f t="shared" si="2"/>
        <v>3778.0428004538207</v>
      </c>
      <c r="K31" s="27"/>
      <c r="M31" s="32"/>
      <c r="N31" s="14"/>
      <c r="O31" s="27"/>
    </row>
    <row r="32" spans="1:15" x14ac:dyDescent="0.45">
      <c r="H32" s="32" t="s">
        <v>81</v>
      </c>
      <c r="I32" s="43">
        <v>0.06</v>
      </c>
      <c r="J32" s="49">
        <f t="shared" si="2"/>
        <v>2060.7506184293566</v>
      </c>
      <c r="K32" s="27"/>
      <c r="M32" s="41" t="s">
        <v>325</v>
      </c>
      <c r="N32" s="14"/>
      <c r="O32" s="27"/>
    </row>
    <row r="33" spans="8:15" ht="32" x14ac:dyDescent="0.45">
      <c r="H33" s="32"/>
      <c r="I33" s="14"/>
      <c r="J33" s="14"/>
      <c r="K33" s="27"/>
      <c r="M33" s="37" t="s">
        <v>331</v>
      </c>
      <c r="N33" s="16">
        <f>B6*B4*B8*B11</f>
        <v>1200023.5849056602</v>
      </c>
      <c r="O33" s="27"/>
    </row>
    <row r="34" spans="8:15" ht="48" x14ac:dyDescent="0.45">
      <c r="H34" s="41" t="s">
        <v>322</v>
      </c>
      <c r="I34" s="14"/>
      <c r="J34" s="14"/>
      <c r="K34" s="27"/>
      <c r="M34" s="45" t="s">
        <v>324</v>
      </c>
      <c r="N34" s="50">
        <f>(I48+I49+I50+N33)*5</f>
        <v>6830164.1203616355</v>
      </c>
      <c r="O34" s="35"/>
    </row>
    <row r="35" spans="8:15" x14ac:dyDescent="0.45">
      <c r="H35" s="32" t="s">
        <v>290</v>
      </c>
      <c r="I35" s="14"/>
      <c r="J35" s="14"/>
      <c r="K35" s="27"/>
    </row>
    <row r="36" spans="8:15" ht="32" x14ac:dyDescent="0.45">
      <c r="H36" s="28" t="s">
        <v>291</v>
      </c>
      <c r="I36" s="15" t="s">
        <v>280</v>
      </c>
      <c r="J36" s="14" t="s">
        <v>323</v>
      </c>
      <c r="K36" s="27"/>
    </row>
    <row r="37" spans="8:15" x14ac:dyDescent="0.45">
      <c r="H37" s="32" t="s">
        <v>259</v>
      </c>
      <c r="I37" s="43">
        <v>0.2</v>
      </c>
      <c r="J37" s="49">
        <f>I37*$I$11</f>
        <v>28237.301633185605</v>
      </c>
      <c r="K37" s="27"/>
    </row>
    <row r="38" spans="8:15" x14ac:dyDescent="0.45">
      <c r="H38" s="32" t="s">
        <v>215</v>
      </c>
      <c r="I38" s="43">
        <v>0.2</v>
      </c>
      <c r="J38" s="49">
        <f t="shared" ref="J38:J45" si="3">I38*$I$11</f>
        <v>28237.301633185605</v>
      </c>
      <c r="K38" s="27"/>
    </row>
    <row r="39" spans="8:15" x14ac:dyDescent="0.45">
      <c r="H39" s="32" t="s">
        <v>292</v>
      </c>
      <c r="I39" s="43">
        <v>0.19</v>
      </c>
      <c r="J39" s="49">
        <f t="shared" si="3"/>
        <v>26825.436551526323</v>
      </c>
      <c r="K39" s="27"/>
    </row>
    <row r="40" spans="8:15" x14ac:dyDescent="0.45">
      <c r="H40" s="32" t="s">
        <v>204</v>
      </c>
      <c r="I40" s="43">
        <v>0.18</v>
      </c>
      <c r="J40" s="49">
        <f t="shared" si="3"/>
        <v>25413.571469867042</v>
      </c>
      <c r="K40" s="27"/>
    </row>
    <row r="41" spans="8:15" x14ac:dyDescent="0.45">
      <c r="H41" s="32" t="s">
        <v>228</v>
      </c>
      <c r="I41" s="43">
        <v>0.13</v>
      </c>
      <c r="J41" s="49">
        <f t="shared" si="3"/>
        <v>18354.24606157064</v>
      </c>
      <c r="K41" s="27"/>
    </row>
    <row r="42" spans="8:15" x14ac:dyDescent="0.45">
      <c r="H42" s="32" t="s">
        <v>252</v>
      </c>
      <c r="I42" s="43">
        <v>0.04</v>
      </c>
      <c r="J42" s="49">
        <f t="shared" si="3"/>
        <v>5647.4603266371205</v>
      </c>
      <c r="K42" s="27"/>
    </row>
    <row r="43" spans="8:15" x14ac:dyDescent="0.45">
      <c r="H43" s="32" t="s">
        <v>229</v>
      </c>
      <c r="I43" s="43">
        <v>0.03</v>
      </c>
      <c r="J43" s="49">
        <f t="shared" si="3"/>
        <v>4235.5952449778406</v>
      </c>
      <c r="K43" s="27"/>
    </row>
    <row r="44" spans="8:15" x14ac:dyDescent="0.45">
      <c r="H44" s="32" t="s">
        <v>293</v>
      </c>
      <c r="I44" s="43">
        <v>0.01</v>
      </c>
      <c r="J44" s="49">
        <f t="shared" si="3"/>
        <v>1411.8650816592801</v>
      </c>
      <c r="K44" s="27"/>
    </row>
    <row r="45" spans="8:15" x14ac:dyDescent="0.45">
      <c r="H45" s="32" t="s">
        <v>294</v>
      </c>
      <c r="I45" s="43">
        <v>0.02</v>
      </c>
      <c r="J45" s="49">
        <f t="shared" si="3"/>
        <v>2823.7301633185602</v>
      </c>
      <c r="K45" s="27"/>
    </row>
    <row r="46" spans="8:15" x14ac:dyDescent="0.45">
      <c r="H46" s="32"/>
      <c r="I46" s="14"/>
      <c r="J46" s="14"/>
      <c r="K46" s="27"/>
    </row>
    <row r="47" spans="8:15" x14ac:dyDescent="0.45">
      <c r="H47" s="41" t="s">
        <v>325</v>
      </c>
      <c r="I47" s="14"/>
      <c r="J47" s="14"/>
      <c r="K47" s="27"/>
    </row>
    <row r="48" spans="8:15" ht="32" x14ac:dyDescent="0.45">
      <c r="H48" s="37" t="s">
        <v>335</v>
      </c>
      <c r="I48" s="16">
        <f>B4*B6*B7*B24</f>
        <v>48366.880000000005</v>
      </c>
      <c r="J48" s="14"/>
      <c r="K48" s="27"/>
    </row>
    <row r="49" spans="1:11" ht="32" x14ac:dyDescent="0.45">
      <c r="H49" s="37" t="s">
        <v>336</v>
      </c>
      <c r="I49" s="21">
        <f>B4*B6*B7*B25</f>
        <v>74313.695833333331</v>
      </c>
      <c r="K49" s="27"/>
    </row>
    <row r="50" spans="1:11" ht="32" x14ac:dyDescent="0.45">
      <c r="H50" s="37" t="s">
        <v>337</v>
      </c>
      <c r="I50" s="21">
        <f>B4*B6*B7*B26</f>
        <v>43328.66333333333</v>
      </c>
      <c r="K50" s="27"/>
    </row>
    <row r="51" spans="1:11" ht="64" x14ac:dyDescent="0.45">
      <c r="H51" s="45" t="s">
        <v>324</v>
      </c>
      <c r="I51" s="50">
        <f>(I48+I49+I50+N33)*5</f>
        <v>6830164.1203616355</v>
      </c>
      <c r="J51" s="34"/>
      <c r="K51" s="35"/>
    </row>
    <row r="53" spans="1:11" x14ac:dyDescent="0.45">
      <c r="A53" s="10" t="s">
        <v>182</v>
      </c>
    </row>
    <row r="54" spans="1:11" x14ac:dyDescent="0.45">
      <c r="A54" t="s">
        <v>157</v>
      </c>
    </row>
    <row r="55" spans="1:11" x14ac:dyDescent="0.45">
      <c r="A55" t="s">
        <v>184</v>
      </c>
    </row>
    <row r="56" spans="1:11" x14ac:dyDescent="0.45">
      <c r="A56" t="s">
        <v>262</v>
      </c>
    </row>
    <row r="57" spans="1:11" x14ac:dyDescent="0.45">
      <c r="A57" t="s">
        <v>305</v>
      </c>
    </row>
    <row r="58" spans="1:11" x14ac:dyDescent="0.45">
      <c r="A58" t="s">
        <v>307</v>
      </c>
    </row>
    <row r="59" spans="1:11" x14ac:dyDescent="0.45">
      <c r="A59" t="s">
        <v>158</v>
      </c>
    </row>
    <row r="60" spans="1:11" x14ac:dyDescent="0.45">
      <c r="A60" t="s">
        <v>193</v>
      </c>
    </row>
    <row r="61" spans="1:11" x14ac:dyDescent="0.45">
      <c r="A61" t="s">
        <v>308</v>
      </c>
    </row>
    <row r="62" spans="1:11" x14ac:dyDescent="0.45">
      <c r="A62" t="s">
        <v>309</v>
      </c>
    </row>
    <row r="63" spans="1:11" x14ac:dyDescent="0.45">
      <c r="A63" t="s">
        <v>194</v>
      </c>
    </row>
    <row r="64" spans="1:11" x14ac:dyDescent="0.45">
      <c r="A64" t="s">
        <v>159</v>
      </c>
    </row>
    <row r="65" spans="1:1" x14ac:dyDescent="0.45">
      <c r="A65" t="s">
        <v>338</v>
      </c>
    </row>
    <row r="66" spans="1:1" x14ac:dyDescent="0.45">
      <c r="A66" t="s">
        <v>195</v>
      </c>
    </row>
  </sheetData>
  <mergeCells count="5">
    <mergeCell ref="A20:A21"/>
    <mergeCell ref="A15:E15"/>
    <mergeCell ref="A16:E16"/>
    <mergeCell ref="E18:E20"/>
    <mergeCell ref="H14:K14"/>
  </mergeCells>
  <hyperlinks>
    <hyperlink ref="D9" r:id="rId1"/>
    <hyperlink ref="D10" r:id="rId2"/>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Fuel_flows</vt:lpstr>
      <vt:lpstr>Prices</vt:lpstr>
      <vt:lpstr>PVI_calc</vt:lpstr>
      <vt:lpstr>DI_calc</vt:lpstr>
      <vt:lpstr>Import amount CHE</vt:lpstr>
      <vt:lpstr>Comparison BEC and ICEC</vt:lpstr>
    </vt:vector>
  </TitlesOfParts>
  <Company>Empa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 Marcus</dc:creator>
  <cp:lastModifiedBy>Berr, Marcus</cp:lastModifiedBy>
  <dcterms:created xsi:type="dcterms:W3CDTF">2023-04-19T08:24:10Z</dcterms:created>
  <dcterms:modified xsi:type="dcterms:W3CDTF">2023-05-18T12:24:44Z</dcterms:modified>
</cp:coreProperties>
</file>