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ma\Desktop\BW2 3. Paper\Flowchart\"/>
    </mc:Choice>
  </mc:AlternateContent>
  <bookViews>
    <workbookView xWindow="0" yWindow="0" windowWidth="4700" windowHeight="5240" activeTab="1"/>
  </bookViews>
  <sheets>
    <sheet name="Weight%" sheetId="2" r:id="rId1"/>
    <sheet name="Flow_amounts" sheetId="1" r:id="rId2"/>
  </sheets>
  <externalReferences>
    <externalReference r:id="rId3"/>
    <externalReference r:id="rId4"/>
    <externalReference r:id="rId5"/>
    <externalReference r:id="rId6"/>
    <externalReference r:id="rId7"/>
    <externalReference r:id="rId8"/>
    <externalReference r:id="rId9"/>
  </externalReferences>
  <definedNames>
    <definedName name="_GoBack" localSheetId="0">'Weight%'!$C$6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2" l="1"/>
  <c r="B42" i="2" l="1"/>
  <c r="B36" i="2"/>
  <c r="B41" i="2"/>
  <c r="B40" i="2"/>
  <c r="B11" i="1" l="1"/>
  <c r="B10" i="1"/>
  <c r="B9" i="1"/>
  <c r="B8" i="1"/>
  <c r="B7" i="1"/>
  <c r="B6" i="1"/>
  <c r="B5" i="1"/>
  <c r="H11" i="1" l="1"/>
  <c r="E10" i="1"/>
  <c r="H13" i="1" s="1"/>
  <c r="B12" i="1"/>
  <c r="E12" i="1"/>
  <c r="H12" i="1"/>
  <c r="E16" i="1"/>
  <c r="E15" i="1"/>
  <c r="B72" i="2"/>
  <c r="K34" i="1" l="1"/>
  <c r="E17" i="1"/>
  <c r="B29" i="2"/>
  <c r="B26" i="2"/>
  <c r="B98" i="2"/>
  <c r="B96" i="2"/>
  <c r="B92" i="2"/>
  <c r="B85" i="2"/>
  <c r="B83" i="2"/>
  <c r="E11" i="1" l="1"/>
  <c r="E8" i="1"/>
  <c r="B81" i="2"/>
  <c r="B46" i="2"/>
  <c r="B38" i="2"/>
  <c r="B31" i="2"/>
  <c r="H6" i="1"/>
  <c r="B39" i="2"/>
  <c r="B37" i="2"/>
  <c r="E13" i="1" l="1"/>
  <c r="H7" i="1"/>
  <c r="H10" i="1"/>
  <c r="K8" i="1" s="1"/>
  <c r="B58" i="2"/>
  <c r="E14" i="1" l="1"/>
  <c r="K22" i="1"/>
  <c r="K16" i="1"/>
  <c r="Q16" i="1"/>
  <c r="H8" i="1"/>
  <c r="H9" i="1" s="1"/>
  <c r="B17" i="2"/>
  <c r="B16" i="2"/>
  <c r="B50" i="2"/>
  <c r="B56" i="2"/>
  <c r="K12" i="1" l="1"/>
  <c r="K18" i="1"/>
  <c r="K20" i="1"/>
  <c r="B48" i="2"/>
  <c r="K10" i="1" l="1"/>
  <c r="Q12" i="1"/>
  <c r="Q10" i="1"/>
  <c r="B35" i="2"/>
  <c r="H5" i="1" l="1"/>
  <c r="K17" i="1" s="1"/>
  <c r="B71" i="2"/>
  <c r="K32" i="1" l="1"/>
  <c r="B61" i="2"/>
  <c r="B63" i="2"/>
  <c r="B47" i="2"/>
  <c r="B69" i="2"/>
  <c r="B45" i="2"/>
  <c r="B65" i="2"/>
  <c r="K26" i="1" l="1"/>
  <c r="Q17" i="1" s="1"/>
  <c r="N11" i="1"/>
  <c r="K6" i="1"/>
  <c r="B27" i="2"/>
  <c r="B70" i="2"/>
  <c r="B68" i="2"/>
  <c r="B62" i="2"/>
  <c r="N10" i="1" l="1"/>
  <c r="Q9" i="1" s="1"/>
  <c r="E9" i="1"/>
  <c r="B44" i="2"/>
  <c r="B9" i="2"/>
  <c r="B8" i="2"/>
  <c r="B6" i="2"/>
  <c r="B7" i="2"/>
  <c r="K25" i="1" l="1"/>
  <c r="K23" i="1"/>
  <c r="K9" i="1"/>
  <c r="K15" i="1"/>
  <c r="K30" i="1"/>
  <c r="B59" i="2"/>
  <c r="B57" i="2"/>
  <c r="B51" i="2"/>
  <c r="B67" i="2"/>
  <c r="B24" i="2"/>
  <c r="K33" i="1"/>
  <c r="B49" i="2"/>
  <c r="K11" i="1" s="1"/>
  <c r="B25" i="2"/>
  <c r="B23" i="2"/>
  <c r="B5" i="2"/>
  <c r="E7" i="1" l="1"/>
  <c r="K29" i="1" s="1"/>
  <c r="E6" i="1"/>
  <c r="K21" i="1"/>
  <c r="Q7" i="1"/>
  <c r="E5" i="1"/>
  <c r="K14" i="1" s="1"/>
  <c r="K28" i="1"/>
  <c r="K13" i="1"/>
  <c r="K19" i="1"/>
  <c r="Q14" i="1"/>
  <c r="N16" i="1"/>
  <c r="Q21" i="1" s="1"/>
  <c r="N9" i="1" l="1"/>
  <c r="Q8" i="1" s="1"/>
  <c r="K31" i="1"/>
  <c r="N14" i="1" s="1"/>
  <c r="Q20" i="1" s="1"/>
  <c r="K5" i="1"/>
  <c r="N5" i="1" s="1"/>
  <c r="Q5" i="1" s="1"/>
  <c r="N8" i="1"/>
  <c r="Q11" i="1"/>
  <c r="Q13" i="1"/>
  <c r="K7" i="1"/>
  <c r="N7" i="1" s="1"/>
  <c r="K27" i="1"/>
  <c r="Q18" i="1" s="1"/>
  <c r="K24" i="1"/>
  <c r="Q19" i="1"/>
  <c r="N15" i="1" l="1"/>
  <c r="N12" i="1"/>
  <c r="Q15" i="1" s="1"/>
  <c r="N6" i="1"/>
  <c r="Q6" i="1" s="1"/>
  <c r="N13" i="1"/>
</calcChain>
</file>

<file path=xl/sharedStrings.xml><?xml version="1.0" encoding="utf-8"?>
<sst xmlns="http://schemas.openxmlformats.org/spreadsheetml/2006/main" count="342" uniqueCount="221">
  <si>
    <t>Flow amounts along the Swiss energy supply chain</t>
  </si>
  <si>
    <t>Material/product</t>
  </si>
  <si>
    <t>Amount (in kg)</t>
  </si>
  <si>
    <t>Final products (1. Tier supply chain)</t>
  </si>
  <si>
    <t>Solar panels</t>
  </si>
  <si>
    <t>Wind turbines</t>
  </si>
  <si>
    <t>Nuclear (including fuel elements and control rods)</t>
  </si>
  <si>
    <t>Hydro power (including water turbines)</t>
  </si>
  <si>
    <t>Fuel wood</t>
  </si>
  <si>
    <t>Weight ratios of components and materials of products used in the energy sector</t>
  </si>
  <si>
    <t>Weight ratio (in w%)</t>
  </si>
  <si>
    <t>Source</t>
  </si>
  <si>
    <t>Comment</t>
  </si>
  <si>
    <t>Mono-Si</t>
  </si>
  <si>
    <t>Multi-Si</t>
  </si>
  <si>
    <t>CI(G)S</t>
  </si>
  <si>
    <t>CdTe</t>
  </si>
  <si>
    <t>Intermediate products (2. Tier supply chain)</t>
  </si>
  <si>
    <t>Safety glass used for solar panels</t>
  </si>
  <si>
    <t>Semiconductors used for solar panels</t>
  </si>
  <si>
    <t>Raw materials</t>
  </si>
  <si>
    <t>Aluminium plates used in solar panels</t>
  </si>
  <si>
    <t>including the aluminium used in the unframed solar panel and in the frame of the panel</t>
  </si>
  <si>
    <t>Antimony used in safety glass of solar panel</t>
  </si>
  <si>
    <t>Beryllium used as copper-beryllium alloys in solar panels</t>
  </si>
  <si>
    <t>Engine and gearbox</t>
  </si>
  <si>
    <t>Generator system</t>
  </si>
  <si>
    <t>Rotor</t>
  </si>
  <si>
    <t>Permanent magnets used in generators of wind turbines</t>
  </si>
  <si>
    <t>Magnesium used in Al plates</t>
  </si>
  <si>
    <t>Silicon used in Al plates</t>
  </si>
  <si>
    <t>Titanium used in Al plates</t>
  </si>
  <si>
    <t>Borates used in glass fibers of wind turbines</t>
  </si>
  <si>
    <t>Natural Gas and Oil (including oil, natural gas and boring or sinking equipment)</t>
  </si>
  <si>
    <t>Nuclear (including fuel elements, fluoride and control rods)</t>
  </si>
  <si>
    <t>50% of hafnium iodide, 35% of zirconium iodide</t>
  </si>
  <si>
    <t xml:space="preserve">Parts of hydropower turbine </t>
  </si>
  <si>
    <t>Intermediate products (3. Tier supply chain)</t>
  </si>
  <si>
    <t>Rare Earth elements used in magnets</t>
  </si>
  <si>
    <t>(Cerdas Marin et al. 2018)</t>
  </si>
  <si>
    <t>Aluminium plates in LIB cells</t>
  </si>
  <si>
    <t>(Diekmann et al. 2016)</t>
  </si>
  <si>
    <t>(Vijayakumar et al. 2021), (Mehdi et al. 2015)</t>
  </si>
  <si>
    <t>Vanadium powder used in LIB cells</t>
  </si>
  <si>
    <t>Antimony powders in lead-acid battery cells</t>
  </si>
  <si>
    <t>Aluminium foil in LIB cells</t>
  </si>
  <si>
    <t>Aluminium plates in LIB cases</t>
  </si>
  <si>
    <t>Silicon used in fiber glass</t>
  </si>
  <si>
    <t>Magnesium used in fiber glass</t>
  </si>
  <si>
    <t>Lithium oxide used in fiber glass</t>
  </si>
  <si>
    <t>Hafnium used in nuclear control rods</t>
  </si>
  <si>
    <t>Titanium used in nuclear control rods</t>
  </si>
  <si>
    <t>15% of titanium iodide, 50% of hafnium iodide, 35% of zirconium iodide</t>
  </si>
  <si>
    <t>Hydro power (including water turbines and generators)</t>
  </si>
  <si>
    <t>Aluminium plates in hydropower turbine parts</t>
  </si>
  <si>
    <t>Permanent magnets used in hydropower turbine parts</t>
  </si>
  <si>
    <t>Glass fibers used in rotors of wind turbines</t>
  </si>
  <si>
    <t>fuel elements</t>
  </si>
  <si>
    <t>nuclear control rods</t>
  </si>
  <si>
    <t>Fluoride used in nuclear fuel elements</t>
  </si>
  <si>
    <t>Storage Batteries (including lead-acid batteries and lithium-ion batteries)</t>
  </si>
  <si>
    <t>AC Generators</t>
  </si>
  <si>
    <t>The aluminium content of the alloys used for Al plates is determined based on the data reported by (Vijayakumar et al. 2021) and (Mehdi et al. 2015).</t>
  </si>
  <si>
    <t>Cases used in LIBs</t>
  </si>
  <si>
    <t>Cells used in LIBs</t>
  </si>
  <si>
    <t>Cells used in PbAcBs</t>
  </si>
  <si>
    <t>Cases used in PbAcBs</t>
  </si>
  <si>
    <t>Al unwrought in Al plates/Al foil</t>
  </si>
  <si>
    <t>Beryllium used in nuclear fuel elements</t>
  </si>
  <si>
    <t>Intermediate raw materials</t>
  </si>
  <si>
    <t xml:space="preserve">Antimony oxides (primary) used to antimony powder </t>
  </si>
  <si>
    <t xml:space="preserve">Antimony waste &amp; scrap used to antimony powder </t>
  </si>
  <si>
    <t>Al oxide (primary) used to produce Al unwrought</t>
  </si>
  <si>
    <t>Al waste &amp; scrap used to produce Al unwrought</t>
  </si>
  <si>
    <t>Beryllium waste &amp; scrap used to produce Beryllium powder</t>
  </si>
  <si>
    <t>Boric acid used to produce borates</t>
  </si>
  <si>
    <t>Co intermediates used to produce cobalt powder</t>
  </si>
  <si>
    <t>Co waste &amp; scrap used to produce cobalt powder</t>
  </si>
  <si>
    <t>(UNEP 2011)</t>
  </si>
  <si>
    <t>Gallium ores used to produce Gallium</t>
  </si>
  <si>
    <t>Magnesium unwrought used to produce magnesium powder</t>
  </si>
  <si>
    <t>Magnesium waste &amp; scrap used to produce magnesium powder</t>
  </si>
  <si>
    <t>Titanium oxides used to produce titanium powder</t>
  </si>
  <si>
    <t>Titanium waste &amp; scrap used to produce titanium powder</t>
  </si>
  <si>
    <t>Vanadium oxides used to produce Vanadium powder</t>
  </si>
  <si>
    <t>Vanadium waste &amp; scrap used to produce Vanadium powder</t>
  </si>
  <si>
    <t>Minerals</t>
  </si>
  <si>
    <t>Antimony ores used to produce antimony oxides</t>
  </si>
  <si>
    <t>Bauxite ores used to produce Al oxides</t>
  </si>
  <si>
    <t>Beryllium ores used to produce Beryllium powders</t>
  </si>
  <si>
    <t>Natural borates used to produce boric acid</t>
  </si>
  <si>
    <t>Cobalt ores used to produce Cobalt intermediates</t>
  </si>
  <si>
    <t>Fluorspar used to produce fluoride</t>
  </si>
  <si>
    <t>Hafnium ores used to produce Hafnium</t>
  </si>
  <si>
    <t>Indium ores used to produce Indium</t>
  </si>
  <si>
    <t>Lithium ores used to produce lithium carbonate</t>
  </si>
  <si>
    <t>Magnesium cabonate used to produce magnesium unwrought</t>
  </si>
  <si>
    <t>Rare Earth element ores used to produce Rare Earth elements</t>
  </si>
  <si>
    <t>Silicon ore used to produce silicon</t>
  </si>
  <si>
    <t>Titanium ore used to produce titanium oxides</t>
  </si>
  <si>
    <t>Vanadium ore used to produce Vanadium oxide</t>
  </si>
  <si>
    <t>Cobalt used in permanent magnets</t>
  </si>
  <si>
    <t>Generators</t>
  </si>
  <si>
    <t>Permanent magnets used in generators</t>
  </si>
  <si>
    <t>Borates used in semiconductors</t>
  </si>
  <si>
    <t>Gallium used in semiconductors</t>
  </si>
  <si>
    <t>Indium used in semiconductors</t>
  </si>
  <si>
    <t>Silicon used in semiconductors</t>
  </si>
  <si>
    <t>Al unwrought in Al plates</t>
  </si>
  <si>
    <t>Al unwrought in Al foil</t>
  </si>
  <si>
    <t>Borates used in solar panels (as semiconductors)</t>
  </si>
  <si>
    <t>Indium used in solar panels (as semiconductors)</t>
  </si>
  <si>
    <t>Gallium used in solar panels (as semiconductors)</t>
  </si>
  <si>
    <t>Silicon used in solar panels (as semiconductors)</t>
  </si>
  <si>
    <t>Storage lithium-ion batteries</t>
  </si>
  <si>
    <t>Storage lead-acid batteries</t>
  </si>
  <si>
    <t>Al unwrought used in fiber glass</t>
  </si>
  <si>
    <t>Al unwrought used in nuclear fuel elements</t>
  </si>
  <si>
    <t>Cells and Cases of LIBs</t>
  </si>
  <si>
    <t>Cells and Cases of PbAcBs</t>
  </si>
  <si>
    <t>Aluminium plates in LIB cells and cases</t>
  </si>
  <si>
    <t>Vanadium alloys used in wind turbines</t>
  </si>
  <si>
    <t>Vanadium alloys used in solar panels</t>
  </si>
  <si>
    <t>Vanadium alloys used in hydropower turbine equipment</t>
  </si>
  <si>
    <t>Vanadium powder used in Vanadium alloys</t>
  </si>
  <si>
    <t>Vanadium powder used in vanadium alloys</t>
  </si>
  <si>
    <t>Total supply of infrastructure for the Swiss energy sector</t>
  </si>
  <si>
    <t>Al unwrought used in glass fibers</t>
  </si>
  <si>
    <t>Borates used in solar glass</t>
  </si>
  <si>
    <t>Scandium used in the Al plates</t>
  </si>
  <si>
    <t>Scandium ore used to produce Scandium</t>
  </si>
  <si>
    <t>(Chawla 2001)</t>
  </si>
  <si>
    <t>Lithium carbonate used in LIB cells and cases</t>
  </si>
  <si>
    <t>Natural graphite used in LIB cells and cases</t>
  </si>
  <si>
    <t>Cobalt used in LIB cells and cases</t>
  </si>
  <si>
    <t>(Wealth Daily 2023) and (Frischknecht et al. 2020)</t>
  </si>
  <si>
    <t>(Mcveigh 2001)</t>
  </si>
  <si>
    <t>(World Nuclear Association 2023)</t>
  </si>
  <si>
    <t>Following World Nuclear Association (2023), it is assumed that the weight of a nuclear reactor structure is around 800 tonnes.</t>
  </si>
  <si>
    <t>(Cheng et al. 2020)</t>
  </si>
  <si>
    <t>(Frischknecht et al. 2020)</t>
  </si>
  <si>
    <t>(Wedum 2015)</t>
  </si>
  <si>
    <t>(Liu and Barlow 2016)</t>
  </si>
  <si>
    <t>(Frias et al. 2006)</t>
  </si>
  <si>
    <t>(Diekmann et al. 2016), (Gaines et al. 2011)</t>
  </si>
  <si>
    <t>(Mone et al. 2017), (IspatGuru 2020)</t>
  </si>
  <si>
    <t>Following Mone et al. (2017), around 72.5% of steel are used in wind turbines. The vanadium content of the steel is around 0.2% according to IspatGuru (2020).</t>
  </si>
  <si>
    <t>(Bhandari and Lim 2018)</t>
  </si>
  <si>
    <t>The steel content of solar panels is calculated following Bhandari and Lim (2018). The vanadium content of the steel is around 0.2% according to IspatGuru (2020).</t>
  </si>
  <si>
    <t>(Flury and Frischknecht 2012), (IspatGuru 2020)</t>
  </si>
  <si>
    <t>The steel content of hydropower turbines is calculated following Flury and Frischknecht (2012). The vanadium content of the steel is around 0.2% according to IspatGuru (2020).</t>
  </si>
  <si>
    <t>(Latunussa et al. 2016)</t>
  </si>
  <si>
    <t>(Jiménez-Lugos et al. 2022), (T. Liu and Qiu 2018)</t>
  </si>
  <si>
    <t>(Farrell 2012)</t>
  </si>
  <si>
    <t>(Li et al. 2021)</t>
  </si>
  <si>
    <t>(Borates Today 2021)</t>
  </si>
  <si>
    <t>(Schubert 2020)</t>
  </si>
  <si>
    <t>(BJMT/Ideal 2014)</t>
  </si>
  <si>
    <t>(World Nuclear Association 2022)</t>
  </si>
  <si>
    <t>(Kotsar et al. 2011)</t>
  </si>
  <si>
    <t>(Pagliaro and Meneguzzo 2019)</t>
  </si>
  <si>
    <t>(Kodikara and De Silva 2018)</t>
  </si>
  <si>
    <t>(AZO Materials 2014)</t>
  </si>
  <si>
    <t>(Batool et al. 2018)</t>
  </si>
  <si>
    <t>References</t>
  </si>
  <si>
    <t>AZO Materials, 2014. An Overview Of Aluminium-Scandium (AlSc). https://www.azom.com/article.aspx?ArticleID=10670 (accessed 22/01/2023).</t>
  </si>
  <si>
    <t>Batool, S., Ahmad, A., Wadood, A., Mateen, A., Husain, S., 2018. Development of Lightweight Aluminum-Titanium Alloys for Aerospace Applications. Key Engineering Materials. 778, 22-27. 10.4028/www.scientific.net/KEM.778.22.</t>
  </si>
  <si>
    <t>Bhandari, B., Lim, N., 2018. The Dark Side of China’s Solar Boom - The sun’s shining on the world’s largest solar industry, but experts warn that there could be problems brewing on the horizon. https://www.sixthtone.com/news/1002631/the-dark-side-of-chinas-solar-boom- (accessed 25/01/2023).</t>
  </si>
  <si>
    <t>Bian, Y., Guo, S., Jiang, L., Tang, K., Ding, W., 2015. Extraction of Rare Earth Elements from Permanent Magnet Scraps by FeO–B2O3 Flux Treatment. Journal of Sustainable Metallurgy. 1 (2), 151-60. 10.1007/s40831-015-0009-5.</t>
  </si>
  <si>
    <t>BJMT/Ideal, 2014. Samarium Cobalt vs Neodymium Magnets. https://idealmagnetsolutions.com/knowledge-base/samarium-cobalt-vs-neodymium-magnets/ (accessed 09/01/2023).</t>
  </si>
  <si>
    <t>Borates Today, 2021. Boron in Solar Panels. https://borates.today/boron-in-solar-panels/ (accessed 25/01/2023).</t>
  </si>
  <si>
    <t>Cerdas Marin, J.F., Titscher, P., von Drachenfels, N., Schmuch, R., Winter, M., Kwade, A., Herrmann, C., 2018. Exploring the Effect of Increased Energy Density on the Environmental Impacts of Traction Batteries: A Comparison of Energy Optimized Lithium-Ion and Lithium-Sulfur Batteries for Mobility Applications. Energies. 11, 150. https://doi.org/10.3390/en11010150.</t>
  </si>
  <si>
    <t>Chawla, K.K., 2001. Glass Fibers, in K.H.J. Buschow, et al. (eds.), Encyclopedia of Materials: Science and Technology, Elsevier, Oxford, Number of 3541-45. https://doi.org/10.1016/B0-08-043152-6/00630-6.</t>
  </si>
  <si>
    <t>Cheng, J., Wang, Z., Lu, C., Zhang, J., Bi, S., Feng, Q., 2020. Control Rod Drop Hydrodynamic Analysis Based on Numerical Simulation. Frontiers in Energy Research. 8. 10.3389/fenrg.2020.601067.</t>
  </si>
  <si>
    <t>Diekmann, J., Hanisch, C., Froböse, L., Schälicke, G., Loellhoeffel, T., Fölster, A.-S., Kwade, A., 2016. Ecological Recycling of Lithium-Ion Batteries from Electric Vehicles with Focus on Mechanical Processes. Journal of The Electrochemical Society. 164 (1), A6184-A91. https://doi.org/10.1149/2.0271701jes.</t>
  </si>
  <si>
    <t>Farrell, K., 2012. 5.07 - Performance of Aluminum in Research Reactors, in R.J.M. Konings (ed.), Comprehensive Nuclear Materials, Elsevier, Oxford, Number of 143-75. https://doi.org/10.1016/B978-0-08-056033-5.00113-0.</t>
  </si>
  <si>
    <t xml:space="preserve">Flury, K., Frischknecht, R., 2012. Life Cycle Inventories of Hydroelectric Power Generation, in ESU-services (ed.). </t>
  </si>
  <si>
    <t>Frias, C., Ocaña, N., Diaz, G., Piper, T., Bulkowski, B., Chmielarz, A., Claisse, P.A., Hemmings, S., Abrantes, L., Jansen, H., van Erkel, J., Franken, T., Kunicky, Z., Velea, T., 2006. A clean-lead factory is available for lead-acid batteries recycling by means of the "cleanlead process". http://www.proceedings.com/00400.html.</t>
  </si>
  <si>
    <t>Frischknecht, R., Stolz, P., Krebs, L., de Wild-Scholten, M., Sinha, P., 2020. Life Cycle Inventories and Life Cycle Assessments of Photovoltaic Systems 2020 Task 12 PV Sustainability. 10.13140/RG.2.2.17977.19041.</t>
  </si>
  <si>
    <t xml:space="preserve">Gaines, L., Sullivan, J., Burnham, A., 2011. Paper No. 11-3891 Life-Cycle Analysis for Lithium-Ion Battery Production and Recycling. Transportation Research Board 90th Annual Meeting, Washington, DC. </t>
  </si>
  <si>
    <t>Gustavsson, R., Isaksson, E., 2021. Measurement of loads acting on a hydropower unit during stationary and transient operations. Applications in Engineering Science. 7, 100063. https://doi.org/10.1016/j.apples.2021.100063.</t>
  </si>
  <si>
    <t>Harper, B., Gervais, J.A., Buhl, K., Stone, D., 2012. Boric Acid Technical Fact Sheet. http://npic.orst.edu/factsheets/archive/borictech.html (accessed 22/01/2023).</t>
  </si>
  <si>
    <t>IspatGuru, 2020. Vanadium in Steels. https://www.ispatguru.com/vanadium-in-steels/ (accessed 22/01/2023).</t>
  </si>
  <si>
    <t>Jiménez-Lugos, J.C., Sánchez-Alvarado, R.G., Cruz, A., Romero-Serrano, J.A., Hernandez, A., Rivera-Salinas, J.E., 2022. Antimony recovery from recycled terminals of lead-acid batteries with Na2CO3 and SiC after the formation of Sb2O3. Journal of Mining and Metallurgy Section B Metallurgy. 58, 97-108. 10.2298/JMMB210616052J.</t>
  </si>
  <si>
    <t xml:space="preserve">Knudson, T., 2008. A Qualitative Overview of the Use of Beryllium, Beryllium-Containing Alloys and Beryllium oxide Ceramic in Electrical and Electronic Equipment (EEE), in European Commission (ed.). </t>
  </si>
  <si>
    <t>Kodikara, N., De Silva, I., 2018. Study of the Effects of Magnesium Content on the Mechanical Properties of Aluminium 6063 Extrudates. Engineer: Journal of the Institution of Engineers, Sri Lanka. 51, 1. 10.4038/engineer.v51i2.7289.</t>
  </si>
  <si>
    <t>Kotsar, M., Lavrikov, S., Nikonov, V., Aleksandrov, A., Akhtonov, S., 2011. High-purity titanium, zirconium, and hafnium in nuclear power. Atomic Energy. 111. 10.1007/s10512-011-9459-4.</t>
  </si>
  <si>
    <t>Latunussa, C., Mancini, L., Blengini, G., Ardente, F., Pennington, D., 2016. Analysis of Material Recovery from Silicon Photovoltaic Panels. 10.2788/786252.</t>
  </si>
  <si>
    <t>Li, K., Qian, L., Li, X., Ma, Y., Zhou, W., 2021. BeO Utilization in Reactors for the Improvement of Extreme Reactor Environments - A Review. Frontiers in Energy Research. 9. 10.3389/fenrg.2021.669832.</t>
  </si>
  <si>
    <t>Liu, P., Barlow, C., 2016. The environmental impact of wind turbine blades. IOP Conference Series: Materials Science and Engineering. 139, 012032. 10.1088/1757-899X/139/1/012032.</t>
  </si>
  <si>
    <t>Liu, T., Qiu, K., 2018. Removing antimony from waste lead storage batteries alloy by vacuum displacement reaction technology. J Hazard Mater. 347, 334-40. 10.1016/j.jhazmat.2018.01.017.</t>
  </si>
  <si>
    <t xml:space="preserve">Mcveigh, J.C., 2001. Wind Turbine - Materials and Manufacturing Fact Sheet. </t>
  </si>
  <si>
    <t xml:space="preserve">Mehdi, D., Sharma, S., Anas, M., Sharma, N., 2015. The Influences of Variation of Copper Content on the Mechanical Properties of Aluminium Alloy. 03, 74-86. </t>
  </si>
  <si>
    <t>Mone, C., Hand, M., Bolinger, M., Rand, J., Heimiller, D., Ho, J., 2017. 2015 Cost of Wind Energy Review, (United States), Medium: ED; Size: 3.2 MB. 10.2172/1351062.</t>
  </si>
  <si>
    <t>Moravej, M., 2019. Borates in Glass Manufacturing: Unbreakable Benefits, Unbeatable Versatility. https://www.borax.com/news-events/october-2019/borates-in-glass-manufacturing (accessed 22/01/2023).</t>
  </si>
  <si>
    <t>Nancharaiah, Y.V., Mohan, S.V., Lens, P.N.L., 2016. Biological and Bioelectrochemical Recovery of Critical and Scarce Metals. Trends in Biotechnology. 34 (2), 137-55. https://doi.org/10.1016/j.tibtech.2015.11.003.</t>
  </si>
  <si>
    <t>Next Source materials, 2017. About Vanadium. https://www.nextsourcematerials.com/vanadium/about-vanadium/ (accessed 22/01/2023).</t>
  </si>
  <si>
    <t>Pagliaro, M., Meneguzzo, F., 2019. Lithium battery reusing and recycling: A circular economy insight. Heliyon. 5 (6), e01866. https://doi.org/10.1016/j.heliyon.2019.e01866.</t>
  </si>
  <si>
    <t xml:space="preserve">Schubert, D., 2020. The Role of Borates in the European Green Deal and Digital Transformation. 1-8. </t>
  </si>
  <si>
    <t xml:space="preserve">UNEP, 2011. Recycling Rates of Metals A Status Report. </t>
  </si>
  <si>
    <t>Vijayakumar, M.D., Dhinakaran, V., Sathish, T., Muthu, G., ram, P.M.B., 2021. Experimental study of chemical composition of aluminium alloys. Materials Today: Proceedings. 37, 1790-93. https://doi.org/10.1016/j.matpr.2020.07.391.</t>
  </si>
  <si>
    <t>Wealth Daily, 2023. Special Report: Solar Technology. https://www.wealthdaily.com/report/solar-technology/1409 (accessed 25/01/2023).</t>
  </si>
  <si>
    <t xml:space="preserve">Wedum, S.C., 2015. Rotor Design of Permanent Magnet Synchronous Machine for Pumped-storage Plant. NTNU -Trondheim. </t>
  </si>
  <si>
    <t>World Nuclear Association, 2022. Uranium Enrichment. https://world-nuclear.org/information-library/nuclear-fuel-cycle/conversion-enrichment-and-fabrication/uranium-enrichment.aspx (accessed 26/01/2023).</t>
  </si>
  <si>
    <t>World Nuclear Association, 2023. How does a nuclear reactor work? https://world-nuclear.org/nuclear-essentials/how-does-a-nuclear-reactor-work.aspx (accessed 25/01/2023).</t>
  </si>
  <si>
    <t>Nearly all offshore wind turbines worldwide currently use permanent magnets according to European Commission et al. (2020). The same design is assumed for onshore and offshore wind turbines. It is assumed that the generator used for wind turbines has a similar material composition as the generator used for hydropower plants.</t>
  </si>
  <si>
    <t>European Commission, J.R.C., Alves Dias, P., Bobba, S., Carrara, S., Plazzotta, B., 2020. The role of rare earth elements in wind energy and electric mobility : an analysis of future supply/demand balances, Publications Office. doi/10.2760/303258.</t>
  </si>
  <si>
    <t>It is assumed that 50% carbon fibers and 50% glass fibers are used in the rotor blades.</t>
  </si>
  <si>
    <t>It is assumed that all considered generators have a similar composition as the generators used for pumped-storage plants that are described by Wedum (2015).</t>
  </si>
  <si>
    <t xml:space="preserve">The source states that the weight of the cells make between 60 and 65% of the LIB weight. It is assumed that the ratio between the weight of the battery cell and the entire battery pack are equal to the one described by Cerdas Marin et al. (2018). </t>
  </si>
  <si>
    <t>It is assumed that the turbines used in pump storage technologies described by Wedum (2015) are similar to the turbines used for hydropower plants. The weight% of the rotor to the turbine is estimated following Gustavsson and Isaksson (2021).</t>
  </si>
  <si>
    <t>The copper-beryllium alloys used in the solar panels consists of 2% beryllium according to Knudson (2008).</t>
  </si>
  <si>
    <t>Borates are only used in silicon-based semiconductors according to Borates Today (2021).</t>
  </si>
  <si>
    <t>Boric oxide amount used for glass manufacturing is determined following Moravej (2019). The content of boric oxide in borates is determined based on Harper et al. (2012).</t>
  </si>
  <si>
    <t>Cobalt content of lithium-ion batteries is determined based on Pagliaro and Meneguzzo (2019). Accordingly, Nancharaiah et al. (2016) states that the cobalt content of a Li-ion battery ranges between 5 and 20 wt%.</t>
  </si>
  <si>
    <t>Over 30% of Rare Earth elements are used in magnets according to Bian et al. (2015)</t>
  </si>
  <si>
    <t>The amount of vanadium to lithium is used in a LIB by 1:1 ratio according to Next Source materials (2017).</t>
  </si>
  <si>
    <t>Following UNEP (2011), it is assumed that 17.5% of the beryllium powders are produced from end-of-life products.</t>
  </si>
  <si>
    <t>Following UNEP (2011), it is assumed that 37.5% of the used Gallium is produced from end-of-life products.</t>
  </si>
  <si>
    <t>Following UNEP (2011), it is assumed that 37.5% of the used Indium is produced from end-of-life products.</t>
  </si>
  <si>
    <t>Following UNEP (2011), it is assumed that 5% of the REE are produced from end-of-life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</si>
</sst>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64" formatCode="0.0%"/>
    <numFmt numFmtId="165" formatCode="0.0000%"/>
    <numFmt numFmtId="166" formatCode="0.000%"/>
    <numFmt numFmtId="167" formatCode="_ * #,##0_ ;_ * \-#,##0_ ;_ * &quot;-&quot;??_ ;_ @_ "/>
  </numFmts>
  <fonts count="6" x14ac:knownFonts="1">
    <font>
      <sz val="10"/>
      <color theme="1"/>
      <name val="Segoe UI"/>
      <family val="2"/>
    </font>
    <font>
      <sz val="10"/>
      <color theme="1"/>
      <name val="Segoe UI"/>
      <family val="2"/>
    </font>
    <font>
      <b/>
      <sz val="10"/>
      <color theme="1"/>
      <name val="Segoe UI"/>
      <family val="2"/>
    </font>
    <font>
      <u/>
      <sz val="10"/>
      <color theme="10"/>
      <name val="Segoe UI"/>
      <family val="2"/>
    </font>
    <font>
      <sz val="10"/>
      <name val="Segoe UI"/>
      <family val="2"/>
    </font>
    <font>
      <sz val="11"/>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34">
    <xf numFmtId="0" fontId="0" fillId="0" borderId="0" xfId="0"/>
    <xf numFmtId="0" fontId="2" fillId="0" borderId="0" xfId="0" applyFont="1" applyAlignment="1">
      <alignment wrapText="1"/>
    </xf>
    <xf numFmtId="0" fontId="0" fillId="0" borderId="0" xfId="0" applyAlignment="1">
      <alignment wrapText="1"/>
    </xf>
    <xf numFmtId="0" fontId="0" fillId="0" borderId="0" xfId="0" applyFont="1"/>
    <xf numFmtId="10" fontId="0" fillId="0" borderId="0" xfId="1" applyNumberFormat="1" applyFont="1"/>
    <xf numFmtId="10" fontId="0" fillId="0" borderId="0" xfId="0" applyNumberFormat="1"/>
    <xf numFmtId="9" fontId="0" fillId="0" borderId="0" xfId="0" applyNumberFormat="1"/>
    <xf numFmtId="0" fontId="0" fillId="0" borderId="0" xfId="0" applyFont="1" applyFill="1" applyBorder="1" applyAlignment="1">
      <alignment wrapText="1"/>
    </xf>
    <xf numFmtId="0" fontId="0" fillId="0" borderId="0" xfId="0" applyFont="1" applyAlignment="1">
      <alignment wrapText="1"/>
    </xf>
    <xf numFmtId="0" fontId="0" fillId="0" borderId="0" xfId="0" applyFont="1" applyFill="1" applyAlignment="1">
      <alignment horizontal="center" wrapText="1"/>
    </xf>
    <xf numFmtId="164" fontId="0" fillId="0" borderId="0" xfId="1" applyNumberFormat="1" applyFont="1" applyFill="1" applyAlignment="1">
      <alignment horizontal="right" wrapText="1"/>
    </xf>
    <xf numFmtId="10" fontId="0" fillId="0" borderId="0" xfId="1" applyNumberFormat="1" applyFont="1" applyFill="1" applyAlignment="1">
      <alignment horizontal="right" wrapText="1"/>
    </xf>
    <xf numFmtId="165" fontId="0" fillId="0" borderId="0" xfId="1" applyNumberFormat="1" applyFont="1"/>
    <xf numFmtId="0" fontId="0" fillId="0" borderId="0" xfId="0" applyFill="1"/>
    <xf numFmtId="0" fontId="0" fillId="0" borderId="0" xfId="0" applyFont="1" applyFill="1" applyAlignment="1">
      <alignment horizontal="left"/>
    </xf>
    <xf numFmtId="0" fontId="0" fillId="0" borderId="0" xfId="0" applyFont="1" applyFill="1" applyAlignment="1">
      <alignment horizontal="left" wrapText="1"/>
    </xf>
    <xf numFmtId="0" fontId="4" fillId="0" borderId="0" xfId="2" applyFont="1"/>
    <xf numFmtId="10" fontId="0" fillId="0" borderId="0" xfId="0" applyNumberFormat="1" applyFont="1"/>
    <xf numFmtId="0" fontId="0" fillId="0" borderId="0" xfId="0" applyFont="1" applyFill="1" applyBorder="1"/>
    <xf numFmtId="0" fontId="0" fillId="0" borderId="0" xfId="0" applyAlignment="1">
      <alignment vertical="center"/>
    </xf>
    <xf numFmtId="9" fontId="0" fillId="0" borderId="0" xfId="0" applyNumberFormat="1" applyFont="1"/>
    <xf numFmtId="0" fontId="0" fillId="0" borderId="0" xfId="3" applyNumberFormat="1" applyFont="1" applyAlignment="1"/>
    <xf numFmtId="10" fontId="4" fillId="0" borderId="0" xfId="2" applyNumberFormat="1" applyFont="1" applyAlignment="1" applyProtection="1"/>
    <xf numFmtId="9" fontId="0" fillId="0" borderId="0" xfId="1" applyFont="1"/>
    <xf numFmtId="1" fontId="2" fillId="0" borderId="0" xfId="0" applyNumberFormat="1" applyFont="1" applyAlignment="1">
      <alignment wrapText="1"/>
    </xf>
    <xf numFmtId="166" fontId="0" fillId="0" borderId="0" xfId="0" applyNumberFormat="1" applyFont="1"/>
    <xf numFmtId="1" fontId="0" fillId="0" borderId="0" xfId="0" applyNumberFormat="1"/>
    <xf numFmtId="165" fontId="0" fillId="0" borderId="0" xfId="1" applyNumberFormat="1" applyFont="1" applyFill="1" applyAlignment="1">
      <alignment horizontal="right" wrapText="1"/>
    </xf>
    <xf numFmtId="167" fontId="0" fillId="0" borderId="0" xfId="3" applyNumberFormat="1" applyFont="1"/>
    <xf numFmtId="0" fontId="5" fillId="0" borderId="0" xfId="2" applyFont="1" applyAlignment="1" applyProtection="1"/>
    <xf numFmtId="0" fontId="4" fillId="0" borderId="0" xfId="2" applyFont="1" applyAlignment="1">
      <alignment vertical="center"/>
    </xf>
    <xf numFmtId="0" fontId="2" fillId="0" borderId="0" xfId="0" applyFont="1" applyFill="1" applyBorder="1" applyAlignment="1">
      <alignment wrapText="1"/>
    </xf>
    <xf numFmtId="0" fontId="0" fillId="2" borderId="0" xfId="0" applyFont="1" applyFill="1" applyAlignment="1">
      <alignment horizontal="center" wrapText="1"/>
    </xf>
    <xf numFmtId="0" fontId="0" fillId="0" borderId="0" xfId="0" applyAlignment="1">
      <alignment vertical="center" wrapText="1"/>
    </xf>
  </cellXfs>
  <cellStyles count="4">
    <cellStyle name="Komma" xfId="3" builtinId="3"/>
    <cellStyle name="Link" xfId="2" builtinId="8"/>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SoPa_CH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WiTu_CH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NuPow_CH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HyPow_CH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ACGe_CH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LIB_CH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PbAcB_CH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0</v>
          </cell>
          <cell r="E2">
            <v>0</v>
          </cell>
          <cell r="F2">
            <v>0</v>
          </cell>
          <cell r="G2">
            <v>0</v>
          </cell>
          <cell r="H2">
            <v>690</v>
          </cell>
          <cell r="I2">
            <v>0</v>
          </cell>
          <cell r="J2">
            <v>0</v>
          </cell>
          <cell r="K2">
            <v>0</v>
          </cell>
          <cell r="L2">
            <v>0</v>
          </cell>
          <cell r="M2">
            <v>58</v>
          </cell>
          <cell r="N2">
            <v>1609539</v>
          </cell>
          <cell r="O2">
            <v>0</v>
          </cell>
          <cell r="P2">
            <v>15</v>
          </cell>
          <cell r="Q2">
            <v>0</v>
          </cell>
          <cell r="R2">
            <v>0</v>
          </cell>
          <cell r="S2">
            <v>0</v>
          </cell>
          <cell r="T2">
            <v>372395</v>
          </cell>
          <cell r="U2">
            <v>0</v>
          </cell>
          <cell r="V2">
            <v>0</v>
          </cell>
          <cell r="W2">
            <v>0</v>
          </cell>
          <cell r="X2">
            <v>34</v>
          </cell>
          <cell r="Y2">
            <v>0</v>
          </cell>
          <cell r="Z2">
            <v>0</v>
          </cell>
          <cell r="AA2">
            <v>5</v>
          </cell>
          <cell r="AB2">
            <v>0</v>
          </cell>
          <cell r="AC2">
            <v>0</v>
          </cell>
          <cell r="AD2">
            <v>0</v>
          </cell>
          <cell r="AE2">
            <v>0</v>
          </cell>
          <cell r="AF2">
            <v>0</v>
          </cell>
          <cell r="AG2">
            <v>0</v>
          </cell>
          <cell r="AH2">
            <v>3</v>
          </cell>
          <cell r="AI2">
            <v>0</v>
          </cell>
          <cell r="AJ2">
            <v>0</v>
          </cell>
          <cell r="AK2">
            <v>1</v>
          </cell>
          <cell r="AL2">
            <v>0</v>
          </cell>
          <cell r="AM2">
            <v>0</v>
          </cell>
          <cell r="AN2">
            <v>2105</v>
          </cell>
          <cell r="AO2">
            <v>0</v>
          </cell>
          <cell r="AP2">
            <v>0</v>
          </cell>
          <cell r="AQ2">
            <v>0</v>
          </cell>
          <cell r="AR2">
            <v>34742</v>
          </cell>
          <cell r="AS2">
            <v>0</v>
          </cell>
          <cell r="AT2">
            <v>0</v>
          </cell>
          <cell r="AU2">
            <v>13341912</v>
          </cell>
          <cell r="AV2">
            <v>0</v>
          </cell>
          <cell r="AW2">
            <v>0</v>
          </cell>
          <cell r="AX2">
            <v>0</v>
          </cell>
          <cell r="AY2">
            <v>0</v>
          </cell>
          <cell r="AZ2">
            <v>0</v>
          </cell>
          <cell r="BA2">
            <v>0</v>
          </cell>
          <cell r="BB2">
            <v>0</v>
          </cell>
          <cell r="BC2">
            <v>0</v>
          </cell>
          <cell r="BD2">
            <v>0</v>
          </cell>
          <cell r="BE2">
            <v>31525</v>
          </cell>
          <cell r="BF2">
            <v>0</v>
          </cell>
          <cell r="BG2">
            <v>3</v>
          </cell>
          <cell r="BH2">
            <v>3938</v>
          </cell>
          <cell r="BI2">
            <v>0</v>
          </cell>
          <cell r="BJ2">
            <v>834</v>
          </cell>
          <cell r="BK2">
            <v>0</v>
          </cell>
          <cell r="BL2">
            <v>9</v>
          </cell>
          <cell r="BM2">
            <v>1347</v>
          </cell>
          <cell r="BN2">
            <v>0</v>
          </cell>
          <cell r="BO2">
            <v>0</v>
          </cell>
          <cell r="BP2">
            <v>0</v>
          </cell>
          <cell r="BQ2">
            <v>0</v>
          </cell>
          <cell r="BR2">
            <v>115</v>
          </cell>
          <cell r="BS2">
            <v>0</v>
          </cell>
          <cell r="BT2">
            <v>0</v>
          </cell>
          <cell r="BU2">
            <v>0</v>
          </cell>
          <cell r="BV2">
            <v>0</v>
          </cell>
          <cell r="BW2">
            <v>554</v>
          </cell>
          <cell r="BX2">
            <v>1245227</v>
          </cell>
          <cell r="BY2">
            <v>0</v>
          </cell>
          <cell r="BZ2">
            <v>0</v>
          </cell>
          <cell r="CA2">
            <v>0</v>
          </cell>
          <cell r="CB2">
            <v>0</v>
          </cell>
          <cell r="CC2">
            <v>0</v>
          </cell>
          <cell r="CD2">
            <v>0</v>
          </cell>
          <cell r="CE2">
            <v>0</v>
          </cell>
          <cell r="CF2">
            <v>5540147</v>
          </cell>
          <cell r="CG2">
            <v>0</v>
          </cell>
          <cell r="CH2">
            <v>0</v>
          </cell>
          <cell r="CI2">
            <v>0</v>
          </cell>
          <cell r="CJ2">
            <v>313</v>
          </cell>
          <cell r="CK2">
            <v>0</v>
          </cell>
          <cell r="CL2">
            <v>0</v>
          </cell>
          <cell r="CM2">
            <v>0</v>
          </cell>
          <cell r="CN2">
            <v>0</v>
          </cell>
          <cell r="CO2">
            <v>1</v>
          </cell>
          <cell r="CP2">
            <v>0</v>
          </cell>
          <cell r="CQ2">
            <v>0</v>
          </cell>
          <cell r="CR2">
            <v>0</v>
          </cell>
          <cell r="CS2">
            <v>0</v>
          </cell>
          <cell r="CT2">
            <v>0</v>
          </cell>
          <cell r="CU2">
            <v>0</v>
          </cell>
          <cell r="CV2">
            <v>1205</v>
          </cell>
          <cell r="CW2">
            <v>0</v>
          </cell>
          <cell r="CX2">
            <v>595</v>
          </cell>
          <cell r="CY2">
            <v>0</v>
          </cell>
          <cell r="CZ2">
            <v>0</v>
          </cell>
          <cell r="DA2">
            <v>7973</v>
          </cell>
          <cell r="DB2">
            <v>79</v>
          </cell>
          <cell r="DC2">
            <v>712677</v>
          </cell>
          <cell r="DD2">
            <v>0</v>
          </cell>
          <cell r="DE2">
            <v>0</v>
          </cell>
          <cell r="DF2">
            <v>0</v>
          </cell>
          <cell r="DG2">
            <v>0</v>
          </cell>
          <cell r="DH2">
            <v>0</v>
          </cell>
          <cell r="DI2">
            <v>0</v>
          </cell>
          <cell r="DJ2">
            <v>0</v>
          </cell>
          <cell r="DK2">
            <v>310292</v>
          </cell>
          <cell r="DL2">
            <v>0</v>
          </cell>
          <cell r="DM2">
            <v>0</v>
          </cell>
          <cell r="DN2">
            <v>0</v>
          </cell>
          <cell r="DO2">
            <v>0</v>
          </cell>
          <cell r="DP2">
            <v>0</v>
          </cell>
          <cell r="DQ2">
            <v>294</v>
          </cell>
          <cell r="DR2">
            <v>0</v>
          </cell>
          <cell r="DS2">
            <v>0</v>
          </cell>
          <cell r="DT2">
            <v>25710</v>
          </cell>
          <cell r="DU2">
            <v>894</v>
          </cell>
          <cell r="DV2">
            <v>6</v>
          </cell>
          <cell r="DW2">
            <v>0</v>
          </cell>
          <cell r="DX2">
            <v>0</v>
          </cell>
          <cell r="DY2">
            <v>25683</v>
          </cell>
          <cell r="DZ2">
            <v>0</v>
          </cell>
          <cell r="EA2">
            <v>0</v>
          </cell>
          <cell r="EB2">
            <v>88</v>
          </cell>
          <cell r="EC2">
            <v>0</v>
          </cell>
          <cell r="ED2">
            <v>3</v>
          </cell>
          <cell r="EE2">
            <v>4869</v>
          </cell>
          <cell r="EF2">
            <v>0</v>
          </cell>
          <cell r="EG2">
            <v>0</v>
          </cell>
          <cell r="EH2">
            <v>0</v>
          </cell>
          <cell r="EI2">
            <v>0</v>
          </cell>
          <cell r="EJ2">
            <v>83</v>
          </cell>
          <cell r="EK2">
            <v>0</v>
          </cell>
          <cell r="EL2">
            <v>1</v>
          </cell>
          <cell r="EM2">
            <v>0</v>
          </cell>
          <cell r="EN2">
            <v>0</v>
          </cell>
          <cell r="EO2">
            <v>0</v>
          </cell>
          <cell r="EP2">
            <v>4821974</v>
          </cell>
          <cell r="EQ2">
            <v>0</v>
          </cell>
          <cell r="ER2">
            <v>0</v>
          </cell>
          <cell r="ES2">
            <v>0</v>
          </cell>
          <cell r="ET2">
            <v>0</v>
          </cell>
          <cell r="EU2">
            <v>0</v>
          </cell>
          <cell r="EV2">
            <v>0</v>
          </cell>
          <cell r="EW2">
            <v>11</v>
          </cell>
          <cell r="EX2">
            <v>0</v>
          </cell>
          <cell r="EY2">
            <v>0</v>
          </cell>
          <cell r="EZ2">
            <v>0</v>
          </cell>
          <cell r="FA2">
            <v>0</v>
          </cell>
          <cell r="FB2">
            <v>0</v>
          </cell>
          <cell r="FC2">
            <v>188</v>
          </cell>
          <cell r="FD2">
            <v>0</v>
          </cell>
          <cell r="FE2">
            <v>0</v>
          </cell>
          <cell r="FF2">
            <v>0</v>
          </cell>
          <cell r="FG2">
            <v>0</v>
          </cell>
          <cell r="FH2">
            <v>0</v>
          </cell>
          <cell r="FI2">
            <v>0</v>
          </cell>
          <cell r="FJ2">
            <v>0</v>
          </cell>
          <cell r="FK2">
            <v>0</v>
          </cell>
          <cell r="FL2">
            <v>0</v>
          </cell>
          <cell r="FM2">
            <v>0</v>
          </cell>
          <cell r="FN2">
            <v>301870</v>
          </cell>
          <cell r="FO2">
            <v>0</v>
          </cell>
          <cell r="FP2">
            <v>16655</v>
          </cell>
          <cell r="FQ2">
            <v>766</v>
          </cell>
          <cell r="FR2">
            <v>0</v>
          </cell>
          <cell r="FS2">
            <v>0</v>
          </cell>
          <cell r="FT2">
            <v>0</v>
          </cell>
          <cell r="FU2">
            <v>389</v>
          </cell>
          <cell r="FV2">
            <v>156</v>
          </cell>
          <cell r="FW2">
            <v>0</v>
          </cell>
          <cell r="FX2">
            <v>0</v>
          </cell>
          <cell r="FY2">
            <v>0</v>
          </cell>
          <cell r="FZ2">
            <v>0</v>
          </cell>
          <cell r="GA2">
            <v>0</v>
          </cell>
          <cell r="GB2">
            <v>0</v>
          </cell>
          <cell r="GC2">
            <v>0</v>
          </cell>
          <cell r="GD2">
            <v>0</v>
          </cell>
          <cell r="GE2">
            <v>0</v>
          </cell>
          <cell r="GF2">
            <v>0</v>
          </cell>
          <cell r="GG2">
            <v>13</v>
          </cell>
          <cell r="GH2">
            <v>0</v>
          </cell>
          <cell r="GI2">
            <v>380</v>
          </cell>
          <cell r="GJ2">
            <v>0</v>
          </cell>
          <cell r="GK2">
            <v>0</v>
          </cell>
          <cell r="GL2">
            <v>2038</v>
          </cell>
          <cell r="GM2">
            <v>37308</v>
          </cell>
          <cell r="GN2">
            <v>514</v>
          </cell>
          <cell r="GO2">
            <v>113822</v>
          </cell>
          <cell r="GP2">
            <v>296061</v>
          </cell>
          <cell r="GQ2">
            <v>0</v>
          </cell>
          <cell r="GR2">
            <v>143</v>
          </cell>
          <cell r="GS2">
            <v>0</v>
          </cell>
          <cell r="GT2">
            <v>230814</v>
          </cell>
          <cell r="GU2">
            <v>0</v>
          </cell>
          <cell r="GV2">
            <v>0</v>
          </cell>
          <cell r="GW2">
            <v>0</v>
          </cell>
          <cell r="GX2">
            <v>0</v>
          </cell>
          <cell r="GY2">
            <v>25</v>
          </cell>
          <cell r="GZ2">
            <v>1295</v>
          </cell>
          <cell r="HA2">
            <v>0</v>
          </cell>
          <cell r="HB2">
            <v>0</v>
          </cell>
          <cell r="HC2">
            <v>22</v>
          </cell>
          <cell r="HD2">
            <v>3024</v>
          </cell>
          <cell r="HE2">
            <v>0</v>
          </cell>
          <cell r="HF2">
            <v>0</v>
          </cell>
          <cell r="HG2">
            <v>0</v>
          </cell>
          <cell r="HH2">
            <v>0</v>
          </cell>
          <cell r="HI2">
            <v>2054</v>
          </cell>
          <cell r="HJ2">
            <v>135</v>
          </cell>
          <cell r="HK2">
            <v>44032</v>
          </cell>
          <cell r="HL2">
            <v>0</v>
          </cell>
          <cell r="HM2">
            <v>0</v>
          </cell>
          <cell r="HN2">
            <v>0</v>
          </cell>
          <cell r="HO2">
            <v>0</v>
          </cell>
          <cell r="HP2">
            <v>1269</v>
          </cell>
          <cell r="HQ2">
            <v>2</v>
          </cell>
          <cell r="HR2">
            <v>0</v>
          </cell>
          <cell r="HS2">
            <v>18500</v>
          </cell>
          <cell r="HT2">
            <v>0</v>
          </cell>
          <cell r="HU2">
            <v>0</v>
          </cell>
          <cell r="HV2">
            <v>0</v>
          </cell>
          <cell r="HW2">
            <v>0</v>
          </cell>
          <cell r="HX2">
            <v>0</v>
          </cell>
          <cell r="HY2">
            <v>0</v>
          </cell>
          <cell r="HZ2">
            <v>0</v>
          </cell>
          <cell r="IA2">
            <v>0</v>
          </cell>
          <cell r="IB2">
            <v>0</v>
          </cell>
          <cell r="IC2">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0</v>
          </cell>
          <cell r="E2">
            <v>0</v>
          </cell>
          <cell r="F2">
            <v>0</v>
          </cell>
          <cell r="G2">
            <v>0</v>
          </cell>
          <cell r="H2">
            <v>0</v>
          </cell>
          <cell r="I2">
            <v>0</v>
          </cell>
          <cell r="J2">
            <v>0</v>
          </cell>
          <cell r="K2">
            <v>0</v>
          </cell>
          <cell r="L2">
            <v>0</v>
          </cell>
          <cell r="M2">
            <v>0</v>
          </cell>
          <cell r="N2">
            <v>2646.6</v>
          </cell>
          <cell r="O2">
            <v>0</v>
          </cell>
          <cell r="P2">
            <v>0</v>
          </cell>
          <cell r="Q2">
            <v>0</v>
          </cell>
          <cell r="R2">
            <v>0</v>
          </cell>
          <cell r="S2">
            <v>0</v>
          </cell>
          <cell r="T2">
            <v>33.299999999999997</v>
          </cell>
          <cell r="U2">
            <v>0</v>
          </cell>
          <cell r="V2">
            <v>0</v>
          </cell>
          <cell r="W2">
            <v>0</v>
          </cell>
          <cell r="X2">
            <v>7.8</v>
          </cell>
          <cell r="Y2">
            <v>0</v>
          </cell>
          <cell r="Z2">
            <v>0</v>
          </cell>
          <cell r="AA2">
            <v>0</v>
          </cell>
          <cell r="AB2">
            <v>0</v>
          </cell>
          <cell r="AC2">
            <v>0</v>
          </cell>
          <cell r="AD2">
            <v>0</v>
          </cell>
          <cell r="AE2">
            <v>0</v>
          </cell>
          <cell r="AF2">
            <v>0</v>
          </cell>
          <cell r="AG2">
            <v>0</v>
          </cell>
          <cell r="AH2">
            <v>16</v>
          </cell>
          <cell r="AI2">
            <v>0</v>
          </cell>
          <cell r="AJ2">
            <v>0</v>
          </cell>
          <cell r="AK2">
            <v>0</v>
          </cell>
          <cell r="AL2">
            <v>0</v>
          </cell>
          <cell r="AM2">
            <v>0</v>
          </cell>
          <cell r="AN2">
            <v>0</v>
          </cell>
          <cell r="AO2">
            <v>0</v>
          </cell>
          <cell r="AP2">
            <v>0</v>
          </cell>
          <cell r="AQ2">
            <v>0</v>
          </cell>
          <cell r="AR2">
            <v>0</v>
          </cell>
          <cell r="AS2">
            <v>0</v>
          </cell>
          <cell r="AT2">
            <v>0</v>
          </cell>
          <cell r="AU2">
            <v>1761.4</v>
          </cell>
          <cell r="AV2">
            <v>0</v>
          </cell>
          <cell r="AW2">
            <v>0</v>
          </cell>
          <cell r="AX2">
            <v>0</v>
          </cell>
          <cell r="AY2">
            <v>0</v>
          </cell>
          <cell r="AZ2">
            <v>0</v>
          </cell>
          <cell r="BA2">
            <v>0</v>
          </cell>
          <cell r="BB2">
            <v>0</v>
          </cell>
          <cell r="BC2">
            <v>0</v>
          </cell>
          <cell r="BD2">
            <v>0</v>
          </cell>
          <cell r="BE2">
            <v>0.3</v>
          </cell>
          <cell r="BF2">
            <v>0</v>
          </cell>
          <cell r="BG2">
            <v>0</v>
          </cell>
          <cell r="BH2">
            <v>3.6</v>
          </cell>
          <cell r="BI2">
            <v>0</v>
          </cell>
          <cell r="BJ2">
            <v>18.899999999999999</v>
          </cell>
          <cell r="BK2">
            <v>0</v>
          </cell>
          <cell r="BL2">
            <v>0</v>
          </cell>
          <cell r="BM2">
            <v>0</v>
          </cell>
          <cell r="BN2">
            <v>0</v>
          </cell>
          <cell r="BO2">
            <v>0</v>
          </cell>
          <cell r="BP2">
            <v>0</v>
          </cell>
          <cell r="BQ2">
            <v>0</v>
          </cell>
          <cell r="BR2">
            <v>0</v>
          </cell>
          <cell r="BS2">
            <v>0</v>
          </cell>
          <cell r="BT2">
            <v>0</v>
          </cell>
          <cell r="BU2">
            <v>0</v>
          </cell>
          <cell r="BV2">
            <v>0</v>
          </cell>
          <cell r="BW2">
            <v>1.5</v>
          </cell>
          <cell r="BX2">
            <v>1977.3</v>
          </cell>
          <cell r="BY2">
            <v>0</v>
          </cell>
          <cell r="BZ2">
            <v>0</v>
          </cell>
          <cell r="CA2">
            <v>0</v>
          </cell>
          <cell r="CB2">
            <v>0</v>
          </cell>
          <cell r="CC2">
            <v>0</v>
          </cell>
          <cell r="CD2">
            <v>0</v>
          </cell>
          <cell r="CE2">
            <v>0</v>
          </cell>
          <cell r="CF2">
            <v>1285325</v>
          </cell>
          <cell r="CG2">
            <v>0</v>
          </cell>
          <cell r="CH2">
            <v>0</v>
          </cell>
          <cell r="CI2">
            <v>0</v>
          </cell>
          <cell r="CJ2">
            <v>3.6</v>
          </cell>
          <cell r="CK2">
            <v>0</v>
          </cell>
          <cell r="CL2">
            <v>0</v>
          </cell>
          <cell r="CM2">
            <v>0</v>
          </cell>
          <cell r="CN2">
            <v>0</v>
          </cell>
          <cell r="CO2">
            <v>0</v>
          </cell>
          <cell r="CP2">
            <v>0</v>
          </cell>
          <cell r="CQ2">
            <v>0</v>
          </cell>
          <cell r="CR2">
            <v>0</v>
          </cell>
          <cell r="CS2">
            <v>0</v>
          </cell>
          <cell r="CT2">
            <v>0</v>
          </cell>
          <cell r="CU2">
            <v>209.5</v>
          </cell>
          <cell r="CV2">
            <v>8.7000000000000011</v>
          </cell>
          <cell r="CW2">
            <v>0</v>
          </cell>
          <cell r="CX2">
            <v>0</v>
          </cell>
          <cell r="CY2">
            <v>0</v>
          </cell>
          <cell r="CZ2">
            <v>0</v>
          </cell>
          <cell r="DA2">
            <v>5.3999999999999986</v>
          </cell>
          <cell r="DB2">
            <v>0</v>
          </cell>
          <cell r="DC2">
            <v>9513.2999999999993</v>
          </cell>
          <cell r="DD2">
            <v>0</v>
          </cell>
          <cell r="DE2">
            <v>0</v>
          </cell>
          <cell r="DF2">
            <v>196.8</v>
          </cell>
          <cell r="DG2">
            <v>0</v>
          </cell>
          <cell r="DH2">
            <v>0</v>
          </cell>
          <cell r="DI2">
            <v>0</v>
          </cell>
          <cell r="DJ2">
            <v>0</v>
          </cell>
          <cell r="DK2">
            <v>11.1</v>
          </cell>
          <cell r="DL2">
            <v>0</v>
          </cell>
          <cell r="DM2">
            <v>0</v>
          </cell>
          <cell r="DN2">
            <v>0</v>
          </cell>
          <cell r="DO2">
            <v>0</v>
          </cell>
          <cell r="DP2">
            <v>0</v>
          </cell>
          <cell r="DQ2">
            <v>0</v>
          </cell>
          <cell r="DR2">
            <v>0</v>
          </cell>
          <cell r="DS2">
            <v>0</v>
          </cell>
          <cell r="DT2">
            <v>0</v>
          </cell>
          <cell r="DU2">
            <v>0</v>
          </cell>
          <cell r="DV2">
            <v>0</v>
          </cell>
          <cell r="DW2">
            <v>0</v>
          </cell>
          <cell r="DX2">
            <v>0</v>
          </cell>
          <cell r="DY2">
            <v>17</v>
          </cell>
          <cell r="DZ2">
            <v>0</v>
          </cell>
          <cell r="EA2">
            <v>0</v>
          </cell>
          <cell r="EB2">
            <v>0</v>
          </cell>
          <cell r="EC2">
            <v>0</v>
          </cell>
          <cell r="ED2">
            <v>0</v>
          </cell>
          <cell r="EE2">
            <v>0.3</v>
          </cell>
          <cell r="EF2">
            <v>0</v>
          </cell>
          <cell r="EG2">
            <v>0</v>
          </cell>
          <cell r="EH2">
            <v>0</v>
          </cell>
          <cell r="EI2">
            <v>0</v>
          </cell>
          <cell r="EJ2">
            <v>0</v>
          </cell>
          <cell r="EK2">
            <v>0</v>
          </cell>
          <cell r="EL2">
            <v>0</v>
          </cell>
          <cell r="EM2">
            <v>0</v>
          </cell>
          <cell r="EN2">
            <v>0</v>
          </cell>
          <cell r="EO2">
            <v>0</v>
          </cell>
          <cell r="EP2">
            <v>60.6</v>
          </cell>
          <cell r="EQ2">
            <v>0</v>
          </cell>
          <cell r="ER2">
            <v>0</v>
          </cell>
          <cell r="ES2">
            <v>0</v>
          </cell>
          <cell r="ET2">
            <v>0</v>
          </cell>
          <cell r="EU2">
            <v>0</v>
          </cell>
          <cell r="EV2">
            <v>0</v>
          </cell>
          <cell r="EW2">
            <v>0</v>
          </cell>
          <cell r="EX2">
            <v>0</v>
          </cell>
          <cell r="EY2">
            <v>0</v>
          </cell>
          <cell r="EZ2">
            <v>0</v>
          </cell>
          <cell r="FA2">
            <v>0</v>
          </cell>
          <cell r="FB2">
            <v>0</v>
          </cell>
          <cell r="FC2">
            <v>0</v>
          </cell>
          <cell r="FD2">
            <v>0</v>
          </cell>
          <cell r="FE2">
            <v>0</v>
          </cell>
          <cell r="FF2">
            <v>0</v>
          </cell>
          <cell r="FG2">
            <v>0</v>
          </cell>
          <cell r="FH2">
            <v>0</v>
          </cell>
          <cell r="FI2">
            <v>0</v>
          </cell>
          <cell r="FJ2">
            <v>0</v>
          </cell>
          <cell r="FK2">
            <v>0</v>
          </cell>
          <cell r="FL2">
            <v>0</v>
          </cell>
          <cell r="FM2">
            <v>0</v>
          </cell>
          <cell r="FN2">
            <v>0</v>
          </cell>
          <cell r="FO2">
            <v>0</v>
          </cell>
          <cell r="FP2">
            <v>597.9</v>
          </cell>
          <cell r="FQ2">
            <v>10.8</v>
          </cell>
          <cell r="FR2">
            <v>0</v>
          </cell>
          <cell r="FS2">
            <v>0</v>
          </cell>
          <cell r="FT2">
            <v>0</v>
          </cell>
          <cell r="FU2">
            <v>1.5</v>
          </cell>
          <cell r="FV2">
            <v>0</v>
          </cell>
          <cell r="FW2">
            <v>0</v>
          </cell>
          <cell r="FX2">
            <v>0</v>
          </cell>
          <cell r="FY2">
            <v>0</v>
          </cell>
          <cell r="FZ2">
            <v>0</v>
          </cell>
          <cell r="GA2">
            <v>0</v>
          </cell>
          <cell r="GB2">
            <v>0</v>
          </cell>
          <cell r="GC2">
            <v>0</v>
          </cell>
          <cell r="GD2">
            <v>0</v>
          </cell>
          <cell r="GE2">
            <v>0</v>
          </cell>
          <cell r="GF2">
            <v>0</v>
          </cell>
          <cell r="GG2">
            <v>0</v>
          </cell>
          <cell r="GH2">
            <v>0</v>
          </cell>
          <cell r="GI2">
            <v>0</v>
          </cell>
          <cell r="GJ2">
            <v>0</v>
          </cell>
          <cell r="GK2">
            <v>0</v>
          </cell>
          <cell r="GL2">
            <v>27</v>
          </cell>
          <cell r="GM2">
            <v>18.8</v>
          </cell>
          <cell r="GN2">
            <v>3.6</v>
          </cell>
          <cell r="GO2">
            <v>0</v>
          </cell>
          <cell r="GP2">
            <v>0</v>
          </cell>
          <cell r="GQ2">
            <v>0</v>
          </cell>
          <cell r="GR2">
            <v>0</v>
          </cell>
          <cell r="GS2">
            <v>0</v>
          </cell>
          <cell r="GT2">
            <v>12122.7</v>
          </cell>
          <cell r="GU2">
            <v>0</v>
          </cell>
          <cell r="GV2">
            <v>0</v>
          </cell>
          <cell r="GW2">
            <v>0</v>
          </cell>
          <cell r="GX2">
            <v>0</v>
          </cell>
          <cell r="GY2">
            <v>0</v>
          </cell>
          <cell r="GZ2">
            <v>36</v>
          </cell>
          <cell r="HA2">
            <v>0</v>
          </cell>
          <cell r="HB2">
            <v>0</v>
          </cell>
          <cell r="HC2">
            <v>0</v>
          </cell>
          <cell r="HD2">
            <v>1.8</v>
          </cell>
          <cell r="HE2">
            <v>0</v>
          </cell>
          <cell r="HF2">
            <v>0</v>
          </cell>
          <cell r="HG2">
            <v>0</v>
          </cell>
          <cell r="HH2">
            <v>0</v>
          </cell>
          <cell r="HI2">
            <v>0</v>
          </cell>
          <cell r="HJ2">
            <v>0</v>
          </cell>
          <cell r="HK2">
            <v>136.19999999999999</v>
          </cell>
          <cell r="HL2">
            <v>0</v>
          </cell>
          <cell r="HM2">
            <v>0</v>
          </cell>
          <cell r="HN2">
            <v>0</v>
          </cell>
          <cell r="HO2">
            <v>0</v>
          </cell>
          <cell r="HP2">
            <v>0</v>
          </cell>
          <cell r="HQ2">
            <v>0</v>
          </cell>
          <cell r="HR2">
            <v>0</v>
          </cell>
          <cell r="HS2">
            <v>136.30000000000001</v>
          </cell>
          <cell r="HT2">
            <v>0</v>
          </cell>
          <cell r="HU2">
            <v>463.49999999999989</v>
          </cell>
          <cell r="HV2">
            <v>0</v>
          </cell>
          <cell r="HW2">
            <v>0</v>
          </cell>
          <cell r="HX2">
            <v>0</v>
          </cell>
          <cell r="HY2">
            <v>0</v>
          </cell>
          <cell r="HZ2">
            <v>0</v>
          </cell>
          <cell r="IA2">
            <v>0</v>
          </cell>
          <cell r="IB2">
            <v>0</v>
          </cell>
          <cell r="IC2">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0</v>
          </cell>
          <cell r="E2">
            <v>0</v>
          </cell>
          <cell r="F2">
            <v>0</v>
          </cell>
          <cell r="G2">
            <v>0</v>
          </cell>
          <cell r="H2">
            <v>0</v>
          </cell>
          <cell r="I2">
            <v>0</v>
          </cell>
          <cell r="J2">
            <v>0</v>
          </cell>
          <cell r="K2">
            <v>0</v>
          </cell>
          <cell r="L2">
            <v>0</v>
          </cell>
          <cell r="M2">
            <v>0</v>
          </cell>
          <cell r="N2">
            <v>171</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29</v>
          </cell>
          <cell r="AO2">
            <v>0</v>
          </cell>
          <cell r="AP2">
            <v>0</v>
          </cell>
          <cell r="AQ2">
            <v>0</v>
          </cell>
          <cell r="AR2">
            <v>0</v>
          </cell>
          <cell r="AS2">
            <v>0</v>
          </cell>
          <cell r="AT2">
            <v>0</v>
          </cell>
          <cell r="AU2">
            <v>42</v>
          </cell>
          <cell r="AV2">
            <v>0</v>
          </cell>
          <cell r="AW2">
            <v>0</v>
          </cell>
          <cell r="AX2">
            <v>0</v>
          </cell>
          <cell r="AY2">
            <v>0</v>
          </cell>
          <cell r="AZ2">
            <v>0</v>
          </cell>
          <cell r="BA2">
            <v>0</v>
          </cell>
          <cell r="BB2">
            <v>0</v>
          </cell>
          <cell r="BC2">
            <v>0</v>
          </cell>
          <cell r="BD2">
            <v>0</v>
          </cell>
          <cell r="BE2">
            <v>0</v>
          </cell>
          <cell r="BF2">
            <v>0</v>
          </cell>
          <cell r="BG2">
            <v>0</v>
          </cell>
          <cell r="BH2">
            <v>0</v>
          </cell>
          <cell r="BI2">
            <v>0</v>
          </cell>
          <cell r="BJ2">
            <v>0</v>
          </cell>
          <cell r="BK2">
            <v>0</v>
          </cell>
          <cell r="BL2">
            <v>0</v>
          </cell>
          <cell r="BM2">
            <v>0</v>
          </cell>
          <cell r="BN2">
            <v>0</v>
          </cell>
          <cell r="BO2">
            <v>0</v>
          </cell>
          <cell r="BP2">
            <v>0</v>
          </cell>
          <cell r="BQ2">
            <v>0</v>
          </cell>
          <cell r="BR2">
            <v>0</v>
          </cell>
          <cell r="BS2">
            <v>0</v>
          </cell>
          <cell r="BT2">
            <v>0</v>
          </cell>
          <cell r="BU2">
            <v>0</v>
          </cell>
          <cell r="BV2">
            <v>0</v>
          </cell>
          <cell r="BW2">
            <v>1</v>
          </cell>
          <cell r="BX2">
            <v>985</v>
          </cell>
          <cell r="BY2">
            <v>0</v>
          </cell>
          <cell r="BZ2">
            <v>0</v>
          </cell>
          <cell r="CA2">
            <v>0</v>
          </cell>
          <cell r="CB2">
            <v>0</v>
          </cell>
          <cell r="CC2">
            <v>0</v>
          </cell>
          <cell r="CD2">
            <v>0</v>
          </cell>
          <cell r="CE2">
            <v>0</v>
          </cell>
          <cell r="CF2">
            <v>81488</v>
          </cell>
          <cell r="CG2">
            <v>0</v>
          </cell>
          <cell r="CH2">
            <v>0</v>
          </cell>
          <cell r="CI2">
            <v>0</v>
          </cell>
          <cell r="CJ2">
            <v>0</v>
          </cell>
          <cell r="CK2">
            <v>0</v>
          </cell>
          <cell r="CL2">
            <v>0</v>
          </cell>
          <cell r="CM2">
            <v>0</v>
          </cell>
          <cell r="CN2">
            <v>0</v>
          </cell>
          <cell r="CO2">
            <v>0</v>
          </cell>
          <cell r="CP2">
            <v>0</v>
          </cell>
          <cell r="CQ2">
            <v>0</v>
          </cell>
          <cell r="CR2">
            <v>0</v>
          </cell>
          <cell r="CS2">
            <v>0</v>
          </cell>
          <cell r="CT2">
            <v>0</v>
          </cell>
          <cell r="CU2">
            <v>1</v>
          </cell>
          <cell r="CV2">
            <v>0</v>
          </cell>
          <cell r="CW2">
            <v>0</v>
          </cell>
          <cell r="CX2">
            <v>0</v>
          </cell>
          <cell r="CY2">
            <v>0</v>
          </cell>
          <cell r="CZ2">
            <v>0</v>
          </cell>
          <cell r="DA2">
            <v>0</v>
          </cell>
          <cell r="DB2">
            <v>0</v>
          </cell>
          <cell r="DC2">
            <v>0</v>
          </cell>
          <cell r="DD2">
            <v>0</v>
          </cell>
          <cell r="DE2">
            <v>0</v>
          </cell>
          <cell r="DF2">
            <v>4480</v>
          </cell>
          <cell r="DG2">
            <v>0</v>
          </cell>
          <cell r="DH2">
            <v>0</v>
          </cell>
          <cell r="DI2">
            <v>0</v>
          </cell>
          <cell r="DJ2">
            <v>0</v>
          </cell>
          <cell r="DK2">
            <v>0</v>
          </cell>
          <cell r="DL2">
            <v>0</v>
          </cell>
          <cell r="DM2">
            <v>0</v>
          </cell>
          <cell r="DN2">
            <v>0</v>
          </cell>
          <cell r="DO2">
            <v>0</v>
          </cell>
          <cell r="DP2">
            <v>0</v>
          </cell>
          <cell r="DQ2">
            <v>0</v>
          </cell>
          <cell r="DR2">
            <v>0</v>
          </cell>
          <cell r="DS2">
            <v>0</v>
          </cell>
          <cell r="DT2">
            <v>0</v>
          </cell>
          <cell r="DU2">
            <v>104</v>
          </cell>
          <cell r="DV2">
            <v>0</v>
          </cell>
          <cell r="DW2">
            <v>0</v>
          </cell>
          <cell r="DX2">
            <v>0</v>
          </cell>
          <cell r="DY2">
            <v>0</v>
          </cell>
          <cell r="DZ2">
            <v>0</v>
          </cell>
          <cell r="EA2">
            <v>0</v>
          </cell>
          <cell r="EB2">
            <v>0</v>
          </cell>
          <cell r="EC2">
            <v>0</v>
          </cell>
          <cell r="ED2">
            <v>0</v>
          </cell>
          <cell r="EE2">
            <v>0</v>
          </cell>
          <cell r="EF2">
            <v>0</v>
          </cell>
          <cell r="EG2">
            <v>0</v>
          </cell>
          <cell r="EH2">
            <v>0</v>
          </cell>
          <cell r="EI2">
            <v>0</v>
          </cell>
          <cell r="EJ2">
            <v>0</v>
          </cell>
          <cell r="EK2">
            <v>0</v>
          </cell>
          <cell r="EL2">
            <v>0</v>
          </cell>
          <cell r="EM2">
            <v>0</v>
          </cell>
          <cell r="EN2">
            <v>0</v>
          </cell>
          <cell r="EO2">
            <v>0</v>
          </cell>
          <cell r="EP2">
            <v>159</v>
          </cell>
          <cell r="EQ2">
            <v>0</v>
          </cell>
          <cell r="ER2">
            <v>0</v>
          </cell>
          <cell r="ES2">
            <v>0</v>
          </cell>
          <cell r="ET2">
            <v>0</v>
          </cell>
          <cell r="EU2">
            <v>0</v>
          </cell>
          <cell r="EV2">
            <v>0</v>
          </cell>
          <cell r="EW2">
            <v>0</v>
          </cell>
          <cell r="EX2">
            <v>0</v>
          </cell>
          <cell r="EY2">
            <v>0</v>
          </cell>
          <cell r="EZ2">
            <v>0</v>
          </cell>
          <cell r="FA2">
            <v>0</v>
          </cell>
          <cell r="FB2">
            <v>0</v>
          </cell>
          <cell r="FC2">
            <v>0</v>
          </cell>
          <cell r="FD2">
            <v>0</v>
          </cell>
          <cell r="FE2">
            <v>0</v>
          </cell>
          <cell r="FF2">
            <v>0</v>
          </cell>
          <cell r="FG2">
            <v>0</v>
          </cell>
          <cell r="FH2">
            <v>0</v>
          </cell>
          <cell r="FI2">
            <v>0</v>
          </cell>
          <cell r="FJ2">
            <v>0</v>
          </cell>
          <cell r="FK2">
            <v>0</v>
          </cell>
          <cell r="FL2">
            <v>0</v>
          </cell>
          <cell r="FM2">
            <v>0</v>
          </cell>
          <cell r="FN2">
            <v>0</v>
          </cell>
          <cell r="FO2">
            <v>0</v>
          </cell>
          <cell r="FP2">
            <v>0</v>
          </cell>
          <cell r="FQ2">
            <v>1</v>
          </cell>
          <cell r="FR2">
            <v>0</v>
          </cell>
          <cell r="FS2">
            <v>0</v>
          </cell>
          <cell r="FT2">
            <v>0</v>
          </cell>
          <cell r="FU2">
            <v>0</v>
          </cell>
          <cell r="FV2">
            <v>19392</v>
          </cell>
          <cell r="FW2">
            <v>0</v>
          </cell>
          <cell r="FX2">
            <v>0</v>
          </cell>
          <cell r="FY2">
            <v>0</v>
          </cell>
          <cell r="FZ2">
            <v>0</v>
          </cell>
          <cell r="GA2">
            <v>0</v>
          </cell>
          <cell r="GB2">
            <v>0</v>
          </cell>
          <cell r="GC2">
            <v>0</v>
          </cell>
          <cell r="GD2">
            <v>0</v>
          </cell>
          <cell r="GE2">
            <v>0</v>
          </cell>
          <cell r="GF2">
            <v>0</v>
          </cell>
          <cell r="GG2">
            <v>0</v>
          </cell>
          <cell r="GH2">
            <v>0</v>
          </cell>
          <cell r="GI2">
            <v>0</v>
          </cell>
          <cell r="GJ2">
            <v>0</v>
          </cell>
          <cell r="GK2">
            <v>0</v>
          </cell>
          <cell r="GL2">
            <v>0</v>
          </cell>
          <cell r="GM2">
            <v>0</v>
          </cell>
          <cell r="GN2">
            <v>0</v>
          </cell>
          <cell r="GO2">
            <v>0</v>
          </cell>
          <cell r="GP2">
            <v>0</v>
          </cell>
          <cell r="GQ2">
            <v>0</v>
          </cell>
          <cell r="GR2">
            <v>0</v>
          </cell>
          <cell r="GS2">
            <v>0</v>
          </cell>
          <cell r="GT2">
            <v>1</v>
          </cell>
          <cell r="GU2">
            <v>0</v>
          </cell>
          <cell r="GV2">
            <v>0</v>
          </cell>
          <cell r="GW2">
            <v>0</v>
          </cell>
          <cell r="GX2">
            <v>0</v>
          </cell>
          <cell r="GY2">
            <v>0</v>
          </cell>
          <cell r="GZ2">
            <v>3656</v>
          </cell>
          <cell r="HA2">
            <v>0</v>
          </cell>
          <cell r="HB2">
            <v>0</v>
          </cell>
          <cell r="HC2">
            <v>0</v>
          </cell>
          <cell r="HD2">
            <v>0</v>
          </cell>
          <cell r="HE2">
            <v>0</v>
          </cell>
          <cell r="HF2">
            <v>0</v>
          </cell>
          <cell r="HG2">
            <v>0</v>
          </cell>
          <cell r="HH2">
            <v>0</v>
          </cell>
          <cell r="HI2">
            <v>0</v>
          </cell>
          <cell r="HJ2">
            <v>0</v>
          </cell>
          <cell r="HK2">
            <v>0</v>
          </cell>
          <cell r="HL2">
            <v>0</v>
          </cell>
          <cell r="HM2">
            <v>0</v>
          </cell>
          <cell r="HN2">
            <v>0</v>
          </cell>
          <cell r="HO2">
            <v>0</v>
          </cell>
          <cell r="HP2">
            <v>0</v>
          </cell>
          <cell r="HQ2">
            <v>0</v>
          </cell>
          <cell r="HR2">
            <v>0</v>
          </cell>
          <cell r="HS2">
            <v>8</v>
          </cell>
          <cell r="HT2">
            <v>0</v>
          </cell>
          <cell r="HU2">
            <v>0</v>
          </cell>
          <cell r="HV2">
            <v>0</v>
          </cell>
          <cell r="HW2">
            <v>0</v>
          </cell>
          <cell r="HX2">
            <v>0</v>
          </cell>
          <cell r="HY2">
            <v>0</v>
          </cell>
          <cell r="HZ2">
            <v>0</v>
          </cell>
          <cell r="IA2">
            <v>0</v>
          </cell>
          <cell r="IB2">
            <v>0</v>
          </cell>
          <cell r="IC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0</v>
          </cell>
          <cell r="E2">
            <v>0</v>
          </cell>
          <cell r="F2">
            <v>0</v>
          </cell>
          <cell r="G2">
            <v>0</v>
          </cell>
          <cell r="H2">
            <v>0</v>
          </cell>
          <cell r="I2">
            <v>0</v>
          </cell>
          <cell r="J2">
            <v>0</v>
          </cell>
          <cell r="K2">
            <v>0</v>
          </cell>
          <cell r="L2">
            <v>0</v>
          </cell>
          <cell r="M2">
            <v>0</v>
          </cell>
          <cell r="N2">
            <v>27779</v>
          </cell>
          <cell r="O2">
            <v>0</v>
          </cell>
          <cell r="P2">
            <v>0</v>
          </cell>
          <cell r="Q2">
            <v>0</v>
          </cell>
          <cell r="R2">
            <v>0</v>
          </cell>
          <cell r="S2">
            <v>0</v>
          </cell>
          <cell r="T2">
            <v>20</v>
          </cell>
          <cell r="U2">
            <v>0</v>
          </cell>
          <cell r="V2">
            <v>0</v>
          </cell>
          <cell r="W2">
            <v>0</v>
          </cell>
          <cell r="X2">
            <v>0</v>
          </cell>
          <cell r="Y2">
            <v>0</v>
          </cell>
          <cell r="Z2">
            <v>0</v>
          </cell>
          <cell r="AA2">
            <v>51</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12</v>
          </cell>
          <cell r="AV2">
            <v>0</v>
          </cell>
          <cell r="AW2">
            <v>0</v>
          </cell>
          <cell r="AX2">
            <v>0</v>
          </cell>
          <cell r="AY2">
            <v>0</v>
          </cell>
          <cell r="AZ2">
            <v>0</v>
          </cell>
          <cell r="BA2">
            <v>0</v>
          </cell>
          <cell r="BB2">
            <v>0</v>
          </cell>
          <cell r="BC2">
            <v>0</v>
          </cell>
          <cell r="BD2">
            <v>0</v>
          </cell>
          <cell r="BE2">
            <v>0</v>
          </cell>
          <cell r="BF2">
            <v>0</v>
          </cell>
          <cell r="BG2">
            <v>0</v>
          </cell>
          <cell r="BH2">
            <v>2465</v>
          </cell>
          <cell r="BI2">
            <v>0</v>
          </cell>
          <cell r="BJ2">
            <v>0</v>
          </cell>
          <cell r="BK2">
            <v>0</v>
          </cell>
          <cell r="BL2">
            <v>0</v>
          </cell>
          <cell r="BM2">
            <v>0</v>
          </cell>
          <cell r="BN2">
            <v>0</v>
          </cell>
          <cell r="BO2">
            <v>0</v>
          </cell>
          <cell r="BP2">
            <v>0</v>
          </cell>
          <cell r="BQ2">
            <v>0</v>
          </cell>
          <cell r="BR2">
            <v>0</v>
          </cell>
          <cell r="BS2">
            <v>0</v>
          </cell>
          <cell r="BT2">
            <v>0</v>
          </cell>
          <cell r="BU2">
            <v>0</v>
          </cell>
          <cell r="BV2">
            <v>0</v>
          </cell>
          <cell r="BW2">
            <v>482</v>
          </cell>
          <cell r="BX2">
            <v>26529</v>
          </cell>
          <cell r="BY2">
            <v>0</v>
          </cell>
          <cell r="BZ2">
            <v>0</v>
          </cell>
          <cell r="CA2">
            <v>0</v>
          </cell>
          <cell r="CB2">
            <v>0</v>
          </cell>
          <cell r="CC2">
            <v>0</v>
          </cell>
          <cell r="CD2">
            <v>0</v>
          </cell>
          <cell r="CE2">
            <v>0</v>
          </cell>
          <cell r="CF2">
            <v>194847</v>
          </cell>
          <cell r="CG2">
            <v>0</v>
          </cell>
          <cell r="CH2">
            <v>0</v>
          </cell>
          <cell r="CI2">
            <v>0</v>
          </cell>
          <cell r="CJ2">
            <v>0</v>
          </cell>
          <cell r="CK2">
            <v>0</v>
          </cell>
          <cell r="CL2">
            <v>0</v>
          </cell>
          <cell r="CM2">
            <v>0</v>
          </cell>
          <cell r="CN2">
            <v>0</v>
          </cell>
          <cell r="CO2">
            <v>0</v>
          </cell>
          <cell r="CP2">
            <v>0</v>
          </cell>
          <cell r="CQ2">
            <v>0</v>
          </cell>
          <cell r="CR2">
            <v>0</v>
          </cell>
          <cell r="CS2">
            <v>0</v>
          </cell>
          <cell r="CT2">
            <v>0</v>
          </cell>
          <cell r="CU2">
            <v>7</v>
          </cell>
          <cell r="CV2">
            <v>0</v>
          </cell>
          <cell r="CW2">
            <v>0</v>
          </cell>
          <cell r="CX2">
            <v>0</v>
          </cell>
          <cell r="CY2">
            <v>0</v>
          </cell>
          <cell r="CZ2">
            <v>0</v>
          </cell>
          <cell r="DA2">
            <v>0</v>
          </cell>
          <cell r="DB2">
            <v>0</v>
          </cell>
          <cell r="DC2">
            <v>9497</v>
          </cell>
          <cell r="DD2">
            <v>0</v>
          </cell>
          <cell r="DE2">
            <v>0</v>
          </cell>
          <cell r="DF2">
            <v>0</v>
          </cell>
          <cell r="DG2">
            <v>0</v>
          </cell>
          <cell r="DH2">
            <v>0</v>
          </cell>
          <cell r="DI2">
            <v>0</v>
          </cell>
          <cell r="DJ2">
            <v>0</v>
          </cell>
          <cell r="DK2">
            <v>0</v>
          </cell>
          <cell r="DL2">
            <v>0</v>
          </cell>
          <cell r="DM2">
            <v>0</v>
          </cell>
          <cell r="DN2">
            <v>0</v>
          </cell>
          <cell r="DO2">
            <v>0</v>
          </cell>
          <cell r="DP2">
            <v>0</v>
          </cell>
          <cell r="DQ2">
            <v>0</v>
          </cell>
          <cell r="DR2">
            <v>0</v>
          </cell>
          <cell r="DS2">
            <v>0</v>
          </cell>
          <cell r="DT2">
            <v>0</v>
          </cell>
          <cell r="DU2">
            <v>0</v>
          </cell>
          <cell r="DV2">
            <v>0</v>
          </cell>
          <cell r="DW2">
            <v>0</v>
          </cell>
          <cell r="DX2">
            <v>0</v>
          </cell>
          <cell r="DY2">
            <v>0</v>
          </cell>
          <cell r="DZ2">
            <v>0</v>
          </cell>
          <cell r="EA2">
            <v>0</v>
          </cell>
          <cell r="EB2">
            <v>0</v>
          </cell>
          <cell r="EC2">
            <v>0</v>
          </cell>
          <cell r="ED2">
            <v>0</v>
          </cell>
          <cell r="EE2">
            <v>0</v>
          </cell>
          <cell r="EF2">
            <v>0</v>
          </cell>
          <cell r="EG2">
            <v>0</v>
          </cell>
          <cell r="EH2">
            <v>0</v>
          </cell>
          <cell r="EI2">
            <v>0</v>
          </cell>
          <cell r="EJ2">
            <v>0</v>
          </cell>
          <cell r="EK2">
            <v>0</v>
          </cell>
          <cell r="EL2">
            <v>0</v>
          </cell>
          <cell r="EM2">
            <v>0</v>
          </cell>
          <cell r="EN2">
            <v>0</v>
          </cell>
          <cell r="EO2">
            <v>0</v>
          </cell>
          <cell r="EP2">
            <v>0</v>
          </cell>
          <cell r="EQ2">
            <v>0</v>
          </cell>
          <cell r="ER2">
            <v>0</v>
          </cell>
          <cell r="ES2">
            <v>0</v>
          </cell>
          <cell r="ET2">
            <v>0</v>
          </cell>
          <cell r="EU2">
            <v>0</v>
          </cell>
          <cell r="EV2">
            <v>0</v>
          </cell>
          <cell r="EW2">
            <v>0</v>
          </cell>
          <cell r="EX2">
            <v>0</v>
          </cell>
          <cell r="EY2">
            <v>0</v>
          </cell>
          <cell r="EZ2">
            <v>0</v>
          </cell>
          <cell r="FA2">
            <v>0</v>
          </cell>
          <cell r="FB2">
            <v>0</v>
          </cell>
          <cell r="FC2">
            <v>0</v>
          </cell>
          <cell r="FD2">
            <v>0</v>
          </cell>
          <cell r="FE2">
            <v>0</v>
          </cell>
          <cell r="FF2">
            <v>0</v>
          </cell>
          <cell r="FG2">
            <v>0</v>
          </cell>
          <cell r="FH2">
            <v>0</v>
          </cell>
          <cell r="FI2">
            <v>0</v>
          </cell>
          <cell r="FJ2">
            <v>0</v>
          </cell>
          <cell r="FK2">
            <v>0</v>
          </cell>
          <cell r="FL2">
            <v>0</v>
          </cell>
          <cell r="FM2">
            <v>0</v>
          </cell>
          <cell r="FN2">
            <v>0</v>
          </cell>
          <cell r="FO2">
            <v>0</v>
          </cell>
          <cell r="FP2">
            <v>5</v>
          </cell>
          <cell r="FQ2">
            <v>1</v>
          </cell>
          <cell r="FR2">
            <v>0</v>
          </cell>
          <cell r="FS2">
            <v>0</v>
          </cell>
          <cell r="FT2">
            <v>0</v>
          </cell>
          <cell r="FU2">
            <v>0</v>
          </cell>
          <cell r="FV2">
            <v>0</v>
          </cell>
          <cell r="FW2">
            <v>0</v>
          </cell>
          <cell r="FX2">
            <v>0</v>
          </cell>
          <cell r="FY2">
            <v>0</v>
          </cell>
          <cell r="FZ2">
            <v>0</v>
          </cell>
          <cell r="GA2">
            <v>0</v>
          </cell>
          <cell r="GB2">
            <v>0</v>
          </cell>
          <cell r="GC2">
            <v>0</v>
          </cell>
          <cell r="GD2">
            <v>0</v>
          </cell>
          <cell r="GE2">
            <v>0</v>
          </cell>
          <cell r="GF2">
            <v>0</v>
          </cell>
          <cell r="GG2">
            <v>0</v>
          </cell>
          <cell r="GH2">
            <v>0</v>
          </cell>
          <cell r="GI2">
            <v>5</v>
          </cell>
          <cell r="GJ2">
            <v>0</v>
          </cell>
          <cell r="GK2">
            <v>0</v>
          </cell>
          <cell r="GL2">
            <v>0</v>
          </cell>
          <cell r="GM2">
            <v>0</v>
          </cell>
          <cell r="GN2">
            <v>0</v>
          </cell>
          <cell r="GO2">
            <v>0</v>
          </cell>
          <cell r="GP2">
            <v>0</v>
          </cell>
          <cell r="GQ2">
            <v>0</v>
          </cell>
          <cell r="GR2">
            <v>0</v>
          </cell>
          <cell r="GS2">
            <v>0</v>
          </cell>
          <cell r="GT2">
            <v>0</v>
          </cell>
          <cell r="GU2">
            <v>0</v>
          </cell>
          <cell r="GV2">
            <v>0</v>
          </cell>
          <cell r="GW2">
            <v>0</v>
          </cell>
          <cell r="GX2">
            <v>0</v>
          </cell>
          <cell r="GY2">
            <v>0</v>
          </cell>
          <cell r="GZ2">
            <v>0</v>
          </cell>
          <cell r="HA2">
            <v>0</v>
          </cell>
          <cell r="HB2">
            <v>0</v>
          </cell>
          <cell r="HC2">
            <v>0</v>
          </cell>
          <cell r="HD2">
            <v>0</v>
          </cell>
          <cell r="HE2">
            <v>0</v>
          </cell>
          <cell r="HF2">
            <v>0</v>
          </cell>
          <cell r="HG2">
            <v>0</v>
          </cell>
          <cell r="HH2">
            <v>0</v>
          </cell>
          <cell r="HI2">
            <v>0</v>
          </cell>
          <cell r="HJ2">
            <v>0</v>
          </cell>
          <cell r="HK2">
            <v>0</v>
          </cell>
          <cell r="HL2">
            <v>0</v>
          </cell>
          <cell r="HM2">
            <v>0</v>
          </cell>
          <cell r="HN2">
            <v>0</v>
          </cell>
          <cell r="HO2">
            <v>0</v>
          </cell>
          <cell r="HP2">
            <v>0</v>
          </cell>
          <cell r="HQ2">
            <v>0</v>
          </cell>
          <cell r="HR2">
            <v>0</v>
          </cell>
          <cell r="HS2">
            <v>0</v>
          </cell>
          <cell r="HT2">
            <v>0</v>
          </cell>
          <cell r="HU2">
            <v>395</v>
          </cell>
          <cell r="HV2">
            <v>0</v>
          </cell>
          <cell r="HW2">
            <v>0</v>
          </cell>
          <cell r="HX2">
            <v>0</v>
          </cell>
          <cell r="HY2">
            <v>0</v>
          </cell>
          <cell r="HZ2">
            <v>0</v>
          </cell>
          <cell r="IA2">
            <v>0</v>
          </cell>
          <cell r="IB2">
            <v>0</v>
          </cell>
          <cell r="IC2">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0</v>
          </cell>
          <cell r="E2">
            <v>0</v>
          </cell>
          <cell r="F2">
            <v>0</v>
          </cell>
          <cell r="G2">
            <v>0</v>
          </cell>
          <cell r="H2">
            <v>0</v>
          </cell>
          <cell r="I2">
            <v>0</v>
          </cell>
          <cell r="J2">
            <v>0</v>
          </cell>
          <cell r="K2">
            <v>0</v>
          </cell>
          <cell r="L2">
            <v>0</v>
          </cell>
          <cell r="M2">
            <v>0</v>
          </cell>
          <cell r="N2">
            <v>446305</v>
          </cell>
          <cell r="O2">
            <v>0</v>
          </cell>
          <cell r="P2">
            <v>0</v>
          </cell>
          <cell r="Q2">
            <v>0</v>
          </cell>
          <cell r="R2">
            <v>0</v>
          </cell>
          <cell r="S2">
            <v>0</v>
          </cell>
          <cell r="T2">
            <v>679</v>
          </cell>
          <cell r="U2">
            <v>0</v>
          </cell>
          <cell r="V2">
            <v>0</v>
          </cell>
          <cell r="W2">
            <v>0</v>
          </cell>
          <cell r="X2">
            <v>0</v>
          </cell>
          <cell r="Y2">
            <v>0</v>
          </cell>
          <cell r="Z2">
            <v>0</v>
          </cell>
          <cell r="AA2">
            <v>249</v>
          </cell>
          <cell r="AB2">
            <v>0</v>
          </cell>
          <cell r="AC2">
            <v>0</v>
          </cell>
          <cell r="AD2">
            <v>0</v>
          </cell>
          <cell r="AE2">
            <v>0</v>
          </cell>
          <cell r="AF2">
            <v>0</v>
          </cell>
          <cell r="AG2">
            <v>0</v>
          </cell>
          <cell r="AH2">
            <v>49</v>
          </cell>
          <cell r="AI2">
            <v>0</v>
          </cell>
          <cell r="AJ2">
            <v>0</v>
          </cell>
          <cell r="AK2">
            <v>0</v>
          </cell>
          <cell r="AL2">
            <v>0</v>
          </cell>
          <cell r="AM2">
            <v>0</v>
          </cell>
          <cell r="AN2">
            <v>0</v>
          </cell>
          <cell r="AO2">
            <v>0</v>
          </cell>
          <cell r="AP2">
            <v>0</v>
          </cell>
          <cell r="AQ2">
            <v>0</v>
          </cell>
          <cell r="AR2">
            <v>0</v>
          </cell>
          <cell r="AS2">
            <v>0</v>
          </cell>
          <cell r="AT2">
            <v>31</v>
          </cell>
          <cell r="AU2">
            <v>45318.000000000007</v>
          </cell>
          <cell r="AV2">
            <v>0</v>
          </cell>
          <cell r="AW2">
            <v>0</v>
          </cell>
          <cell r="AX2">
            <v>0</v>
          </cell>
          <cell r="AY2">
            <v>0</v>
          </cell>
          <cell r="AZ2">
            <v>0</v>
          </cell>
          <cell r="BA2">
            <v>0</v>
          </cell>
          <cell r="BB2">
            <v>0</v>
          </cell>
          <cell r="BC2">
            <v>0</v>
          </cell>
          <cell r="BD2">
            <v>0</v>
          </cell>
          <cell r="BE2">
            <v>90</v>
          </cell>
          <cell r="BF2">
            <v>0</v>
          </cell>
          <cell r="BG2">
            <v>0</v>
          </cell>
          <cell r="BH2">
            <v>6869</v>
          </cell>
          <cell r="BI2">
            <v>0</v>
          </cell>
          <cell r="BJ2">
            <v>26427</v>
          </cell>
          <cell r="BK2">
            <v>0</v>
          </cell>
          <cell r="BL2">
            <v>0</v>
          </cell>
          <cell r="BM2">
            <v>0</v>
          </cell>
          <cell r="BN2">
            <v>0</v>
          </cell>
          <cell r="BO2">
            <v>0</v>
          </cell>
          <cell r="BP2">
            <v>0</v>
          </cell>
          <cell r="BQ2">
            <v>0</v>
          </cell>
          <cell r="BR2">
            <v>2209</v>
          </cell>
          <cell r="BS2">
            <v>0</v>
          </cell>
          <cell r="BT2">
            <v>0</v>
          </cell>
          <cell r="BU2">
            <v>0</v>
          </cell>
          <cell r="BV2">
            <v>0</v>
          </cell>
          <cell r="BW2">
            <v>340</v>
          </cell>
          <cell r="BX2">
            <v>256979</v>
          </cell>
          <cell r="BY2">
            <v>0</v>
          </cell>
          <cell r="BZ2">
            <v>0</v>
          </cell>
          <cell r="CA2">
            <v>0</v>
          </cell>
          <cell r="CB2">
            <v>0</v>
          </cell>
          <cell r="CC2">
            <v>0</v>
          </cell>
          <cell r="CD2">
            <v>0</v>
          </cell>
          <cell r="CE2">
            <v>0</v>
          </cell>
          <cell r="CF2">
            <v>57275.000000000007</v>
          </cell>
          <cell r="CG2">
            <v>0</v>
          </cell>
          <cell r="CH2">
            <v>0</v>
          </cell>
          <cell r="CI2">
            <v>0</v>
          </cell>
          <cell r="CJ2">
            <v>0</v>
          </cell>
          <cell r="CK2">
            <v>0</v>
          </cell>
          <cell r="CL2">
            <v>0</v>
          </cell>
          <cell r="CM2">
            <v>0</v>
          </cell>
          <cell r="CN2">
            <v>0</v>
          </cell>
          <cell r="CO2">
            <v>0</v>
          </cell>
          <cell r="CP2">
            <v>0</v>
          </cell>
          <cell r="CQ2">
            <v>0</v>
          </cell>
          <cell r="CR2">
            <v>0</v>
          </cell>
          <cell r="CS2">
            <v>0</v>
          </cell>
          <cell r="CT2">
            <v>0</v>
          </cell>
          <cell r="CU2">
            <v>153</v>
          </cell>
          <cell r="CV2">
            <v>3223</v>
          </cell>
          <cell r="CW2">
            <v>45</v>
          </cell>
          <cell r="CX2">
            <v>24</v>
          </cell>
          <cell r="CY2">
            <v>0</v>
          </cell>
          <cell r="CZ2">
            <v>0</v>
          </cell>
          <cell r="DA2">
            <v>0</v>
          </cell>
          <cell r="DB2">
            <v>30</v>
          </cell>
          <cell r="DC2">
            <v>99997</v>
          </cell>
          <cell r="DD2">
            <v>0</v>
          </cell>
          <cell r="DE2">
            <v>0</v>
          </cell>
          <cell r="DF2">
            <v>874</v>
          </cell>
          <cell r="DG2">
            <v>0</v>
          </cell>
          <cell r="DH2">
            <v>0</v>
          </cell>
          <cell r="DI2">
            <v>0</v>
          </cell>
          <cell r="DJ2">
            <v>0</v>
          </cell>
          <cell r="DK2">
            <v>1181</v>
          </cell>
          <cell r="DL2">
            <v>0</v>
          </cell>
          <cell r="DM2">
            <v>0</v>
          </cell>
          <cell r="DN2">
            <v>0</v>
          </cell>
          <cell r="DO2">
            <v>0</v>
          </cell>
          <cell r="DP2">
            <v>0</v>
          </cell>
          <cell r="DQ2">
            <v>0</v>
          </cell>
          <cell r="DR2">
            <v>0</v>
          </cell>
          <cell r="DS2">
            <v>0</v>
          </cell>
          <cell r="DT2">
            <v>2200</v>
          </cell>
          <cell r="DU2">
            <v>0</v>
          </cell>
          <cell r="DV2">
            <v>0</v>
          </cell>
          <cell r="DW2">
            <v>0</v>
          </cell>
          <cell r="DX2">
            <v>0</v>
          </cell>
          <cell r="DY2">
            <v>677</v>
          </cell>
          <cell r="DZ2">
            <v>0</v>
          </cell>
          <cell r="EA2">
            <v>0</v>
          </cell>
          <cell r="EB2">
            <v>13</v>
          </cell>
          <cell r="EC2">
            <v>0</v>
          </cell>
          <cell r="ED2">
            <v>0</v>
          </cell>
          <cell r="EE2">
            <v>5907</v>
          </cell>
          <cell r="EF2">
            <v>0</v>
          </cell>
          <cell r="EG2">
            <v>0</v>
          </cell>
          <cell r="EH2">
            <v>0</v>
          </cell>
          <cell r="EI2">
            <v>0</v>
          </cell>
          <cell r="EJ2">
            <v>17</v>
          </cell>
          <cell r="EK2">
            <v>0</v>
          </cell>
          <cell r="EL2">
            <v>0</v>
          </cell>
          <cell r="EM2">
            <v>0</v>
          </cell>
          <cell r="EN2">
            <v>0</v>
          </cell>
          <cell r="EO2">
            <v>0</v>
          </cell>
          <cell r="EP2">
            <v>2599</v>
          </cell>
          <cell r="EQ2">
            <v>0</v>
          </cell>
          <cell r="ER2">
            <v>0</v>
          </cell>
          <cell r="ES2">
            <v>0</v>
          </cell>
          <cell r="ET2">
            <v>0</v>
          </cell>
          <cell r="EU2">
            <v>0</v>
          </cell>
          <cell r="EV2">
            <v>0</v>
          </cell>
          <cell r="EW2">
            <v>0</v>
          </cell>
          <cell r="EX2">
            <v>0</v>
          </cell>
          <cell r="EY2">
            <v>0</v>
          </cell>
          <cell r="EZ2">
            <v>0</v>
          </cell>
          <cell r="FA2">
            <v>0</v>
          </cell>
          <cell r="FB2">
            <v>0</v>
          </cell>
          <cell r="FC2">
            <v>0</v>
          </cell>
          <cell r="FD2">
            <v>0</v>
          </cell>
          <cell r="FE2">
            <v>0</v>
          </cell>
          <cell r="FF2">
            <v>0</v>
          </cell>
          <cell r="FG2">
            <v>0</v>
          </cell>
          <cell r="FH2">
            <v>0</v>
          </cell>
          <cell r="FI2">
            <v>0</v>
          </cell>
          <cell r="FJ2">
            <v>0</v>
          </cell>
          <cell r="FK2">
            <v>0</v>
          </cell>
          <cell r="FL2">
            <v>0</v>
          </cell>
          <cell r="FM2">
            <v>0</v>
          </cell>
          <cell r="FN2">
            <v>168</v>
          </cell>
          <cell r="FO2">
            <v>0</v>
          </cell>
          <cell r="FP2">
            <v>317</v>
          </cell>
          <cell r="FQ2">
            <v>23</v>
          </cell>
          <cell r="FR2">
            <v>0</v>
          </cell>
          <cell r="FS2">
            <v>0</v>
          </cell>
          <cell r="FT2">
            <v>0</v>
          </cell>
          <cell r="FU2">
            <v>18201</v>
          </cell>
          <cell r="FV2">
            <v>0</v>
          </cell>
          <cell r="FW2">
            <v>0</v>
          </cell>
          <cell r="FX2">
            <v>0</v>
          </cell>
          <cell r="FY2">
            <v>0</v>
          </cell>
          <cell r="FZ2">
            <v>0</v>
          </cell>
          <cell r="GA2">
            <v>0</v>
          </cell>
          <cell r="GB2">
            <v>0</v>
          </cell>
          <cell r="GC2">
            <v>0</v>
          </cell>
          <cell r="GD2">
            <v>0</v>
          </cell>
          <cell r="GE2">
            <v>0</v>
          </cell>
          <cell r="GF2">
            <v>0</v>
          </cell>
          <cell r="GG2">
            <v>1</v>
          </cell>
          <cell r="GH2">
            <v>0</v>
          </cell>
          <cell r="GI2">
            <v>30</v>
          </cell>
          <cell r="GJ2">
            <v>0</v>
          </cell>
          <cell r="GK2">
            <v>0</v>
          </cell>
          <cell r="GL2">
            <v>174</v>
          </cell>
          <cell r="GM2">
            <v>1388</v>
          </cell>
          <cell r="GN2">
            <v>16</v>
          </cell>
          <cell r="GO2">
            <v>1720</v>
          </cell>
          <cell r="GP2">
            <v>1962</v>
          </cell>
          <cell r="GQ2">
            <v>0</v>
          </cell>
          <cell r="GR2">
            <v>0</v>
          </cell>
          <cell r="GS2">
            <v>0</v>
          </cell>
          <cell r="GT2">
            <v>44913.000000000007</v>
          </cell>
          <cell r="GU2">
            <v>0</v>
          </cell>
          <cell r="GV2">
            <v>0</v>
          </cell>
          <cell r="GW2">
            <v>0</v>
          </cell>
          <cell r="GX2">
            <v>0</v>
          </cell>
          <cell r="GY2">
            <v>14</v>
          </cell>
          <cell r="GZ2">
            <v>2043</v>
          </cell>
          <cell r="HA2">
            <v>0</v>
          </cell>
          <cell r="HB2">
            <v>0</v>
          </cell>
          <cell r="HC2">
            <v>0</v>
          </cell>
          <cell r="HD2">
            <v>14</v>
          </cell>
          <cell r="HE2">
            <v>0</v>
          </cell>
          <cell r="HF2">
            <v>0</v>
          </cell>
          <cell r="HG2">
            <v>0</v>
          </cell>
          <cell r="HH2">
            <v>0</v>
          </cell>
          <cell r="HI2">
            <v>7</v>
          </cell>
          <cell r="HJ2">
            <v>0</v>
          </cell>
          <cell r="HK2">
            <v>0</v>
          </cell>
          <cell r="HL2">
            <v>0</v>
          </cell>
          <cell r="HM2">
            <v>0</v>
          </cell>
          <cell r="HN2">
            <v>0</v>
          </cell>
          <cell r="HO2">
            <v>0</v>
          </cell>
          <cell r="HP2">
            <v>0</v>
          </cell>
          <cell r="HQ2">
            <v>0</v>
          </cell>
          <cell r="HR2">
            <v>0</v>
          </cell>
          <cell r="HS2">
            <v>327</v>
          </cell>
          <cell r="HT2">
            <v>0</v>
          </cell>
          <cell r="HU2">
            <v>2853</v>
          </cell>
          <cell r="HV2">
            <v>0</v>
          </cell>
          <cell r="HW2">
            <v>0</v>
          </cell>
          <cell r="HX2">
            <v>0</v>
          </cell>
          <cell r="HY2">
            <v>0</v>
          </cell>
          <cell r="HZ2">
            <v>0</v>
          </cell>
          <cell r="IA2">
            <v>0</v>
          </cell>
          <cell r="IB2">
            <v>0</v>
          </cell>
          <cell r="IC2">
            <v>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0</v>
          </cell>
          <cell r="E2">
            <v>0</v>
          </cell>
          <cell r="F2">
            <v>0</v>
          </cell>
          <cell r="G2">
            <v>0</v>
          </cell>
          <cell r="H2">
            <v>0</v>
          </cell>
          <cell r="I2">
            <v>0</v>
          </cell>
          <cell r="J2">
            <v>0</v>
          </cell>
          <cell r="K2">
            <v>0</v>
          </cell>
          <cell r="L2">
            <v>0</v>
          </cell>
          <cell r="M2">
            <v>6.35</v>
          </cell>
          <cell r="N2">
            <v>487.8</v>
          </cell>
          <cell r="O2">
            <v>0</v>
          </cell>
          <cell r="P2">
            <v>0.05</v>
          </cell>
          <cell r="Q2">
            <v>0.05</v>
          </cell>
          <cell r="R2">
            <v>0</v>
          </cell>
          <cell r="S2">
            <v>0</v>
          </cell>
          <cell r="T2">
            <v>269.05</v>
          </cell>
          <cell r="U2">
            <v>0</v>
          </cell>
          <cell r="V2">
            <v>0</v>
          </cell>
          <cell r="W2">
            <v>0</v>
          </cell>
          <cell r="X2">
            <v>0</v>
          </cell>
          <cell r="Y2">
            <v>0</v>
          </cell>
          <cell r="Z2">
            <v>0</v>
          </cell>
          <cell r="AA2">
            <v>0.1</v>
          </cell>
          <cell r="AB2">
            <v>0</v>
          </cell>
          <cell r="AC2">
            <v>0</v>
          </cell>
          <cell r="AD2">
            <v>0</v>
          </cell>
          <cell r="AE2">
            <v>0</v>
          </cell>
          <cell r="AF2">
            <v>0</v>
          </cell>
          <cell r="AG2">
            <v>0</v>
          </cell>
          <cell r="AH2">
            <v>0.6</v>
          </cell>
          <cell r="AI2">
            <v>0</v>
          </cell>
          <cell r="AJ2">
            <v>0</v>
          </cell>
          <cell r="AK2">
            <v>0</v>
          </cell>
          <cell r="AL2">
            <v>0.15</v>
          </cell>
          <cell r="AM2">
            <v>0.05</v>
          </cell>
          <cell r="AN2">
            <v>34.65</v>
          </cell>
          <cell r="AO2">
            <v>0</v>
          </cell>
          <cell r="AP2">
            <v>0</v>
          </cell>
          <cell r="AQ2">
            <v>0</v>
          </cell>
          <cell r="AR2">
            <v>0</v>
          </cell>
          <cell r="AS2">
            <v>0</v>
          </cell>
          <cell r="AT2">
            <v>0</v>
          </cell>
          <cell r="AU2">
            <v>70251.649999999994</v>
          </cell>
          <cell r="AV2">
            <v>0</v>
          </cell>
          <cell r="AW2">
            <v>0</v>
          </cell>
          <cell r="AX2">
            <v>0</v>
          </cell>
          <cell r="AY2">
            <v>0</v>
          </cell>
          <cell r="AZ2">
            <v>0</v>
          </cell>
          <cell r="BA2">
            <v>0</v>
          </cell>
          <cell r="BB2">
            <v>0</v>
          </cell>
          <cell r="BC2">
            <v>0</v>
          </cell>
          <cell r="BD2">
            <v>0</v>
          </cell>
          <cell r="BE2">
            <v>7.8</v>
          </cell>
          <cell r="BF2">
            <v>0</v>
          </cell>
          <cell r="BG2">
            <v>0</v>
          </cell>
          <cell r="BH2">
            <v>240.45</v>
          </cell>
          <cell r="BI2">
            <v>0.1</v>
          </cell>
          <cell r="BJ2">
            <v>191.45</v>
          </cell>
          <cell r="BK2">
            <v>0</v>
          </cell>
          <cell r="BL2">
            <v>0</v>
          </cell>
          <cell r="BM2">
            <v>0.4</v>
          </cell>
          <cell r="BN2">
            <v>0</v>
          </cell>
          <cell r="BO2">
            <v>0</v>
          </cell>
          <cell r="BP2">
            <v>0</v>
          </cell>
          <cell r="BQ2">
            <v>0</v>
          </cell>
          <cell r="BR2">
            <v>9.5</v>
          </cell>
          <cell r="BS2">
            <v>0</v>
          </cell>
          <cell r="BT2">
            <v>0</v>
          </cell>
          <cell r="BU2">
            <v>0</v>
          </cell>
          <cell r="BV2">
            <v>0</v>
          </cell>
          <cell r="BW2">
            <v>146.25</v>
          </cell>
          <cell r="BX2">
            <v>393.25</v>
          </cell>
          <cell r="BY2">
            <v>0</v>
          </cell>
          <cell r="BZ2">
            <v>0</v>
          </cell>
          <cell r="CA2">
            <v>0</v>
          </cell>
          <cell r="CB2">
            <v>0</v>
          </cell>
          <cell r="CC2">
            <v>0</v>
          </cell>
          <cell r="CD2">
            <v>0</v>
          </cell>
          <cell r="CE2">
            <v>0</v>
          </cell>
          <cell r="CF2">
            <v>50297.1</v>
          </cell>
          <cell r="CG2">
            <v>0</v>
          </cell>
          <cell r="CH2">
            <v>0</v>
          </cell>
          <cell r="CI2">
            <v>0</v>
          </cell>
          <cell r="CJ2">
            <v>344.25</v>
          </cell>
          <cell r="CK2">
            <v>0</v>
          </cell>
          <cell r="CL2">
            <v>0</v>
          </cell>
          <cell r="CM2">
            <v>0</v>
          </cell>
          <cell r="CN2">
            <v>0</v>
          </cell>
          <cell r="CO2">
            <v>0</v>
          </cell>
          <cell r="CP2">
            <v>0</v>
          </cell>
          <cell r="CQ2">
            <v>0</v>
          </cell>
          <cell r="CR2">
            <v>0</v>
          </cell>
          <cell r="CS2">
            <v>0</v>
          </cell>
          <cell r="CT2">
            <v>0</v>
          </cell>
          <cell r="CU2">
            <v>613.65</v>
          </cell>
          <cell r="CV2">
            <v>4588.3</v>
          </cell>
          <cell r="CW2">
            <v>0.05</v>
          </cell>
          <cell r="CX2">
            <v>15.7</v>
          </cell>
          <cell r="CY2">
            <v>0</v>
          </cell>
          <cell r="CZ2">
            <v>0.15</v>
          </cell>
          <cell r="DA2">
            <v>13.35</v>
          </cell>
          <cell r="DB2">
            <v>226.25</v>
          </cell>
          <cell r="DC2">
            <v>712.05</v>
          </cell>
          <cell r="DD2">
            <v>0</v>
          </cell>
          <cell r="DE2">
            <v>0</v>
          </cell>
          <cell r="DF2">
            <v>7559.55</v>
          </cell>
          <cell r="DG2">
            <v>0</v>
          </cell>
          <cell r="DH2">
            <v>0.1</v>
          </cell>
          <cell r="DI2">
            <v>0</v>
          </cell>
          <cell r="DJ2">
            <v>0</v>
          </cell>
          <cell r="DK2">
            <v>6489.9</v>
          </cell>
          <cell r="DL2">
            <v>0</v>
          </cell>
          <cell r="DM2">
            <v>0</v>
          </cell>
          <cell r="DN2">
            <v>0</v>
          </cell>
          <cell r="DO2">
            <v>5.5</v>
          </cell>
          <cell r="DP2">
            <v>0</v>
          </cell>
          <cell r="DQ2">
            <v>0</v>
          </cell>
          <cell r="DR2">
            <v>0</v>
          </cell>
          <cell r="DS2">
            <v>0</v>
          </cell>
          <cell r="DT2">
            <v>8.5</v>
          </cell>
          <cell r="DU2">
            <v>24.9</v>
          </cell>
          <cell r="DV2">
            <v>0</v>
          </cell>
          <cell r="DW2">
            <v>0</v>
          </cell>
          <cell r="DX2">
            <v>0</v>
          </cell>
          <cell r="DY2">
            <v>1390.05</v>
          </cell>
          <cell r="DZ2">
            <v>0</v>
          </cell>
          <cell r="EA2">
            <v>0</v>
          </cell>
          <cell r="EB2">
            <v>0.70000000000000007</v>
          </cell>
          <cell r="EC2">
            <v>0</v>
          </cell>
          <cell r="ED2">
            <v>0</v>
          </cell>
          <cell r="EE2">
            <v>815.4</v>
          </cell>
          <cell r="EF2">
            <v>0</v>
          </cell>
          <cell r="EG2">
            <v>0</v>
          </cell>
          <cell r="EH2">
            <v>0</v>
          </cell>
          <cell r="EI2">
            <v>0</v>
          </cell>
          <cell r="EJ2">
            <v>1146.5999999999999</v>
          </cell>
          <cell r="EK2">
            <v>0</v>
          </cell>
          <cell r="EL2">
            <v>0</v>
          </cell>
          <cell r="EM2">
            <v>0</v>
          </cell>
          <cell r="EN2">
            <v>0</v>
          </cell>
          <cell r="EO2">
            <v>0</v>
          </cell>
          <cell r="EP2">
            <v>1380.2</v>
          </cell>
          <cell r="EQ2">
            <v>0</v>
          </cell>
          <cell r="ER2">
            <v>0</v>
          </cell>
          <cell r="ES2">
            <v>0</v>
          </cell>
          <cell r="ET2">
            <v>0</v>
          </cell>
          <cell r="EU2">
            <v>0</v>
          </cell>
          <cell r="EV2">
            <v>0</v>
          </cell>
          <cell r="EW2">
            <v>1.8</v>
          </cell>
          <cell r="EX2">
            <v>0</v>
          </cell>
          <cell r="EY2">
            <v>0</v>
          </cell>
          <cell r="EZ2">
            <v>0</v>
          </cell>
          <cell r="FA2">
            <v>0</v>
          </cell>
          <cell r="FB2">
            <v>0</v>
          </cell>
          <cell r="FC2">
            <v>35.049999999999997</v>
          </cell>
          <cell r="FD2">
            <v>0</v>
          </cell>
          <cell r="FE2">
            <v>0</v>
          </cell>
          <cell r="FF2">
            <v>0</v>
          </cell>
          <cell r="FG2">
            <v>0</v>
          </cell>
          <cell r="FH2">
            <v>0</v>
          </cell>
          <cell r="FI2">
            <v>0</v>
          </cell>
          <cell r="FJ2">
            <v>0</v>
          </cell>
          <cell r="FK2">
            <v>0</v>
          </cell>
          <cell r="FL2">
            <v>0</v>
          </cell>
          <cell r="FM2">
            <v>0</v>
          </cell>
          <cell r="FN2">
            <v>213.05</v>
          </cell>
          <cell r="FO2">
            <v>0</v>
          </cell>
          <cell r="FP2">
            <v>9264.15</v>
          </cell>
          <cell r="FQ2">
            <v>88.1</v>
          </cell>
          <cell r="FR2">
            <v>0</v>
          </cell>
          <cell r="FS2">
            <v>0</v>
          </cell>
          <cell r="FT2">
            <v>0.05</v>
          </cell>
          <cell r="FU2">
            <v>39.900000000000013</v>
          </cell>
          <cell r="FV2">
            <v>5.45</v>
          </cell>
          <cell r="FW2">
            <v>0</v>
          </cell>
          <cell r="FX2">
            <v>0</v>
          </cell>
          <cell r="FY2">
            <v>0</v>
          </cell>
          <cell r="FZ2">
            <v>0</v>
          </cell>
          <cell r="GA2">
            <v>0</v>
          </cell>
          <cell r="GB2">
            <v>0</v>
          </cell>
          <cell r="GC2">
            <v>0</v>
          </cell>
          <cell r="GD2">
            <v>0</v>
          </cell>
          <cell r="GE2">
            <v>0</v>
          </cell>
          <cell r="GF2">
            <v>0</v>
          </cell>
          <cell r="GG2">
            <v>0.05</v>
          </cell>
          <cell r="GH2">
            <v>0</v>
          </cell>
          <cell r="GI2">
            <v>8.1</v>
          </cell>
          <cell r="GJ2">
            <v>0</v>
          </cell>
          <cell r="GK2">
            <v>0</v>
          </cell>
          <cell r="GL2">
            <v>80.400000000000006</v>
          </cell>
          <cell r="GM2">
            <v>368.25</v>
          </cell>
          <cell r="GN2">
            <v>87.2</v>
          </cell>
          <cell r="GO2">
            <v>273.3</v>
          </cell>
          <cell r="GP2">
            <v>19.100000000000001</v>
          </cell>
          <cell r="GQ2">
            <v>0</v>
          </cell>
          <cell r="GR2">
            <v>0</v>
          </cell>
          <cell r="GS2">
            <v>0</v>
          </cell>
          <cell r="GT2">
            <v>1263.3</v>
          </cell>
          <cell r="GU2">
            <v>0</v>
          </cell>
          <cell r="GV2">
            <v>0</v>
          </cell>
          <cell r="GW2">
            <v>0</v>
          </cell>
          <cell r="GX2">
            <v>0</v>
          </cell>
          <cell r="GY2">
            <v>10.85</v>
          </cell>
          <cell r="GZ2">
            <v>24.15</v>
          </cell>
          <cell r="HA2">
            <v>0</v>
          </cell>
          <cell r="HB2">
            <v>0</v>
          </cell>
          <cell r="HC2">
            <v>0</v>
          </cell>
          <cell r="HD2">
            <v>33.450000000000003</v>
          </cell>
          <cell r="HE2">
            <v>0</v>
          </cell>
          <cell r="HF2">
            <v>0</v>
          </cell>
          <cell r="HG2">
            <v>0</v>
          </cell>
          <cell r="HH2">
            <v>0</v>
          </cell>
          <cell r="HI2">
            <v>0.2</v>
          </cell>
          <cell r="HJ2">
            <v>0</v>
          </cell>
          <cell r="HK2">
            <v>35.450000000000003</v>
          </cell>
          <cell r="HL2">
            <v>0</v>
          </cell>
          <cell r="HM2">
            <v>0</v>
          </cell>
          <cell r="HN2">
            <v>0</v>
          </cell>
          <cell r="HO2">
            <v>0</v>
          </cell>
          <cell r="HP2">
            <v>0.1</v>
          </cell>
          <cell r="HQ2">
            <v>0</v>
          </cell>
          <cell r="HR2">
            <v>0</v>
          </cell>
          <cell r="HS2">
            <v>467.2</v>
          </cell>
          <cell r="HT2">
            <v>0</v>
          </cell>
          <cell r="HU2">
            <v>7422.7999999999993</v>
          </cell>
          <cell r="HV2">
            <v>0</v>
          </cell>
          <cell r="HW2">
            <v>0</v>
          </cell>
          <cell r="HX2">
            <v>0</v>
          </cell>
          <cell r="HY2">
            <v>0</v>
          </cell>
          <cell r="HZ2">
            <v>0</v>
          </cell>
          <cell r="IA2">
            <v>0</v>
          </cell>
          <cell r="IB2">
            <v>0</v>
          </cell>
          <cell r="IC2">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0</v>
          </cell>
          <cell r="E2">
            <v>0</v>
          </cell>
          <cell r="F2">
            <v>0</v>
          </cell>
          <cell r="G2">
            <v>0</v>
          </cell>
          <cell r="H2">
            <v>0</v>
          </cell>
          <cell r="I2">
            <v>0</v>
          </cell>
          <cell r="J2">
            <v>0</v>
          </cell>
          <cell r="K2">
            <v>0</v>
          </cell>
          <cell r="L2">
            <v>0</v>
          </cell>
          <cell r="M2">
            <v>0.66</v>
          </cell>
          <cell r="N2">
            <v>181816.47</v>
          </cell>
          <cell r="O2">
            <v>0</v>
          </cell>
          <cell r="P2">
            <v>0</v>
          </cell>
          <cell r="Q2">
            <v>5.28</v>
          </cell>
          <cell r="R2">
            <v>0</v>
          </cell>
          <cell r="S2">
            <v>0</v>
          </cell>
          <cell r="T2">
            <v>4981.0200000000004</v>
          </cell>
          <cell r="U2">
            <v>0</v>
          </cell>
          <cell r="V2">
            <v>0</v>
          </cell>
          <cell r="W2">
            <v>0</v>
          </cell>
          <cell r="X2">
            <v>0</v>
          </cell>
          <cell r="Y2">
            <v>0</v>
          </cell>
          <cell r="Z2">
            <v>0</v>
          </cell>
          <cell r="AA2">
            <v>198.66</v>
          </cell>
          <cell r="AB2">
            <v>0</v>
          </cell>
          <cell r="AC2">
            <v>0</v>
          </cell>
          <cell r="AD2">
            <v>0</v>
          </cell>
          <cell r="AE2">
            <v>0</v>
          </cell>
          <cell r="AF2">
            <v>0</v>
          </cell>
          <cell r="AG2">
            <v>0</v>
          </cell>
          <cell r="AH2">
            <v>18176.07</v>
          </cell>
          <cell r="AI2">
            <v>0</v>
          </cell>
          <cell r="AJ2">
            <v>0</v>
          </cell>
          <cell r="AK2">
            <v>0</v>
          </cell>
          <cell r="AL2">
            <v>0</v>
          </cell>
          <cell r="AM2">
            <v>4.62</v>
          </cell>
          <cell r="AN2">
            <v>3.96</v>
          </cell>
          <cell r="AO2">
            <v>0</v>
          </cell>
          <cell r="AP2">
            <v>0</v>
          </cell>
          <cell r="AQ2">
            <v>0</v>
          </cell>
          <cell r="AR2">
            <v>0</v>
          </cell>
          <cell r="AS2">
            <v>0</v>
          </cell>
          <cell r="AT2">
            <v>0.99</v>
          </cell>
          <cell r="AU2">
            <v>642033.15</v>
          </cell>
          <cell r="AV2">
            <v>0</v>
          </cell>
          <cell r="AW2">
            <v>0</v>
          </cell>
          <cell r="AX2">
            <v>0</v>
          </cell>
          <cell r="AY2">
            <v>0</v>
          </cell>
          <cell r="AZ2">
            <v>0</v>
          </cell>
          <cell r="BA2">
            <v>0</v>
          </cell>
          <cell r="BB2">
            <v>0</v>
          </cell>
          <cell r="BC2">
            <v>0</v>
          </cell>
          <cell r="BD2">
            <v>0</v>
          </cell>
          <cell r="BE2">
            <v>0</v>
          </cell>
          <cell r="BF2">
            <v>0</v>
          </cell>
          <cell r="BG2">
            <v>0</v>
          </cell>
          <cell r="BH2">
            <v>937.19999999999993</v>
          </cell>
          <cell r="BI2">
            <v>0</v>
          </cell>
          <cell r="BJ2">
            <v>1290.96</v>
          </cell>
          <cell r="BK2">
            <v>0</v>
          </cell>
          <cell r="BL2">
            <v>0</v>
          </cell>
          <cell r="BM2">
            <v>0</v>
          </cell>
          <cell r="BN2">
            <v>0</v>
          </cell>
          <cell r="BO2">
            <v>0</v>
          </cell>
          <cell r="BP2">
            <v>0</v>
          </cell>
          <cell r="BQ2">
            <v>0</v>
          </cell>
          <cell r="BR2">
            <v>106.92</v>
          </cell>
          <cell r="BS2">
            <v>0</v>
          </cell>
          <cell r="BT2">
            <v>0</v>
          </cell>
          <cell r="BU2">
            <v>0</v>
          </cell>
          <cell r="BV2">
            <v>0</v>
          </cell>
          <cell r="BW2">
            <v>856.35</v>
          </cell>
          <cell r="BX2">
            <v>600509.25</v>
          </cell>
          <cell r="BY2">
            <v>0</v>
          </cell>
          <cell r="BZ2">
            <v>0</v>
          </cell>
          <cell r="CA2">
            <v>0</v>
          </cell>
          <cell r="CB2">
            <v>0</v>
          </cell>
          <cell r="CC2">
            <v>0</v>
          </cell>
          <cell r="CD2">
            <v>0</v>
          </cell>
          <cell r="CE2">
            <v>0</v>
          </cell>
          <cell r="CF2">
            <v>1030974.12</v>
          </cell>
          <cell r="CG2">
            <v>0</v>
          </cell>
          <cell r="CH2">
            <v>0</v>
          </cell>
          <cell r="CI2">
            <v>0</v>
          </cell>
          <cell r="CJ2">
            <v>1510.41</v>
          </cell>
          <cell r="CK2">
            <v>0</v>
          </cell>
          <cell r="CL2">
            <v>0</v>
          </cell>
          <cell r="CM2">
            <v>0</v>
          </cell>
          <cell r="CN2">
            <v>0</v>
          </cell>
          <cell r="CO2">
            <v>0</v>
          </cell>
          <cell r="CP2">
            <v>0</v>
          </cell>
          <cell r="CQ2">
            <v>0</v>
          </cell>
          <cell r="CR2">
            <v>0</v>
          </cell>
          <cell r="CS2">
            <v>0</v>
          </cell>
          <cell r="CT2">
            <v>0</v>
          </cell>
          <cell r="CU2">
            <v>2.31</v>
          </cell>
          <cell r="CV2">
            <v>476.85</v>
          </cell>
          <cell r="CW2">
            <v>0</v>
          </cell>
          <cell r="CX2">
            <v>421.08</v>
          </cell>
          <cell r="CY2">
            <v>0</v>
          </cell>
          <cell r="CZ2">
            <v>0</v>
          </cell>
          <cell r="DA2">
            <v>14789.61</v>
          </cell>
          <cell r="DB2">
            <v>110.55</v>
          </cell>
          <cell r="DC2">
            <v>194293.77</v>
          </cell>
          <cell r="DD2">
            <v>0</v>
          </cell>
          <cell r="DE2">
            <v>0</v>
          </cell>
          <cell r="DF2">
            <v>3333.33</v>
          </cell>
          <cell r="DG2">
            <v>0</v>
          </cell>
          <cell r="DH2">
            <v>0</v>
          </cell>
          <cell r="DI2">
            <v>0</v>
          </cell>
          <cell r="DJ2">
            <v>0</v>
          </cell>
          <cell r="DK2">
            <v>6897.99</v>
          </cell>
          <cell r="DL2">
            <v>0</v>
          </cell>
          <cell r="DM2">
            <v>0</v>
          </cell>
          <cell r="DN2">
            <v>0</v>
          </cell>
          <cell r="DO2">
            <v>0</v>
          </cell>
          <cell r="DP2">
            <v>0</v>
          </cell>
          <cell r="DQ2">
            <v>0</v>
          </cell>
          <cell r="DR2">
            <v>0</v>
          </cell>
          <cell r="DS2">
            <v>0</v>
          </cell>
          <cell r="DT2">
            <v>487.41</v>
          </cell>
          <cell r="DU2">
            <v>3183.84</v>
          </cell>
          <cell r="DV2">
            <v>0</v>
          </cell>
          <cell r="DW2">
            <v>0</v>
          </cell>
          <cell r="DX2">
            <v>0</v>
          </cell>
          <cell r="DY2">
            <v>1073.1600000000001</v>
          </cell>
          <cell r="DZ2">
            <v>0</v>
          </cell>
          <cell r="EA2">
            <v>0</v>
          </cell>
          <cell r="EB2">
            <v>0</v>
          </cell>
          <cell r="EC2">
            <v>0</v>
          </cell>
          <cell r="ED2">
            <v>0</v>
          </cell>
          <cell r="EE2">
            <v>18862.47</v>
          </cell>
          <cell r="EF2">
            <v>0</v>
          </cell>
          <cell r="EG2">
            <v>0</v>
          </cell>
          <cell r="EH2">
            <v>0</v>
          </cell>
          <cell r="EI2">
            <v>0</v>
          </cell>
          <cell r="EJ2">
            <v>33.330000000000013</v>
          </cell>
          <cell r="EK2">
            <v>0</v>
          </cell>
          <cell r="EL2">
            <v>0</v>
          </cell>
          <cell r="EM2">
            <v>0</v>
          </cell>
          <cell r="EN2">
            <v>0</v>
          </cell>
          <cell r="EO2">
            <v>0</v>
          </cell>
          <cell r="EP2">
            <v>40695.599999999999</v>
          </cell>
          <cell r="EQ2">
            <v>0</v>
          </cell>
          <cell r="ER2">
            <v>0</v>
          </cell>
          <cell r="ES2">
            <v>0</v>
          </cell>
          <cell r="ET2">
            <v>0</v>
          </cell>
          <cell r="EU2">
            <v>0</v>
          </cell>
          <cell r="EV2">
            <v>0</v>
          </cell>
          <cell r="EW2">
            <v>110.88</v>
          </cell>
          <cell r="EX2">
            <v>0</v>
          </cell>
          <cell r="EY2">
            <v>0</v>
          </cell>
          <cell r="EZ2">
            <v>0</v>
          </cell>
          <cell r="FA2">
            <v>0</v>
          </cell>
          <cell r="FB2">
            <v>0</v>
          </cell>
          <cell r="FC2">
            <v>39.6</v>
          </cell>
          <cell r="FD2">
            <v>0</v>
          </cell>
          <cell r="FE2">
            <v>0</v>
          </cell>
          <cell r="FF2">
            <v>0</v>
          </cell>
          <cell r="FG2">
            <v>0</v>
          </cell>
          <cell r="FH2">
            <v>0</v>
          </cell>
          <cell r="FI2">
            <v>0.33</v>
          </cell>
          <cell r="FJ2">
            <v>0</v>
          </cell>
          <cell r="FK2">
            <v>0</v>
          </cell>
          <cell r="FL2">
            <v>0</v>
          </cell>
          <cell r="FM2">
            <v>0</v>
          </cell>
          <cell r="FN2">
            <v>51787.89</v>
          </cell>
          <cell r="FO2">
            <v>0</v>
          </cell>
          <cell r="FP2">
            <v>306794.73</v>
          </cell>
          <cell r="FQ2">
            <v>87829.499999999985</v>
          </cell>
          <cell r="FR2">
            <v>0</v>
          </cell>
          <cell r="FS2">
            <v>0</v>
          </cell>
          <cell r="FT2">
            <v>0</v>
          </cell>
          <cell r="FU2">
            <v>70.95</v>
          </cell>
          <cell r="FV2">
            <v>150.47999999999999</v>
          </cell>
          <cell r="FW2">
            <v>0</v>
          </cell>
          <cell r="FX2">
            <v>0</v>
          </cell>
          <cell r="FY2">
            <v>0</v>
          </cell>
          <cell r="FZ2">
            <v>0</v>
          </cell>
          <cell r="GA2">
            <v>0</v>
          </cell>
          <cell r="GB2">
            <v>0</v>
          </cell>
          <cell r="GC2">
            <v>0</v>
          </cell>
          <cell r="GD2">
            <v>0</v>
          </cell>
          <cell r="GE2">
            <v>0</v>
          </cell>
          <cell r="GF2">
            <v>0</v>
          </cell>
          <cell r="GG2">
            <v>0</v>
          </cell>
          <cell r="GH2">
            <v>0</v>
          </cell>
          <cell r="GI2">
            <v>0</v>
          </cell>
          <cell r="GJ2">
            <v>0</v>
          </cell>
          <cell r="GK2">
            <v>0</v>
          </cell>
          <cell r="GL2">
            <v>1309.44</v>
          </cell>
          <cell r="GM2">
            <v>26.07</v>
          </cell>
          <cell r="GN2">
            <v>1808.07</v>
          </cell>
          <cell r="GO2">
            <v>170643.99</v>
          </cell>
          <cell r="GP2">
            <v>141847.85999999999</v>
          </cell>
          <cell r="GQ2">
            <v>0</v>
          </cell>
          <cell r="GR2">
            <v>0</v>
          </cell>
          <cell r="GS2">
            <v>0</v>
          </cell>
          <cell r="GT2">
            <v>975.81</v>
          </cell>
          <cell r="GU2">
            <v>0</v>
          </cell>
          <cell r="GV2">
            <v>0</v>
          </cell>
          <cell r="GW2">
            <v>0</v>
          </cell>
          <cell r="GX2">
            <v>0</v>
          </cell>
          <cell r="GY2">
            <v>0</v>
          </cell>
          <cell r="GZ2">
            <v>108.57</v>
          </cell>
          <cell r="HA2">
            <v>0</v>
          </cell>
          <cell r="HB2">
            <v>0</v>
          </cell>
          <cell r="HC2">
            <v>0</v>
          </cell>
          <cell r="HD2">
            <v>1095.93</v>
          </cell>
          <cell r="HE2">
            <v>0</v>
          </cell>
          <cell r="HF2">
            <v>0</v>
          </cell>
          <cell r="HG2">
            <v>0</v>
          </cell>
          <cell r="HH2">
            <v>0</v>
          </cell>
          <cell r="HI2">
            <v>129888.33</v>
          </cell>
          <cell r="HJ2">
            <v>1415.04</v>
          </cell>
          <cell r="HK2">
            <v>92.73</v>
          </cell>
          <cell r="HL2">
            <v>0</v>
          </cell>
          <cell r="HM2">
            <v>0</v>
          </cell>
          <cell r="HN2">
            <v>0</v>
          </cell>
          <cell r="HO2">
            <v>0</v>
          </cell>
          <cell r="HP2">
            <v>0</v>
          </cell>
          <cell r="HQ2">
            <v>286.11</v>
          </cell>
          <cell r="HR2">
            <v>0</v>
          </cell>
          <cell r="HS2">
            <v>271426.32</v>
          </cell>
          <cell r="HT2">
            <v>0</v>
          </cell>
          <cell r="HU2">
            <v>89389.079999999987</v>
          </cell>
          <cell r="HV2">
            <v>0</v>
          </cell>
          <cell r="HW2">
            <v>0</v>
          </cell>
          <cell r="HX2">
            <v>0</v>
          </cell>
          <cell r="HY2">
            <v>0</v>
          </cell>
          <cell r="HZ2">
            <v>0</v>
          </cell>
          <cell r="IA2">
            <v>0</v>
          </cell>
          <cell r="IB2">
            <v>0</v>
          </cell>
          <cell r="IC2">
            <v>0</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orax.com/news-events/october-2019/borates-in-glass-manufacturing" TargetMode="External"/><Relationship Id="rId2" Type="http://schemas.openxmlformats.org/officeDocument/2006/relationships/hyperlink" Target="https://www.usgs.gov/faqs/what-materials-are-used-make-wind-turbines," TargetMode="External"/><Relationship Id="rId1" Type="http://schemas.openxmlformats.org/officeDocument/2006/relationships/hyperlink" Target="https://www.researchgate.net/publication/307614361_The_environmental_impact_of_wind_turbine_blades.%20Assumed%20that%2050%25%20carbon%20fibers%20and%2050%25%20glass%20fibers%20are%20used%20in%20the%20rotor%20blades."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8"/>
  <sheetViews>
    <sheetView topLeftCell="A49" workbookViewId="0">
      <selection activeCell="D57" sqref="D57"/>
    </sheetView>
  </sheetViews>
  <sheetFormatPr baseColWidth="10" defaultRowHeight="16" x14ac:dyDescent="0.45"/>
  <cols>
    <col min="1" max="1" width="21.453125" customWidth="1"/>
    <col min="2" max="2" width="21.7265625" customWidth="1"/>
    <col min="3" max="3" width="29.7265625" customWidth="1"/>
  </cols>
  <sheetData>
    <row r="1" spans="1:6" x14ac:dyDescent="0.45">
      <c r="A1" s="3" t="s">
        <v>9</v>
      </c>
    </row>
    <row r="3" spans="1:6" x14ac:dyDescent="0.45">
      <c r="A3" s="1" t="s">
        <v>1</v>
      </c>
      <c r="B3" s="1" t="s">
        <v>10</v>
      </c>
      <c r="C3" s="1" t="s">
        <v>11</v>
      </c>
      <c r="D3" s="1" t="s">
        <v>12</v>
      </c>
    </row>
    <row r="4" spans="1:6" x14ac:dyDescent="0.45">
      <c r="A4" s="32" t="s">
        <v>3</v>
      </c>
      <c r="B4" s="32"/>
      <c r="C4" s="32"/>
      <c r="D4" s="32"/>
      <c r="F4" s="5"/>
    </row>
    <row r="5" spans="1:6" x14ac:dyDescent="0.45">
      <c r="A5" s="1" t="s">
        <v>4</v>
      </c>
      <c r="B5" s="5">
        <f>SUM(B6:B9)</f>
        <v>0.99999999999999989</v>
      </c>
    </row>
    <row r="6" spans="1:6" x14ac:dyDescent="0.45">
      <c r="A6" s="2" t="s">
        <v>13</v>
      </c>
      <c r="B6" s="4">
        <f>(10+14)/(35+27+14+10+4+2)</f>
        <v>0.2608695652173913</v>
      </c>
      <c r="C6" s="19" t="s">
        <v>135</v>
      </c>
    </row>
    <row r="7" spans="1:6" x14ac:dyDescent="0.45">
      <c r="A7" s="2" t="s">
        <v>14</v>
      </c>
      <c r="B7" s="4">
        <f>(35+27)/(35+27+14+10+4+2)</f>
        <v>0.67391304347826086</v>
      </c>
      <c r="C7" s="19" t="s">
        <v>135</v>
      </c>
    </row>
    <row r="8" spans="1:6" x14ac:dyDescent="0.45">
      <c r="A8" s="2" t="s">
        <v>15</v>
      </c>
      <c r="B8" s="4">
        <f>2/(35+27+14+10+4+2)</f>
        <v>2.1739130434782608E-2</v>
      </c>
      <c r="C8" s="19" t="s">
        <v>135</v>
      </c>
    </row>
    <row r="9" spans="1:6" x14ac:dyDescent="0.45">
      <c r="A9" s="2" t="s">
        <v>16</v>
      </c>
      <c r="B9" s="4">
        <f>4/(35+27+14+10+4+2)</f>
        <v>4.3478260869565216E-2</v>
      </c>
      <c r="C9" s="19" t="s">
        <v>135</v>
      </c>
    </row>
    <row r="10" spans="1:6" x14ac:dyDescent="0.45">
      <c r="A10" s="1" t="s">
        <v>5</v>
      </c>
      <c r="B10" s="6">
        <v>1</v>
      </c>
    </row>
    <row r="11" spans="1:6" x14ac:dyDescent="0.45">
      <c r="A11" s="8" t="s">
        <v>25</v>
      </c>
      <c r="B11" s="6">
        <v>0.1</v>
      </c>
      <c r="C11" s="19" t="s">
        <v>136</v>
      </c>
    </row>
    <row r="12" spans="1:6" x14ac:dyDescent="0.45">
      <c r="A12" s="8" t="s">
        <v>26</v>
      </c>
      <c r="B12" s="6">
        <v>0.04</v>
      </c>
      <c r="C12" s="19" t="s">
        <v>136</v>
      </c>
    </row>
    <row r="13" spans="1:6" x14ac:dyDescent="0.45">
      <c r="A13" s="8" t="s">
        <v>27</v>
      </c>
      <c r="B13" s="6">
        <v>0.12</v>
      </c>
      <c r="C13" s="19" t="s">
        <v>136</v>
      </c>
    </row>
    <row r="14" spans="1:6" ht="64" x14ac:dyDescent="0.45">
      <c r="A14" s="1" t="s">
        <v>33</v>
      </c>
      <c r="B14" s="6">
        <v>1</v>
      </c>
    </row>
    <row r="15" spans="1:6" ht="48" x14ac:dyDescent="0.45">
      <c r="A15" s="1" t="s">
        <v>34</v>
      </c>
      <c r="B15" s="6">
        <v>1</v>
      </c>
    </row>
    <row r="16" spans="1:6" x14ac:dyDescent="0.45">
      <c r="A16" s="8" t="s">
        <v>57</v>
      </c>
      <c r="B16" s="5">
        <f>27/800</f>
        <v>3.3750000000000002E-2</v>
      </c>
      <c r="C16" s="19" t="s">
        <v>137</v>
      </c>
      <c r="D16" t="s">
        <v>138</v>
      </c>
    </row>
    <row r="17" spans="1:4" x14ac:dyDescent="0.45">
      <c r="A17" s="8" t="s">
        <v>58</v>
      </c>
      <c r="B17" s="5">
        <f>4.2/800</f>
        <v>5.2500000000000003E-3</v>
      </c>
      <c r="C17" s="19" t="s">
        <v>139</v>
      </c>
      <c r="D17" t="s">
        <v>138</v>
      </c>
    </row>
    <row r="18" spans="1:4" ht="48" x14ac:dyDescent="0.45">
      <c r="A18" s="1" t="s">
        <v>53</v>
      </c>
      <c r="B18" s="6">
        <v>1</v>
      </c>
    </row>
    <row r="19" spans="1:4" x14ac:dyDescent="0.45">
      <c r="A19" s="1" t="s">
        <v>8</v>
      </c>
      <c r="B19" s="6">
        <v>1</v>
      </c>
    </row>
    <row r="20" spans="1:4" x14ac:dyDescent="0.45">
      <c r="A20" s="1" t="s">
        <v>102</v>
      </c>
      <c r="B20" s="6">
        <v>1</v>
      </c>
    </row>
    <row r="21" spans="1:4" ht="64" x14ac:dyDescent="0.45">
      <c r="A21" s="1" t="s">
        <v>60</v>
      </c>
      <c r="B21" s="6">
        <v>1</v>
      </c>
    </row>
    <row r="22" spans="1:4" x14ac:dyDescent="0.45">
      <c r="A22" s="32" t="s">
        <v>17</v>
      </c>
      <c r="B22" s="32"/>
      <c r="C22" s="32"/>
      <c r="D22" s="32"/>
    </row>
    <row r="23" spans="1:4" ht="32" x14ac:dyDescent="0.45">
      <c r="A23" s="7" t="s">
        <v>18</v>
      </c>
      <c r="B23" s="4">
        <f>79.93/119.27*B6+79.61/119.2*B7+87.19/114.79*B8+96.48/102.03*B9</f>
        <v>0.68253552279922136</v>
      </c>
      <c r="C23" s="19" t="s">
        <v>140</v>
      </c>
    </row>
    <row r="24" spans="1:4" ht="32" x14ac:dyDescent="0.45">
      <c r="A24" s="8" t="s">
        <v>19</v>
      </c>
      <c r="B24" s="4">
        <f>5.2/119.27*B6+5.58/119.2*B7+0.06/114.79*B8+0.15/102.03*B9</f>
        <v>4.2996091231695878E-2</v>
      </c>
      <c r="C24" s="19" t="s">
        <v>140</v>
      </c>
    </row>
    <row r="25" spans="1:4" ht="32" x14ac:dyDescent="0.45">
      <c r="A25" s="8" t="s">
        <v>21</v>
      </c>
      <c r="B25" s="4">
        <f>((0.38/1.47)*(1.47/119.27)+(19.27/119.27))*B6+((0.38/1.46)*(1.46/119.2)+(19.2/119.2))*B7+((0.3/0.55)*(0.55/114.79)+(14.79/114.79))*B8+(2.03/102.03)*B9</f>
        <v>0.15739979716713529</v>
      </c>
      <c r="C25" s="19" t="s">
        <v>140</v>
      </c>
      <c r="D25" t="s">
        <v>22</v>
      </c>
    </row>
    <row r="26" spans="1:4" ht="48" x14ac:dyDescent="0.45">
      <c r="A26" s="8" t="s">
        <v>28</v>
      </c>
      <c r="B26" s="4">
        <f>(1683/63400+1247/63200+1265/82900)/3</f>
        <v>2.0512034198645158E-2</v>
      </c>
      <c r="C26" s="19" t="s">
        <v>141</v>
      </c>
      <c r="D26" s="16" t="s">
        <v>205</v>
      </c>
    </row>
    <row r="27" spans="1:4" ht="32" x14ac:dyDescent="0.45">
      <c r="A27" s="8" t="s">
        <v>56</v>
      </c>
      <c r="B27" s="4">
        <f>60.4%/2</f>
        <v>0.30199999999999999</v>
      </c>
      <c r="C27" s="16" t="s">
        <v>142</v>
      </c>
      <c r="D27" t="s">
        <v>207</v>
      </c>
    </row>
    <row r="28" spans="1:4" ht="32" x14ac:dyDescent="0.45">
      <c r="A28" s="8" t="s">
        <v>36</v>
      </c>
      <c r="B28" s="4">
        <v>1</v>
      </c>
      <c r="C28" s="16"/>
    </row>
    <row r="29" spans="1:4" ht="32" x14ac:dyDescent="0.45">
      <c r="A29" s="8" t="s">
        <v>103</v>
      </c>
      <c r="B29" s="4">
        <f>(1683/63400+1247/63200+1265/82900)/3</f>
        <v>2.0512034198645158E-2</v>
      </c>
      <c r="C29" s="19" t="s">
        <v>141</v>
      </c>
      <c r="D29" t="s">
        <v>208</v>
      </c>
    </row>
    <row r="30" spans="1:4" x14ac:dyDescent="0.45">
      <c r="A30" s="7" t="s">
        <v>64</v>
      </c>
      <c r="B30" s="17">
        <v>0.625</v>
      </c>
      <c r="C30" s="19" t="s">
        <v>39</v>
      </c>
      <c r="D30" s="4" t="s">
        <v>209</v>
      </c>
    </row>
    <row r="31" spans="1:4" x14ac:dyDescent="0.45">
      <c r="A31" s="7" t="s">
        <v>63</v>
      </c>
      <c r="B31" s="25">
        <f>100%-B30</f>
        <v>0.375</v>
      </c>
      <c r="C31" s="19" t="s">
        <v>39</v>
      </c>
      <c r="D31" s="4"/>
    </row>
    <row r="32" spans="1:4" x14ac:dyDescent="0.45">
      <c r="A32" s="7" t="s">
        <v>65</v>
      </c>
      <c r="B32" s="5">
        <v>0.68</v>
      </c>
      <c r="C32" s="19" t="s">
        <v>143</v>
      </c>
      <c r="D32" s="4"/>
    </row>
    <row r="33" spans="1:4" x14ac:dyDescent="0.45">
      <c r="A33" s="7" t="s">
        <v>66</v>
      </c>
      <c r="B33" s="17">
        <v>0.32</v>
      </c>
      <c r="C33" s="19" t="s">
        <v>143</v>
      </c>
      <c r="D33" s="4"/>
    </row>
    <row r="34" spans="1:4" x14ac:dyDescent="0.45">
      <c r="A34" s="32" t="s">
        <v>37</v>
      </c>
      <c r="B34" s="32"/>
      <c r="C34" s="32"/>
      <c r="D34" s="32"/>
    </row>
    <row r="35" spans="1:4" ht="48" x14ac:dyDescent="0.45">
      <c r="A35" s="8" t="s">
        <v>55</v>
      </c>
      <c r="B35" s="4">
        <f>(245/350)*(1683/63400+1247/63200+1265/82900)/3</f>
        <v>1.4358423939051609E-2</v>
      </c>
      <c r="C35" s="16" t="s">
        <v>210</v>
      </c>
    </row>
    <row r="36" spans="1:4" ht="32" x14ac:dyDescent="0.45">
      <c r="A36" s="7" t="s">
        <v>54</v>
      </c>
      <c r="B36" s="23">
        <f>(26.8/(26.8+16.2+84.5+0.56+6.73+0.0359)+24.2/(24.2+13.9+52.7+1+5.85+0.0312))/((86.65%+86.9%+89.65%+92.4%+93.69%)/5)/2</f>
        <v>0.24845843924546623</v>
      </c>
      <c r="C36" s="19" t="s">
        <v>140</v>
      </c>
    </row>
    <row r="37" spans="1:4" ht="32" x14ac:dyDescent="0.45">
      <c r="A37" s="7" t="s">
        <v>40</v>
      </c>
      <c r="B37" s="20">
        <f>(5.8%/(5.8%+8.2%+9.2%+4.8%+2.8%+3.1%+3.1%+1%+5.5%))/((86.65%+86.9%+89.65%+92.4%+93.69%)/5)</f>
        <v>0.14838226238435459</v>
      </c>
      <c r="C37" s="19" t="s">
        <v>41</v>
      </c>
    </row>
    <row r="38" spans="1:4" ht="32" x14ac:dyDescent="0.45">
      <c r="A38" s="7" t="s">
        <v>46</v>
      </c>
      <c r="B38" s="17">
        <f>((18%+5.2%)/(5.7%+2.7%+18%+5.7%+2.3%+5.2%+1.5%+3.3%))/((86.65%+86.9%+89.65%+92.4%+93.69%)/5)</f>
        <v>0.58149805529003806</v>
      </c>
      <c r="C38" s="33" t="s">
        <v>144</v>
      </c>
      <c r="D38" t="s">
        <v>62</v>
      </c>
    </row>
    <row r="39" spans="1:4" x14ac:dyDescent="0.45">
      <c r="A39" s="7" t="s">
        <v>45</v>
      </c>
      <c r="B39" s="20">
        <f>(5.5%/(5.8%+8.2%+9.2%+4.8%+2.8%+3.1%+3.1%+1%+5.5%))/((86.65%+86.9%+89.65%+92.4%+93.69%)/5)</f>
        <v>0.14070731777826728</v>
      </c>
      <c r="C39" s="19" t="s">
        <v>41</v>
      </c>
    </row>
    <row r="40" spans="1:4" ht="32" x14ac:dyDescent="0.45">
      <c r="A40" s="7" t="s">
        <v>121</v>
      </c>
      <c r="B40" s="4">
        <f>0.725*0.002</f>
        <v>1.4499999999999999E-3</v>
      </c>
      <c r="C40" s="30" t="s">
        <v>145</v>
      </c>
      <c r="D40" t="s">
        <v>146</v>
      </c>
    </row>
    <row r="41" spans="1:4" ht="32" x14ac:dyDescent="0.45">
      <c r="A41" s="7" t="s">
        <v>122</v>
      </c>
      <c r="B41" s="4">
        <f>1.45/3.57*0.002</f>
        <v>8.1232492997198886E-4</v>
      </c>
      <c r="C41" s="19" t="s">
        <v>147</v>
      </c>
      <c r="D41" t="s">
        <v>148</v>
      </c>
    </row>
    <row r="42" spans="1:4" ht="48" x14ac:dyDescent="0.45">
      <c r="A42" s="7" t="s">
        <v>123</v>
      </c>
      <c r="B42" s="4">
        <f>((52.7/(24.2+13.9+52.7+1+5.85+0.0312)+84.5/(26.8+16.2+84.5+0.56+6.73+0.0359))/2)*0.002</f>
        <v>1.1662443425233366E-3</v>
      </c>
      <c r="C42" s="30" t="s">
        <v>149</v>
      </c>
      <c r="D42" t="s">
        <v>150</v>
      </c>
    </row>
    <row r="43" spans="1:4" ht="16.5" customHeight="1" x14ac:dyDescent="0.45">
      <c r="A43" s="32" t="s">
        <v>20</v>
      </c>
      <c r="B43" s="32"/>
      <c r="C43" s="32"/>
      <c r="D43" s="32"/>
    </row>
    <row r="44" spans="1:4" s="13" customFormat="1" ht="32" x14ac:dyDescent="0.45">
      <c r="A44" s="15" t="s">
        <v>23</v>
      </c>
      <c r="B44" s="10">
        <f>0.5%</f>
        <v>5.0000000000000001E-3</v>
      </c>
      <c r="C44" s="19" t="s">
        <v>151</v>
      </c>
      <c r="D44" s="9"/>
    </row>
    <row r="45" spans="1:4" s="13" customFormat="1" ht="32" x14ac:dyDescent="0.45">
      <c r="A45" s="7" t="s">
        <v>44</v>
      </c>
      <c r="B45" s="17">
        <f>2%*B30</f>
        <v>1.2500000000000001E-2</v>
      </c>
      <c r="C45" s="22" t="s">
        <v>152</v>
      </c>
      <c r="D45" s="9"/>
    </row>
    <row r="46" spans="1:4" s="13" customFormat="1" ht="32" x14ac:dyDescent="0.45">
      <c r="A46" s="7" t="s">
        <v>67</v>
      </c>
      <c r="B46" s="17">
        <f>(86.65%+86.9%+89.65%+92.4%+93.69%)/5</f>
        <v>0.89857999999999993</v>
      </c>
      <c r="C46" s="21" t="s">
        <v>42</v>
      </c>
      <c r="D46" s="9"/>
    </row>
    <row r="47" spans="1:4" s="13" customFormat="1" ht="32" x14ac:dyDescent="0.45">
      <c r="A47" s="7" t="s">
        <v>116</v>
      </c>
      <c r="B47" s="17">
        <f>(8%+4%+25%+1%)/4</f>
        <v>9.5000000000000001E-2</v>
      </c>
      <c r="C47" s="19" t="s">
        <v>131</v>
      </c>
      <c r="D47" s="9"/>
    </row>
    <row r="48" spans="1:4" s="13" customFormat="1" ht="32" x14ac:dyDescent="0.45">
      <c r="A48" s="7" t="s">
        <v>117</v>
      </c>
      <c r="B48" s="17">
        <f>((100%-41%)+(100%-30%))/2</f>
        <v>0.64500000000000002</v>
      </c>
      <c r="C48" s="19" t="s">
        <v>153</v>
      </c>
      <c r="D48" s="9"/>
    </row>
    <row r="49" spans="1:4" s="13" customFormat="1" ht="48" x14ac:dyDescent="0.45">
      <c r="A49" s="15" t="s">
        <v>24</v>
      </c>
      <c r="B49" s="11">
        <f>(0.02*(0.93/1.47)*(1.47/119.27))*B6+(0.02*(0.93/1.46)*(1.46/119.2))*B7+(0.02*(0.07/0.55)*(0.55/114.79))*B8+(0.02*(0.08/0.09)*(0.09/102.03))*B9</f>
        <v>1.4678678446108248E-4</v>
      </c>
      <c r="C49" s="14" t="s">
        <v>211</v>
      </c>
      <c r="D49" s="9"/>
    </row>
    <row r="50" spans="1:4" s="13" customFormat="1" ht="32" x14ac:dyDescent="0.45">
      <c r="A50" s="15" t="s">
        <v>68</v>
      </c>
      <c r="B50" s="11">
        <f>4.8%*(100%-64.5%)</f>
        <v>1.704E-2</v>
      </c>
      <c r="C50" s="19" t="s">
        <v>154</v>
      </c>
      <c r="D50" s="9"/>
    </row>
    <row r="51" spans="1:4" s="13" customFormat="1" ht="48" x14ac:dyDescent="0.45">
      <c r="A51" s="15" t="s">
        <v>110</v>
      </c>
      <c r="B51" s="11">
        <f>(5.2%/119.27%)*1%*B6+(5.58%/119.2%)*1%*B7</f>
        <v>4.2920808508055365E-4</v>
      </c>
      <c r="C51" s="19" t="s">
        <v>155</v>
      </c>
      <c r="D51" s="14" t="s">
        <v>212</v>
      </c>
    </row>
    <row r="52" spans="1:4" s="13" customFormat="1" ht="32" x14ac:dyDescent="0.45">
      <c r="A52" s="7" t="s">
        <v>128</v>
      </c>
      <c r="B52" s="17">
        <f>12.5%*0.1134</f>
        <v>1.4175E-2</v>
      </c>
      <c r="C52" s="29" t="s">
        <v>213</v>
      </c>
    </row>
    <row r="53" spans="1:4" s="13" customFormat="1" ht="32" x14ac:dyDescent="0.45">
      <c r="A53" s="15" t="s">
        <v>32</v>
      </c>
      <c r="B53" s="11">
        <v>0.1</v>
      </c>
      <c r="C53" s="19" t="s">
        <v>156</v>
      </c>
      <c r="D53" s="9"/>
    </row>
    <row r="54" spans="1:4" s="13" customFormat="1" ht="32" x14ac:dyDescent="0.45">
      <c r="A54" s="7" t="s">
        <v>134</v>
      </c>
      <c r="B54" s="17">
        <v>7.0000000000000007E-2</v>
      </c>
      <c r="C54" s="3" t="s">
        <v>214</v>
      </c>
      <c r="D54" s="9"/>
    </row>
    <row r="55" spans="1:4" s="13" customFormat="1" ht="32" x14ac:dyDescent="0.45">
      <c r="A55" s="7" t="s">
        <v>101</v>
      </c>
      <c r="B55" s="17">
        <v>1.4999999999999999E-2</v>
      </c>
      <c r="C55" s="19" t="s">
        <v>157</v>
      </c>
      <c r="D55" s="9"/>
    </row>
    <row r="56" spans="1:4" s="13" customFormat="1" ht="32" x14ac:dyDescent="0.45">
      <c r="A56" s="7" t="s">
        <v>59</v>
      </c>
      <c r="B56" s="17">
        <f>4.1/12.5*(100%-64.5%)</f>
        <v>0.11643999999999997</v>
      </c>
      <c r="C56" s="19" t="s">
        <v>158</v>
      </c>
      <c r="D56" s="9"/>
    </row>
    <row r="57" spans="1:4" s="13" customFormat="1" ht="48" x14ac:dyDescent="0.45">
      <c r="A57" s="8" t="s">
        <v>112</v>
      </c>
      <c r="B57" s="27">
        <f>0%*B6+0%*B7+(0.06%/114.79%)*(1/6)*B8+0%*B9</f>
        <v>1.8938174435737088E-6</v>
      </c>
      <c r="C57" s="19" t="s">
        <v>140</v>
      </c>
      <c r="D57" s="9"/>
    </row>
    <row r="58" spans="1:4" s="13" customFormat="1" ht="32" x14ac:dyDescent="0.45">
      <c r="A58" s="8" t="s">
        <v>50</v>
      </c>
      <c r="B58" s="11">
        <f>0.04%*35%+99.9%*50%</f>
        <v>0.49964000000000003</v>
      </c>
      <c r="C58" s="19" t="s">
        <v>159</v>
      </c>
      <c r="D58" s="14" t="s">
        <v>35</v>
      </c>
    </row>
    <row r="59" spans="1:4" ht="48" x14ac:dyDescent="0.45">
      <c r="A59" s="8" t="s">
        <v>111</v>
      </c>
      <c r="B59" s="27">
        <f>0%*B6+0%*B7+(0.06%/114.79%)*(2/6)*B8+0%*B9</f>
        <v>3.7876348871474176E-6</v>
      </c>
      <c r="C59" s="19" t="s">
        <v>140</v>
      </c>
      <c r="D59" s="9"/>
    </row>
    <row r="60" spans="1:4" ht="32" x14ac:dyDescent="0.45">
      <c r="A60" s="7" t="s">
        <v>132</v>
      </c>
      <c r="B60" s="20">
        <v>7.0000000000000007E-2</v>
      </c>
      <c r="C60" s="30" t="s">
        <v>160</v>
      </c>
      <c r="D60" s="9"/>
    </row>
    <row r="61" spans="1:4" ht="32" x14ac:dyDescent="0.45">
      <c r="A61" s="7" t="s">
        <v>49</v>
      </c>
      <c r="B61" s="20">
        <f>(7.3%+5%+1%)/4</f>
        <v>3.3250000000000002E-2</v>
      </c>
      <c r="C61" s="19" t="s">
        <v>131</v>
      </c>
      <c r="D61" s="9"/>
    </row>
    <row r="62" spans="1:4" ht="32" x14ac:dyDescent="0.45">
      <c r="A62" s="8" t="s">
        <v>29</v>
      </c>
      <c r="B62" s="4">
        <f>(0.45%+0.9%)/2</f>
        <v>6.7500000000000008E-3</v>
      </c>
      <c r="C62" s="19" t="s">
        <v>161</v>
      </c>
    </row>
    <row r="63" spans="1:4" ht="32" x14ac:dyDescent="0.45">
      <c r="A63" s="8" t="s">
        <v>48</v>
      </c>
      <c r="B63" s="4">
        <f>(4.6%+3%+10%)/4</f>
        <v>4.3999999999999997E-2</v>
      </c>
      <c r="C63" t="s">
        <v>131</v>
      </c>
    </row>
    <row r="64" spans="1:4" ht="32" x14ac:dyDescent="0.45">
      <c r="A64" s="7" t="s">
        <v>133</v>
      </c>
      <c r="B64" s="20">
        <v>0.16</v>
      </c>
      <c r="C64" s="30" t="s">
        <v>160</v>
      </c>
    </row>
    <row r="65" spans="1:4" ht="32" x14ac:dyDescent="0.45">
      <c r="A65" s="7" t="s">
        <v>38</v>
      </c>
      <c r="B65" s="17">
        <f>30%</f>
        <v>0.3</v>
      </c>
      <c r="C65" s="18" t="s">
        <v>215</v>
      </c>
    </row>
    <row r="66" spans="1:4" ht="32" x14ac:dyDescent="0.45">
      <c r="A66" s="7" t="s">
        <v>129</v>
      </c>
      <c r="B66" s="17">
        <v>3.0000000000000001E-3</v>
      </c>
      <c r="C66" s="19" t="s">
        <v>162</v>
      </c>
    </row>
    <row r="67" spans="1:4" ht="48" x14ac:dyDescent="0.45">
      <c r="A67" s="8" t="s">
        <v>113</v>
      </c>
      <c r="B67" s="4">
        <f>(5.2%/119.27%)*100%*B6+(5.58%/119.2%)*100%*B7+0%*B8+0%*B9</f>
        <v>4.2920808508055366E-2</v>
      </c>
      <c r="C67" s="19" t="s">
        <v>140</v>
      </c>
    </row>
    <row r="68" spans="1:4" x14ac:dyDescent="0.45">
      <c r="A68" s="8" t="s">
        <v>30</v>
      </c>
      <c r="B68" s="4">
        <f>(0.2%+0.6%)/2</f>
        <v>4.0000000000000001E-3</v>
      </c>
      <c r="C68" s="19" t="s">
        <v>161</v>
      </c>
    </row>
    <row r="69" spans="1:4" x14ac:dyDescent="0.45">
      <c r="A69" s="8" t="s">
        <v>47</v>
      </c>
      <c r="B69" s="4">
        <f>(55.2%+65%+65%+71%)/4</f>
        <v>0.64049999999999996</v>
      </c>
      <c r="C69" t="s">
        <v>131</v>
      </c>
    </row>
    <row r="70" spans="1:4" x14ac:dyDescent="0.45">
      <c r="A70" s="8" t="s">
        <v>31</v>
      </c>
      <c r="B70" s="4">
        <f>(0%+0.85%+1.65%+1.64%)/4</f>
        <v>1.035E-2</v>
      </c>
      <c r="C70" s="19" t="s">
        <v>163</v>
      </c>
    </row>
    <row r="71" spans="1:4" ht="32" x14ac:dyDescent="0.45">
      <c r="A71" s="8" t="s">
        <v>51</v>
      </c>
      <c r="B71" s="4">
        <f>15%*99.95%+0.0035%*35%+0.004%*50%</f>
        <v>0.14995724999999999</v>
      </c>
      <c r="C71" s="19" t="s">
        <v>159</v>
      </c>
      <c r="D71" s="14" t="s">
        <v>52</v>
      </c>
    </row>
    <row r="72" spans="1:4" ht="32" x14ac:dyDescent="0.45">
      <c r="A72" s="7" t="s">
        <v>43</v>
      </c>
      <c r="B72" s="20">
        <f>B60</f>
        <v>7.0000000000000007E-2</v>
      </c>
      <c r="C72" s="3" t="s">
        <v>216</v>
      </c>
    </row>
    <row r="73" spans="1:4" ht="32" x14ac:dyDescent="0.45">
      <c r="A73" s="7" t="s">
        <v>125</v>
      </c>
      <c r="B73" s="20">
        <v>1</v>
      </c>
      <c r="C73" s="3"/>
    </row>
    <row r="74" spans="1:4" x14ac:dyDescent="0.45">
      <c r="A74" s="32" t="s">
        <v>69</v>
      </c>
      <c r="B74" s="32"/>
      <c r="C74" s="32"/>
      <c r="D74" s="32"/>
    </row>
    <row r="75" spans="1:4" ht="48" x14ac:dyDescent="0.45">
      <c r="A75" s="7" t="s">
        <v>70</v>
      </c>
      <c r="B75" s="6">
        <v>0.8</v>
      </c>
    </row>
    <row r="76" spans="1:4" ht="32" x14ac:dyDescent="0.45">
      <c r="A76" s="7" t="s">
        <v>71</v>
      </c>
      <c r="B76" s="6">
        <v>0.2</v>
      </c>
      <c r="C76" t="s">
        <v>78</v>
      </c>
    </row>
    <row r="77" spans="1:4" ht="32" x14ac:dyDescent="0.45">
      <c r="A77" s="7" t="s">
        <v>72</v>
      </c>
      <c r="B77" s="4">
        <v>0.65</v>
      </c>
    </row>
    <row r="78" spans="1:4" ht="32" x14ac:dyDescent="0.45">
      <c r="A78" s="7" t="s">
        <v>73</v>
      </c>
      <c r="B78" s="4">
        <v>0.35</v>
      </c>
      <c r="C78" t="s">
        <v>78</v>
      </c>
    </row>
    <row r="79" spans="1:4" ht="48" x14ac:dyDescent="0.45">
      <c r="A79" s="7" t="s">
        <v>74</v>
      </c>
      <c r="B79" s="4">
        <v>0.17499999999999999</v>
      </c>
      <c r="C79" t="s">
        <v>78</v>
      </c>
    </row>
    <row r="80" spans="1:4" ht="32" x14ac:dyDescent="0.45">
      <c r="A80" s="7" t="s">
        <v>75</v>
      </c>
      <c r="B80" s="4">
        <v>1</v>
      </c>
      <c r="C80" s="19"/>
    </row>
    <row r="81" spans="1:4" ht="32" x14ac:dyDescent="0.45">
      <c r="A81" s="2" t="s">
        <v>76</v>
      </c>
      <c r="B81" s="4">
        <f>100%-B82</f>
        <v>0.67999999999999994</v>
      </c>
    </row>
    <row r="82" spans="1:4" ht="32" x14ac:dyDescent="0.45">
      <c r="A82" s="2" t="s">
        <v>77</v>
      </c>
      <c r="B82" s="4">
        <v>0.32</v>
      </c>
      <c r="C82" t="s">
        <v>78</v>
      </c>
    </row>
    <row r="83" spans="1:4" ht="48" x14ac:dyDescent="0.45">
      <c r="A83" s="7" t="s">
        <v>80</v>
      </c>
      <c r="B83" s="4">
        <f>100%-B84</f>
        <v>0.66999999999999993</v>
      </c>
      <c r="C83" s="3"/>
    </row>
    <row r="84" spans="1:4" ht="48" x14ac:dyDescent="0.45">
      <c r="A84" s="7" t="s">
        <v>81</v>
      </c>
      <c r="B84" s="4">
        <v>0.33</v>
      </c>
      <c r="C84" t="s">
        <v>78</v>
      </c>
    </row>
    <row r="85" spans="1:4" ht="32" x14ac:dyDescent="0.45">
      <c r="A85" s="7" t="s">
        <v>82</v>
      </c>
      <c r="B85" s="4">
        <f>100%-B86</f>
        <v>0.48</v>
      </c>
      <c r="C85" s="3"/>
    </row>
    <row r="86" spans="1:4" ht="48" x14ac:dyDescent="0.45">
      <c r="A86" s="7" t="s">
        <v>83</v>
      </c>
      <c r="B86" s="4">
        <v>0.52</v>
      </c>
      <c r="C86" t="s">
        <v>78</v>
      </c>
    </row>
    <row r="87" spans="1:4" ht="48" x14ac:dyDescent="0.45">
      <c r="A87" s="7" t="s">
        <v>84</v>
      </c>
      <c r="B87" s="4">
        <v>1</v>
      </c>
      <c r="C87" s="3"/>
    </row>
    <row r="88" spans="1:4" ht="48" x14ac:dyDescent="0.45">
      <c r="A88" s="7" t="s">
        <v>85</v>
      </c>
      <c r="B88" s="4">
        <v>0</v>
      </c>
      <c r="C88" t="s">
        <v>78</v>
      </c>
    </row>
    <row r="89" spans="1:4" x14ac:dyDescent="0.45">
      <c r="A89" s="32" t="s">
        <v>86</v>
      </c>
      <c r="B89" s="32"/>
      <c r="C89" s="32"/>
      <c r="D89" s="32"/>
    </row>
    <row r="90" spans="1:4" ht="32" x14ac:dyDescent="0.45">
      <c r="A90" s="7" t="s">
        <v>87</v>
      </c>
      <c r="B90" s="4">
        <v>1</v>
      </c>
    </row>
    <row r="91" spans="1:4" ht="32" x14ac:dyDescent="0.45">
      <c r="A91" s="7" t="s">
        <v>88</v>
      </c>
      <c r="B91" s="4">
        <v>1</v>
      </c>
    </row>
    <row r="92" spans="1:4" ht="48" x14ac:dyDescent="0.45">
      <c r="A92" s="7" t="s">
        <v>89</v>
      </c>
      <c r="B92" s="4">
        <f>100%-B79</f>
        <v>0.82499999999999996</v>
      </c>
      <c r="C92" t="s">
        <v>78</v>
      </c>
      <c r="D92" s="3" t="s">
        <v>217</v>
      </c>
    </row>
    <row r="93" spans="1:4" ht="32" x14ac:dyDescent="0.45">
      <c r="A93" s="7" t="s">
        <v>90</v>
      </c>
      <c r="B93" s="4">
        <v>1</v>
      </c>
    </row>
    <row r="94" spans="1:4" ht="48" x14ac:dyDescent="0.45">
      <c r="A94" s="7" t="s">
        <v>91</v>
      </c>
      <c r="B94" s="4">
        <v>1</v>
      </c>
    </row>
    <row r="95" spans="1:4" ht="32" x14ac:dyDescent="0.45">
      <c r="A95" s="7" t="s">
        <v>92</v>
      </c>
      <c r="B95" s="4">
        <v>1</v>
      </c>
      <c r="C95" s="19"/>
    </row>
    <row r="96" spans="1:4" ht="32" x14ac:dyDescent="0.45">
      <c r="A96" s="8" t="s">
        <v>79</v>
      </c>
      <c r="B96" s="4">
        <f>100%-37.5%</f>
        <v>0.625</v>
      </c>
      <c r="C96" t="s">
        <v>78</v>
      </c>
      <c r="D96" s="3" t="s">
        <v>218</v>
      </c>
    </row>
    <row r="97" spans="1:4" ht="32" x14ac:dyDescent="0.45">
      <c r="A97" s="8" t="s">
        <v>93</v>
      </c>
      <c r="B97" s="4">
        <v>1</v>
      </c>
    </row>
    <row r="98" spans="1:4" ht="32" x14ac:dyDescent="0.45">
      <c r="A98" s="8" t="s">
        <v>94</v>
      </c>
      <c r="B98" s="4">
        <f>100%-37.5%</f>
        <v>0.625</v>
      </c>
      <c r="C98" t="s">
        <v>78</v>
      </c>
      <c r="D98" s="3" t="s">
        <v>219</v>
      </c>
    </row>
    <row r="99" spans="1:4" ht="48" x14ac:dyDescent="0.45">
      <c r="A99" s="7" t="s">
        <v>95</v>
      </c>
      <c r="B99" s="4">
        <v>1</v>
      </c>
    </row>
    <row r="100" spans="1:4" ht="48" x14ac:dyDescent="0.45">
      <c r="A100" s="7" t="s">
        <v>96</v>
      </c>
      <c r="B100" s="4">
        <v>1</v>
      </c>
    </row>
    <row r="101" spans="1:4" ht="48" x14ac:dyDescent="0.45">
      <c r="A101" s="7" t="s">
        <v>97</v>
      </c>
      <c r="B101" s="4">
        <v>0.95</v>
      </c>
      <c r="C101" t="s">
        <v>78</v>
      </c>
      <c r="D101" s="3" t="s">
        <v>220</v>
      </c>
    </row>
    <row r="102" spans="1:4" ht="32" x14ac:dyDescent="0.45">
      <c r="A102" s="7" t="s">
        <v>130</v>
      </c>
      <c r="B102" s="4">
        <v>1</v>
      </c>
    </row>
    <row r="103" spans="1:4" ht="32" x14ac:dyDescent="0.45">
      <c r="A103" s="7" t="s">
        <v>98</v>
      </c>
      <c r="B103" s="4">
        <v>1</v>
      </c>
    </row>
    <row r="104" spans="1:4" ht="32" x14ac:dyDescent="0.45">
      <c r="A104" s="7" t="s">
        <v>99</v>
      </c>
      <c r="B104" s="4">
        <v>1</v>
      </c>
    </row>
    <row r="105" spans="1:4" ht="32" x14ac:dyDescent="0.45">
      <c r="A105" s="7" t="s">
        <v>100</v>
      </c>
      <c r="B105" s="4">
        <v>1</v>
      </c>
    </row>
    <row r="106" spans="1:4" x14ac:dyDescent="0.45">
      <c r="B106" s="12"/>
    </row>
    <row r="107" spans="1:4" x14ac:dyDescent="0.45">
      <c r="A107" s="31" t="s">
        <v>164</v>
      </c>
      <c r="B107" s="12"/>
    </row>
    <row r="108" spans="1:4" x14ac:dyDescent="0.45">
      <c r="A108" t="s">
        <v>165</v>
      </c>
      <c r="B108" s="12"/>
    </row>
    <row r="109" spans="1:4" x14ac:dyDescent="0.45">
      <c r="A109" t="s">
        <v>166</v>
      </c>
      <c r="B109" s="12"/>
    </row>
    <row r="110" spans="1:4" x14ac:dyDescent="0.45">
      <c r="A110" t="s">
        <v>167</v>
      </c>
      <c r="B110" s="12"/>
    </row>
    <row r="111" spans="1:4" x14ac:dyDescent="0.45">
      <c r="A111" t="s">
        <v>168</v>
      </c>
      <c r="B111" s="12"/>
    </row>
    <row r="112" spans="1:4" x14ac:dyDescent="0.45">
      <c r="A112" t="s">
        <v>169</v>
      </c>
      <c r="B112" s="12"/>
    </row>
    <row r="113" spans="1:2" x14ac:dyDescent="0.45">
      <c r="A113" t="s">
        <v>170</v>
      </c>
      <c r="B113" s="12"/>
    </row>
    <row r="114" spans="1:2" x14ac:dyDescent="0.45">
      <c r="A114" t="s">
        <v>171</v>
      </c>
      <c r="B114" s="12"/>
    </row>
    <row r="115" spans="1:2" x14ac:dyDescent="0.45">
      <c r="A115" t="s">
        <v>172</v>
      </c>
      <c r="B115" s="12"/>
    </row>
    <row r="116" spans="1:2" x14ac:dyDescent="0.45">
      <c r="A116" t="s">
        <v>173</v>
      </c>
      <c r="B116" s="12"/>
    </row>
    <row r="117" spans="1:2" x14ac:dyDescent="0.45">
      <c r="A117" t="s">
        <v>174</v>
      </c>
      <c r="B117" s="12"/>
    </row>
    <row r="118" spans="1:2" x14ac:dyDescent="0.45">
      <c r="A118" s="19" t="s">
        <v>206</v>
      </c>
      <c r="B118" s="12"/>
    </row>
    <row r="119" spans="1:2" x14ac:dyDescent="0.45">
      <c r="A119" t="s">
        <v>175</v>
      </c>
      <c r="B119" s="12"/>
    </row>
    <row r="120" spans="1:2" x14ac:dyDescent="0.45">
      <c r="A120" t="s">
        <v>176</v>
      </c>
      <c r="B120" s="12"/>
    </row>
    <row r="121" spans="1:2" x14ac:dyDescent="0.45">
      <c r="A121" t="s">
        <v>177</v>
      </c>
    </row>
    <row r="122" spans="1:2" x14ac:dyDescent="0.45">
      <c r="A122" t="s">
        <v>178</v>
      </c>
    </row>
    <row r="123" spans="1:2" x14ac:dyDescent="0.45">
      <c r="A123" t="s">
        <v>179</v>
      </c>
    </row>
    <row r="124" spans="1:2" x14ac:dyDescent="0.45">
      <c r="A124" t="s">
        <v>180</v>
      </c>
    </row>
    <row r="125" spans="1:2" x14ac:dyDescent="0.45">
      <c r="A125" t="s">
        <v>181</v>
      </c>
    </row>
    <row r="126" spans="1:2" x14ac:dyDescent="0.45">
      <c r="A126" t="s">
        <v>182</v>
      </c>
    </row>
    <row r="127" spans="1:2" x14ac:dyDescent="0.45">
      <c r="A127" t="s">
        <v>183</v>
      </c>
    </row>
    <row r="128" spans="1:2" x14ac:dyDescent="0.45">
      <c r="A128" t="s">
        <v>184</v>
      </c>
    </row>
    <row r="129" spans="1:1" x14ac:dyDescent="0.45">
      <c r="A129" t="s">
        <v>185</v>
      </c>
    </row>
    <row r="130" spans="1:1" x14ac:dyDescent="0.45">
      <c r="A130" t="s">
        <v>186</v>
      </c>
    </row>
    <row r="131" spans="1:1" x14ac:dyDescent="0.45">
      <c r="A131" t="s">
        <v>187</v>
      </c>
    </row>
    <row r="132" spans="1:1" x14ac:dyDescent="0.45">
      <c r="A132" t="s">
        <v>188</v>
      </c>
    </row>
    <row r="133" spans="1:1" x14ac:dyDescent="0.45">
      <c r="A133" t="s">
        <v>189</v>
      </c>
    </row>
    <row r="134" spans="1:1" x14ac:dyDescent="0.45">
      <c r="A134" t="s">
        <v>190</v>
      </c>
    </row>
    <row r="135" spans="1:1" x14ac:dyDescent="0.45">
      <c r="A135" t="s">
        <v>191</v>
      </c>
    </row>
    <row r="136" spans="1:1" x14ac:dyDescent="0.45">
      <c r="A136" t="s">
        <v>192</v>
      </c>
    </row>
    <row r="137" spans="1:1" x14ac:dyDescent="0.45">
      <c r="A137" t="s">
        <v>193</v>
      </c>
    </row>
    <row r="138" spans="1:1" x14ac:dyDescent="0.45">
      <c r="A138" t="s">
        <v>194</v>
      </c>
    </row>
    <row r="139" spans="1:1" x14ac:dyDescent="0.45">
      <c r="A139" t="s">
        <v>195</v>
      </c>
    </row>
    <row r="140" spans="1:1" x14ac:dyDescent="0.45">
      <c r="A140" t="s">
        <v>196</v>
      </c>
    </row>
    <row r="141" spans="1:1" x14ac:dyDescent="0.45">
      <c r="A141" t="s">
        <v>197</v>
      </c>
    </row>
    <row r="142" spans="1:1" x14ac:dyDescent="0.45">
      <c r="A142" t="s">
        <v>198</v>
      </c>
    </row>
    <row r="143" spans="1:1" x14ac:dyDescent="0.45">
      <c r="A143" t="s">
        <v>199</v>
      </c>
    </row>
    <row r="144" spans="1:1" x14ac:dyDescent="0.45">
      <c r="A144" t="s">
        <v>200</v>
      </c>
    </row>
    <row r="145" spans="1:1" x14ac:dyDescent="0.45">
      <c r="A145" t="s">
        <v>201</v>
      </c>
    </row>
    <row r="146" spans="1:1" x14ac:dyDescent="0.45">
      <c r="A146" t="s">
        <v>202</v>
      </c>
    </row>
    <row r="147" spans="1:1" x14ac:dyDescent="0.45">
      <c r="A147" t="s">
        <v>203</v>
      </c>
    </row>
    <row r="148" spans="1:1" x14ac:dyDescent="0.45">
      <c r="A148" t="s">
        <v>204</v>
      </c>
    </row>
  </sheetData>
  <mergeCells count="6">
    <mergeCell ref="A89:D89"/>
    <mergeCell ref="A4:D4"/>
    <mergeCell ref="A22:D22"/>
    <mergeCell ref="A43:D43"/>
    <mergeCell ref="A34:D34"/>
    <mergeCell ref="A74:D74"/>
  </mergeCells>
  <hyperlinks>
    <hyperlink ref="C27" r:id="rId1" display="https://www.researchgate.net/publication/307614361_The_environmental_impact_of_wind_turbine_blades. Assumed that 50% carbon fibers and 50% glass fibers are used in the rotor blades."/>
    <hyperlink ref="C40" r:id="rId2" display="https://www.usgs.gov/faqs/what-materials-are-used-make-wind-turbines, "/>
    <hyperlink ref="C52" r:id="rId3" display="https://www.borax.com/news-events/october-2019/borates-in-glass-manufacturing"/>
  </hyperlinks>
  <pageMargins left="0.7" right="0.7" top="0.78740157499999996" bottom="0.78740157499999996"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abSelected="1" workbookViewId="0">
      <selection activeCell="Q16" sqref="Q16"/>
    </sheetView>
  </sheetViews>
  <sheetFormatPr baseColWidth="10" defaultRowHeight="16" x14ac:dyDescent="0.45"/>
  <cols>
    <col min="1" max="1" width="18.54296875" customWidth="1"/>
    <col min="2" max="2" width="18.81640625" customWidth="1"/>
    <col min="3" max="3" width="5.1796875" customWidth="1"/>
    <col min="4" max="4" width="24.7265625" customWidth="1"/>
    <col min="5" max="5" width="21.453125" customWidth="1"/>
    <col min="6" max="6" width="6" customWidth="1"/>
    <col min="7" max="7" width="18.1796875" customWidth="1"/>
    <col min="8" max="8" width="17.1796875" customWidth="1"/>
    <col min="9" max="9" width="4.7265625" customWidth="1"/>
    <col min="10" max="10" width="19.54296875" customWidth="1"/>
    <col min="11" max="11" width="21.7265625" customWidth="1"/>
    <col min="12" max="12" width="3.54296875" customWidth="1"/>
    <col min="13" max="13" width="19.54296875" customWidth="1"/>
    <col min="14" max="14" width="19.453125" customWidth="1"/>
    <col min="15" max="15" width="5.26953125" customWidth="1"/>
    <col min="16" max="16" width="17.7265625" customWidth="1"/>
    <col min="17" max="17" width="18.453125" customWidth="1"/>
  </cols>
  <sheetData>
    <row r="1" spans="1:17" x14ac:dyDescent="0.45">
      <c r="A1" t="s">
        <v>0</v>
      </c>
    </row>
    <row r="3" spans="1:17" x14ac:dyDescent="0.45">
      <c r="A3" s="1" t="s">
        <v>1</v>
      </c>
      <c r="B3" s="1" t="s">
        <v>2</v>
      </c>
      <c r="D3" s="1" t="s">
        <v>1</v>
      </c>
      <c r="E3" s="24" t="s">
        <v>2</v>
      </c>
      <c r="G3" s="1" t="s">
        <v>1</v>
      </c>
      <c r="H3" s="24" t="s">
        <v>2</v>
      </c>
      <c r="J3" s="1" t="s">
        <v>1</v>
      </c>
      <c r="K3" s="24" t="s">
        <v>2</v>
      </c>
      <c r="M3" s="1" t="s">
        <v>1</v>
      </c>
      <c r="N3" s="24" t="s">
        <v>2</v>
      </c>
      <c r="P3" s="1" t="s">
        <v>1</v>
      </c>
      <c r="Q3" s="24" t="s">
        <v>2</v>
      </c>
    </row>
    <row r="4" spans="1:17" ht="13.5" customHeight="1" x14ac:dyDescent="0.45">
      <c r="A4" s="32" t="s">
        <v>3</v>
      </c>
      <c r="B4" s="32"/>
      <c r="D4" s="32" t="s">
        <v>17</v>
      </c>
      <c r="E4" s="32"/>
      <c r="G4" s="32" t="s">
        <v>37</v>
      </c>
      <c r="H4" s="32"/>
      <c r="J4" s="32" t="s">
        <v>20</v>
      </c>
      <c r="K4" s="32"/>
      <c r="M4" s="32" t="s">
        <v>69</v>
      </c>
      <c r="N4" s="32"/>
      <c r="P4" s="32" t="s">
        <v>86</v>
      </c>
      <c r="Q4" s="32"/>
    </row>
    <row r="5" spans="1:17" ht="48" x14ac:dyDescent="0.45">
      <c r="A5" s="2" t="s">
        <v>4</v>
      </c>
      <c r="B5" s="26">
        <f>SUM([1]Sheet1!$C$2:$IC$2)</f>
        <v>29169424</v>
      </c>
      <c r="D5" s="7" t="s">
        <v>18</v>
      </c>
      <c r="E5" s="26">
        <f>B5*'Weight%'!B23</f>
        <v>19909168.059592154</v>
      </c>
      <c r="G5" s="8" t="s">
        <v>55</v>
      </c>
      <c r="H5" s="26">
        <f>E10*'Weight%'!B35</f>
        <v>3763.2711223057318</v>
      </c>
      <c r="J5" s="15" t="s">
        <v>23</v>
      </c>
      <c r="K5" s="26">
        <f>E5*'Weight%'!B44</f>
        <v>99545.840297960778</v>
      </c>
      <c r="M5" s="7" t="s">
        <v>70</v>
      </c>
      <c r="N5" s="26">
        <f>(K5+K6)*'Weight%'!B75</f>
        <v>107007.79491836864</v>
      </c>
      <c r="P5" s="7" t="s">
        <v>87</v>
      </c>
      <c r="Q5" s="26">
        <f>N5*'Weight%'!B90</f>
        <v>107007.79491836864</v>
      </c>
    </row>
    <row r="6" spans="1:17" ht="48" x14ac:dyDescent="0.45">
      <c r="A6" s="2" t="s">
        <v>5</v>
      </c>
      <c r="B6" s="26">
        <f>SUM([2]Sheet1!$C$2:$IC$2)</f>
        <v>1315374.1000000003</v>
      </c>
      <c r="D6" s="8" t="s">
        <v>19</v>
      </c>
      <c r="E6" s="26">
        <f>B5*'Weight%'!B24</f>
        <v>1254171.2154800193</v>
      </c>
      <c r="G6" s="7" t="s">
        <v>54</v>
      </c>
      <c r="H6" s="26">
        <f>E10*'Weight%'!B36</f>
        <v>65119.714634040472</v>
      </c>
      <c r="J6" s="7" t="s">
        <v>44</v>
      </c>
      <c r="K6" s="26">
        <f>E15*'Weight%'!B45</f>
        <v>34213.903350000015</v>
      </c>
      <c r="M6" s="7" t="s">
        <v>72</v>
      </c>
      <c r="N6" s="26">
        <f>(K7+K9+K10)*'Weight%'!B77</f>
        <v>2801494.6722603161</v>
      </c>
      <c r="P6" s="7" t="s">
        <v>88</v>
      </c>
      <c r="Q6" s="26">
        <f>N6*'Weight%'!B91</f>
        <v>2801494.6722603161</v>
      </c>
    </row>
    <row r="7" spans="1:17" ht="48" x14ac:dyDescent="0.45">
      <c r="A7" s="2" t="s">
        <v>6</v>
      </c>
      <c r="B7" s="26">
        <f>SUM([3]Sheet1!$C$2:$IC$2)</f>
        <v>110518</v>
      </c>
      <c r="D7" s="8" t="s">
        <v>21</v>
      </c>
      <c r="E7" s="26">
        <f>B5*'Weight%'!B25</f>
        <v>4591261.4210821679</v>
      </c>
      <c r="G7" s="7" t="s">
        <v>40</v>
      </c>
      <c r="H7" s="26">
        <f>E12*'Weight%'!B37</f>
        <v>15525.736903410563</v>
      </c>
      <c r="J7" s="7" t="s">
        <v>108</v>
      </c>
      <c r="K7" s="26">
        <f>(E7+H6+H7+H8)*'Weight%'!B46</f>
        <v>4230886.0546255633</v>
      </c>
      <c r="M7" s="7" t="s">
        <v>73</v>
      </c>
      <c r="N7" s="26">
        <f>(K7+K9+K10)*'Weight%'!B78</f>
        <v>1508497.1312170932</v>
      </c>
      <c r="P7" s="7" t="s">
        <v>89</v>
      </c>
      <c r="Q7" s="26">
        <f>(K11+K12)*'Weight%'!B92</f>
        <v>4876.9061420567041</v>
      </c>
    </row>
    <row r="8" spans="1:17" ht="48" x14ac:dyDescent="0.45">
      <c r="A8" s="2" t="s">
        <v>7</v>
      </c>
      <c r="B8" s="26">
        <f>SUM([4]Sheet1!$C$2:$IC$2)</f>
        <v>262095</v>
      </c>
      <c r="D8" s="8" t="s">
        <v>28</v>
      </c>
      <c r="E8" s="26">
        <f>B6*('Weight%'!B12/('Weight%'!B11+'Weight%'!B12+'Weight%'!B13))*'Weight%'!B26</f>
        <v>4150.9228497249387</v>
      </c>
      <c r="G8" s="7" t="s">
        <v>46</v>
      </c>
      <c r="H8" s="26">
        <f>E13*'Weight%'!B38</f>
        <v>36506.462448559963</v>
      </c>
      <c r="J8" s="7" t="s">
        <v>109</v>
      </c>
      <c r="K8" s="26">
        <f>H10*'Weight%'!B46</f>
        <v>13229.507183908041</v>
      </c>
      <c r="M8" s="7" t="s">
        <v>74</v>
      </c>
      <c r="N8" s="26">
        <f>(K11+K12)*'Weight%'!B79</f>
        <v>1034.4952422544525</v>
      </c>
      <c r="P8" s="7" t="s">
        <v>90</v>
      </c>
      <c r="Q8" s="26">
        <f>N9*'Weight%'!B93</f>
        <v>312249.99555868201</v>
      </c>
    </row>
    <row r="9" spans="1:17" ht="48" x14ac:dyDescent="0.45">
      <c r="A9" s="2" t="s">
        <v>61</v>
      </c>
      <c r="B9" s="26">
        <f>SUM([5]Sheet1!$C$2:$IC$2)</f>
        <v>1033931</v>
      </c>
      <c r="D9" s="8" t="s">
        <v>56</v>
      </c>
      <c r="E9" s="26">
        <f>B6*('Weight%'!B13/('Weight%'!B11+'Weight%'!B12+'Weight%'!B13))*'Weight%'!B27</f>
        <v>183342.91301538463</v>
      </c>
      <c r="G9" s="7" t="s">
        <v>120</v>
      </c>
      <c r="H9" s="26">
        <f>H7+H8</f>
        <v>52032.199351970528</v>
      </c>
      <c r="J9" s="7" t="s">
        <v>127</v>
      </c>
      <c r="K9" s="26">
        <f>E9*'Weight%'!B47</f>
        <v>17417.576736461542</v>
      </c>
      <c r="M9" s="7" t="s">
        <v>75</v>
      </c>
      <c r="N9" s="26">
        <f>(K13+K14+K15)*'Weight%'!B80</f>
        <v>312249.99555868201</v>
      </c>
      <c r="P9" s="7" t="s">
        <v>91</v>
      </c>
      <c r="Q9" s="26">
        <f>N10*'Weight%'!B94</f>
        <v>8265.924504431312</v>
      </c>
    </row>
    <row r="10" spans="1:17" ht="48" x14ac:dyDescent="0.45">
      <c r="A10" s="2" t="s">
        <v>114</v>
      </c>
      <c r="B10" s="26">
        <f>SUM([6]Sheet1!$C$2:$IC$2)</f>
        <v>167413.39999999997</v>
      </c>
      <c r="D10" s="8" t="s">
        <v>36</v>
      </c>
      <c r="E10" s="26">
        <f>B8*'Weight%'!B28</f>
        <v>262095</v>
      </c>
      <c r="G10" s="7" t="s">
        <v>45</v>
      </c>
      <c r="H10" s="26">
        <f>E12*'Weight%'!B39</f>
        <v>14722.681546337602</v>
      </c>
      <c r="J10" s="7" t="s">
        <v>117</v>
      </c>
      <c r="K10" s="26">
        <f>B7*('Weight%'!B16/('Weight%'!B16+'Weight%'!B17))*'Weight%'!B48</f>
        <v>61688.172115384616</v>
      </c>
      <c r="M10" s="2" t="s">
        <v>76</v>
      </c>
      <c r="N10" s="26">
        <f>(K16+K17)*'Weight%'!B81</f>
        <v>8265.924504431312</v>
      </c>
      <c r="P10" s="7" t="s">
        <v>92</v>
      </c>
      <c r="Q10" s="26">
        <f>K18*'Weight%'!B95</f>
        <v>11136.388776923075</v>
      </c>
    </row>
    <row r="11" spans="1:17" ht="48" x14ac:dyDescent="0.45">
      <c r="A11" s="2" t="s">
        <v>115</v>
      </c>
      <c r="B11" s="26">
        <f>SUM([7]Sheet1!$C$2:$IC$2)</f>
        <v>4025165.100000001</v>
      </c>
      <c r="D11" s="8" t="s">
        <v>103</v>
      </c>
      <c r="E11" s="26">
        <f>B9*'Weight%'!B29</f>
        <v>21208.028031039386</v>
      </c>
      <c r="G11" s="7" t="s">
        <v>121</v>
      </c>
      <c r="H11" s="26">
        <f>B6*'Weight%'!B40</f>
        <v>1907.2924450000003</v>
      </c>
      <c r="J11" s="15" t="s">
        <v>24</v>
      </c>
      <c r="K11" s="26">
        <f>B5*'Weight%'!B49</f>
        <v>4281.6859535419262</v>
      </c>
      <c r="M11" s="2" t="s">
        <v>77</v>
      </c>
      <c r="N11" s="26">
        <f>(K16+K17)*'Weight%'!B82</f>
        <v>3889.8468256147357</v>
      </c>
      <c r="P11" s="8" t="s">
        <v>79</v>
      </c>
      <c r="Q11" s="26">
        <f>K19*'Weight%'!B96</f>
        <v>34.525977493873491</v>
      </c>
    </row>
    <row r="12" spans="1:17" ht="48" x14ac:dyDescent="0.45">
      <c r="A12" s="2" t="s">
        <v>126</v>
      </c>
      <c r="B12" s="28">
        <f>SUM(B5:B11)</f>
        <v>36083920.600000001</v>
      </c>
      <c r="D12" s="7" t="s">
        <v>64</v>
      </c>
      <c r="E12" s="26">
        <f>B10*'Weight%'!B30</f>
        <v>104633.37499999997</v>
      </c>
      <c r="G12" s="7" t="s">
        <v>122</v>
      </c>
      <c r="H12" s="26">
        <f>B5*'Weight%'!B41</f>
        <v>23695.050308123253</v>
      </c>
      <c r="J12" s="15" t="s">
        <v>68</v>
      </c>
      <c r="K12" s="26">
        <f>B7*('Weight%'!B16/('Weight%'!B16+'Weight%'!B17))*'Weight%'!B50</f>
        <v>1629.7154307692308</v>
      </c>
      <c r="M12" s="7" t="s">
        <v>80</v>
      </c>
      <c r="N12" s="26">
        <f>(K24+K25)*'Weight%'!B83</f>
        <v>26698.748383539376</v>
      </c>
      <c r="P12" s="8" t="s">
        <v>93</v>
      </c>
      <c r="Q12" s="26">
        <f>K20*'Weight%'!B97</f>
        <v>7433.3556661538478</v>
      </c>
    </row>
    <row r="13" spans="1:17" ht="48" x14ac:dyDescent="0.45">
      <c r="D13" s="7" t="s">
        <v>63</v>
      </c>
      <c r="E13" s="26">
        <f>B10*'Weight%'!B31</f>
        <v>62780.024999999987</v>
      </c>
      <c r="G13" s="7" t="s">
        <v>123</v>
      </c>
      <c r="H13" s="26">
        <f>E10*'Weight%'!B42</f>
        <v>305.66681095365391</v>
      </c>
      <c r="J13" s="15" t="s">
        <v>104</v>
      </c>
      <c r="K13" s="26">
        <f>B5*('Weight%'!B6+'Weight%'!B7)*'Weight%'!B51</f>
        <v>11703.247012424737</v>
      </c>
      <c r="M13" s="7" t="s">
        <v>81</v>
      </c>
      <c r="N13" s="26">
        <f>(K24+K25)*'Weight%'!B84</f>
        <v>13150.129800847755</v>
      </c>
      <c r="P13" s="8" t="s">
        <v>94</v>
      </c>
      <c r="Q13" s="26">
        <f>K21*'Weight%'!B98</f>
        <v>69.051954987746981</v>
      </c>
    </row>
    <row r="14" spans="1:17" ht="48" x14ac:dyDescent="0.45">
      <c r="A14" s="2"/>
      <c r="D14" s="7" t="s">
        <v>118</v>
      </c>
      <c r="E14" s="26">
        <f>E12+E13</f>
        <v>167413.39999999997</v>
      </c>
      <c r="J14" s="15" t="s">
        <v>128</v>
      </c>
      <c r="K14" s="26">
        <f>E5*'Weight%'!B52</f>
        <v>282212.4572447188</v>
      </c>
      <c r="M14" s="7" t="s">
        <v>82</v>
      </c>
      <c r="N14" s="26">
        <f>(K31+K32)*'Weight%'!B85</f>
        <v>24462.266625435634</v>
      </c>
      <c r="P14" s="7" t="s">
        <v>95</v>
      </c>
      <c r="Q14" s="26">
        <f>(K22+K23)*'Weight%'!B99</f>
        <v>17815.089857761537</v>
      </c>
    </row>
    <row r="15" spans="1:17" ht="64" x14ac:dyDescent="0.45">
      <c r="D15" s="7" t="s">
        <v>65</v>
      </c>
      <c r="E15" s="26">
        <f>B11*'Weight%'!B32</f>
        <v>2737112.2680000011</v>
      </c>
      <c r="J15" s="15" t="s">
        <v>32</v>
      </c>
      <c r="K15" s="26">
        <f>E9*'Weight%'!B53</f>
        <v>18334.291301538466</v>
      </c>
      <c r="M15" s="7" t="s">
        <v>83</v>
      </c>
      <c r="N15" s="26">
        <f>(K31+K32)*'Weight%'!B86</f>
        <v>26500.788844221937</v>
      </c>
      <c r="P15" s="7" t="s">
        <v>96</v>
      </c>
      <c r="Q15" s="26">
        <f>N12*'Weight%'!B100</f>
        <v>26698.748383539376</v>
      </c>
    </row>
    <row r="16" spans="1:17" ht="48" x14ac:dyDescent="0.45">
      <c r="D16" s="7" t="s">
        <v>66</v>
      </c>
      <c r="E16" s="26">
        <f>B11*'Weight%'!B33</f>
        <v>1288052.8320000004</v>
      </c>
      <c r="J16" s="7" t="s">
        <v>134</v>
      </c>
      <c r="K16" s="26">
        <f>(E12+E13)*'Weight%'!B54</f>
        <v>11718.937999999998</v>
      </c>
      <c r="M16" s="7" t="s">
        <v>84</v>
      </c>
      <c r="N16" s="26">
        <f>(K33+K34)*'Weight%'!B87</f>
        <v>33232.345814076907</v>
      </c>
      <c r="P16" s="7" t="s">
        <v>133</v>
      </c>
      <c r="Q16" s="26">
        <f>(E12+E13)*'Weight%'!B64</f>
        <v>26786.143999999997</v>
      </c>
    </row>
    <row r="17" spans="4:17" ht="48" x14ac:dyDescent="0.45">
      <c r="D17" s="7" t="s">
        <v>119</v>
      </c>
      <c r="E17" s="26">
        <f>E15+E16</f>
        <v>4025165.1000000015</v>
      </c>
      <c r="J17" s="7" t="s">
        <v>101</v>
      </c>
      <c r="K17" s="26">
        <f>(E8+E11+H5)*'Weight%'!B55</f>
        <v>436.83333004605083</v>
      </c>
      <c r="M17" s="7"/>
      <c r="P17" s="7" t="s">
        <v>97</v>
      </c>
      <c r="Q17" s="26">
        <f>K26*'Weight%'!B101</f>
        <v>8299.8332708749658</v>
      </c>
    </row>
    <row r="18" spans="4:17" ht="48" x14ac:dyDescent="0.45">
      <c r="D18" s="7"/>
      <c r="E18" s="26"/>
      <c r="J18" s="7" t="s">
        <v>59</v>
      </c>
      <c r="K18" s="26">
        <f>B7*('Weight%'!B16/('Weight%'!B16+'Weight%'!B17))*'Weight%'!B56</f>
        <v>11136.388776923075</v>
      </c>
      <c r="P18" s="7" t="s">
        <v>130</v>
      </c>
      <c r="Q18" s="26">
        <f>K27*'Weight%'!B102</f>
        <v>14125.240005204536</v>
      </c>
    </row>
    <row r="19" spans="4:17" ht="32" x14ac:dyDescent="0.45">
      <c r="J19" s="8" t="s">
        <v>105</v>
      </c>
      <c r="K19" s="26">
        <f>B5*'Weight%'!B57</f>
        <v>55.241563990197584</v>
      </c>
      <c r="P19" s="7" t="s">
        <v>98</v>
      </c>
      <c r="Q19" s="26">
        <f>(K28+K29+K30)*'Weight%'!B103</f>
        <v>1388240.0509209009</v>
      </c>
    </row>
    <row r="20" spans="4:17" ht="48" x14ac:dyDescent="0.45">
      <c r="J20" s="8" t="s">
        <v>50</v>
      </c>
      <c r="K20" s="26">
        <f>B7*('Weight%'!B17/('Weight%'!B16+'Weight%'!B17))*'Weight%'!B58</f>
        <v>7433.3556661538478</v>
      </c>
      <c r="P20" s="7" t="s">
        <v>99</v>
      </c>
      <c r="Q20" s="26">
        <f>N14*'Weight%'!B104</f>
        <v>24462.266625435634</v>
      </c>
    </row>
    <row r="21" spans="4:17" ht="48" x14ac:dyDescent="0.45">
      <c r="J21" s="8" t="s">
        <v>106</v>
      </c>
      <c r="K21" s="26">
        <f>B5*'Weight%'!B59</f>
        <v>110.48312798039517</v>
      </c>
      <c r="P21" s="7" t="s">
        <v>100</v>
      </c>
      <c r="Q21" s="26">
        <f>N16*'Weight%'!B105</f>
        <v>33232.345814076907</v>
      </c>
    </row>
    <row r="22" spans="4:17" ht="32" x14ac:dyDescent="0.45">
      <c r="J22" s="7" t="s">
        <v>132</v>
      </c>
      <c r="K22" s="26">
        <f>(E12+E13)*'Weight%'!B60</f>
        <v>11718.937999999998</v>
      </c>
    </row>
    <row r="23" spans="4:17" ht="32" x14ac:dyDescent="0.45">
      <c r="J23" s="7" t="s">
        <v>49</v>
      </c>
      <c r="K23" s="26">
        <f>E9*'Weight%'!B61</f>
        <v>6096.1518577615398</v>
      </c>
    </row>
    <row r="24" spans="4:17" ht="32" x14ac:dyDescent="0.45">
      <c r="J24" s="8" t="s">
        <v>29</v>
      </c>
      <c r="K24" s="26">
        <f>(E7+H6+H7+H8)*'Weight%'!B62</f>
        <v>31781.790011710207</v>
      </c>
    </row>
    <row r="25" spans="4:17" ht="32" x14ac:dyDescent="0.45">
      <c r="J25" s="8" t="s">
        <v>48</v>
      </c>
      <c r="K25" s="26">
        <f>E9*'Weight%'!B63</f>
        <v>8067.088172676923</v>
      </c>
    </row>
    <row r="26" spans="4:17" ht="32" x14ac:dyDescent="0.45">
      <c r="J26" s="7" t="s">
        <v>38</v>
      </c>
      <c r="K26" s="26">
        <f>(E8+E11+H5)*'Weight%'!B65</f>
        <v>8736.6666009210167</v>
      </c>
    </row>
    <row r="27" spans="4:17" ht="32" x14ac:dyDescent="0.45">
      <c r="J27" s="7" t="s">
        <v>129</v>
      </c>
      <c r="K27" s="26">
        <f>(E7+H6+H7+H8)*'Weight%'!B66</f>
        <v>14125.240005204536</v>
      </c>
    </row>
    <row r="28" spans="4:17" ht="32" x14ac:dyDescent="0.45">
      <c r="J28" s="8" t="s">
        <v>107</v>
      </c>
      <c r="K28" s="26">
        <f>B5*'Weight%'!B67</f>
        <v>1251975.2617942744</v>
      </c>
    </row>
    <row r="29" spans="4:17" x14ac:dyDescent="0.45">
      <c r="J29" s="8" t="s">
        <v>30</v>
      </c>
      <c r="K29" s="26">
        <f>(E7+H6+H7+H8)*'Weight%'!B68</f>
        <v>18833.653340272715</v>
      </c>
    </row>
    <row r="30" spans="4:17" ht="32" x14ac:dyDescent="0.45">
      <c r="J30" s="8" t="s">
        <v>47</v>
      </c>
      <c r="K30" s="26">
        <f>E9*'Weight%'!B69</f>
        <v>117431.13578635386</v>
      </c>
    </row>
    <row r="31" spans="4:17" ht="32" x14ac:dyDescent="0.45">
      <c r="J31" s="8" t="s">
        <v>31</v>
      </c>
      <c r="K31" s="26">
        <f>(E7+H6+H7+H8)*'Weight%'!B70</f>
        <v>48732.078017955646</v>
      </c>
    </row>
    <row r="32" spans="4:17" ht="32" x14ac:dyDescent="0.45">
      <c r="J32" s="8" t="s">
        <v>51</v>
      </c>
      <c r="K32" s="26">
        <f>B7*('Weight%'!B17/('Weight%'!B16+'Weight%'!B17))*'Weight%'!B71</f>
        <v>2230.9774517019232</v>
      </c>
    </row>
    <row r="33" spans="10:11" ht="32" x14ac:dyDescent="0.45">
      <c r="J33" s="7" t="s">
        <v>43</v>
      </c>
      <c r="K33" s="26">
        <f>E12*'Weight%'!B72</f>
        <v>7324.3362499999985</v>
      </c>
    </row>
    <row r="34" spans="10:11" ht="48" x14ac:dyDescent="0.45">
      <c r="J34" s="7" t="s">
        <v>124</v>
      </c>
      <c r="K34" s="26">
        <f>SUM(H11:H13)*'Weight%'!B73</f>
        <v>25908.009564076907</v>
      </c>
    </row>
  </sheetData>
  <mergeCells count="6">
    <mergeCell ref="P4:Q4"/>
    <mergeCell ref="A4:B4"/>
    <mergeCell ref="D4:E4"/>
    <mergeCell ref="G4:H4"/>
    <mergeCell ref="J4:K4"/>
    <mergeCell ref="M4:N4"/>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Weight%</vt:lpstr>
      <vt:lpstr>Flow_amounts</vt:lpstr>
      <vt:lpstr>'Weight%'!_GoBack</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 Marcus</dc:creator>
  <cp:lastModifiedBy>Berr, Marcus</cp:lastModifiedBy>
  <dcterms:created xsi:type="dcterms:W3CDTF">2022-06-07T08:28:10Z</dcterms:created>
  <dcterms:modified xsi:type="dcterms:W3CDTF">2023-05-15T17:43:28Z</dcterms:modified>
</cp:coreProperties>
</file>