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bma\Desktop\BW2 3. Paper\Flowchart\"/>
    </mc:Choice>
  </mc:AlternateContent>
  <bookViews>
    <workbookView xWindow="0" yWindow="0" windowWidth="13380" windowHeight="6030"/>
  </bookViews>
  <sheets>
    <sheet name="Weight%" sheetId="1" r:id="rId1"/>
    <sheet name="Flow amounts" sheetId="2" r:id="rId2"/>
  </sheets>
  <externalReferences>
    <externalReference r:id="rId3"/>
    <externalReference r:id="rId4"/>
    <externalReference r:id="rId5"/>
    <externalReference r:id="rId6"/>
    <externalReference r:id="rId7"/>
    <externalReference r:id="rId8"/>
    <externalReference r:id="rId9"/>
  </externalReferences>
  <definedNames>
    <definedName name="_GoBack" localSheetId="0">'Weight%'!$C$13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5" i="1" l="1"/>
  <c r="B139" i="1" l="1"/>
  <c r="B138" i="1"/>
  <c r="B113" i="1" l="1"/>
  <c r="B155" i="1" l="1"/>
  <c r="B149" i="1"/>
  <c r="B135" i="1" l="1"/>
  <c r="B10" i="2" l="1"/>
  <c r="B9" i="2"/>
  <c r="B8" i="2"/>
  <c r="B7" i="2"/>
  <c r="B6" i="2"/>
  <c r="B5" i="2"/>
  <c r="E17" i="2" l="1"/>
  <c r="B11" i="2"/>
  <c r="E19" i="2"/>
  <c r="B8" i="1" l="1"/>
  <c r="B9" i="1"/>
  <c r="B67" i="1" l="1"/>
  <c r="B66" i="1"/>
  <c r="B106" i="1" l="1"/>
  <c r="B168" i="1" l="1"/>
  <c r="B167" i="1"/>
  <c r="B20" i="1" l="1"/>
  <c r="B19" i="1"/>
  <c r="N99" i="2" l="1"/>
  <c r="N17" i="2"/>
  <c r="B41" i="1" l="1"/>
  <c r="E20" i="2" l="1"/>
  <c r="B112" i="1"/>
  <c r="B83" i="1"/>
  <c r="B78" i="1"/>
  <c r="H12" i="2" s="1"/>
  <c r="B77" i="1"/>
  <c r="B200" i="1"/>
  <c r="B194" i="1"/>
  <c r="B198" i="1"/>
  <c r="B188" i="1"/>
  <c r="B184" i="1"/>
  <c r="B181" i="1"/>
  <c r="B179" i="1"/>
  <c r="H11" i="2" l="1"/>
  <c r="B161" i="1"/>
  <c r="B160" i="1"/>
  <c r="B159" i="1"/>
  <c r="B158" i="1"/>
  <c r="B114" i="1"/>
  <c r="B152" i="1"/>
  <c r="B103" i="1"/>
  <c r="B133" i="1"/>
  <c r="B120" i="1"/>
  <c r="B107" i="1"/>
  <c r="B115" i="1"/>
  <c r="B94" i="1"/>
  <c r="B46" i="1"/>
  <c r="B79" i="1"/>
  <c r="H13" i="2" s="1"/>
  <c r="B148" i="1"/>
  <c r="B162" i="1"/>
  <c r="B166" i="1"/>
  <c r="B165" i="1"/>
  <c r="B164" i="1"/>
  <c r="B163" i="1"/>
  <c r="H14" i="2" l="1"/>
  <c r="E23" i="2"/>
  <c r="B137" i="1"/>
  <c r="N58" i="2" s="1"/>
  <c r="B128" i="1"/>
  <c r="B150" i="1"/>
  <c r="B121" i="1"/>
  <c r="B125" i="1"/>
  <c r="B124" i="1"/>
  <c r="B119" i="1"/>
  <c r="B131" i="1"/>
  <c r="B123" i="1"/>
  <c r="B122" i="1"/>
  <c r="B118" i="1"/>
  <c r="B130" i="1"/>
  <c r="B16" i="1"/>
  <c r="B13" i="1"/>
  <c r="B126" i="1"/>
  <c r="B14" i="1" l="1"/>
  <c r="B17" i="1"/>
  <c r="B82" i="1"/>
  <c r="B80" i="1"/>
  <c r="N98" i="2"/>
  <c r="N95" i="2"/>
  <c r="N97" i="2" l="1"/>
  <c r="N96" i="2"/>
  <c r="K16" i="2"/>
  <c r="K18" i="2"/>
  <c r="K15" i="2"/>
  <c r="K17" i="2"/>
  <c r="H19" i="2"/>
  <c r="K20" i="2" l="1"/>
  <c r="K21" i="2"/>
  <c r="N92" i="2"/>
  <c r="N91" i="2"/>
  <c r="N90" i="2"/>
  <c r="N89" i="2"/>
  <c r="N93" i="2"/>
  <c r="K14" i="2"/>
  <c r="N94" i="2"/>
  <c r="N70" i="2"/>
  <c r="K13" i="2"/>
  <c r="N38" i="2"/>
  <c r="N46" i="2"/>
  <c r="K12" i="2"/>
  <c r="H17" i="2"/>
  <c r="N101" i="2" l="1"/>
  <c r="Q20" i="2"/>
  <c r="T24" i="2" s="1"/>
  <c r="N100" i="2"/>
  <c r="E39" i="2"/>
  <c r="Q21" i="2"/>
  <c r="B151" i="1"/>
  <c r="N78" i="2" s="1"/>
  <c r="B147" i="1"/>
  <c r="B111" i="1"/>
  <c r="B109" i="1"/>
  <c r="B60" i="1"/>
  <c r="B49" i="1"/>
  <c r="B43" i="1"/>
  <c r="E21" i="2" l="1"/>
  <c r="E25" i="2"/>
  <c r="E32" i="2"/>
  <c r="B171" i="1"/>
  <c r="B98" i="1"/>
  <c r="K19" i="2" s="1"/>
  <c r="B146" i="1"/>
  <c r="B87" i="1"/>
  <c r="B86" i="1"/>
  <c r="B157" i="1"/>
  <c r="B108" i="1"/>
  <c r="B90" i="1"/>
  <c r="B89" i="1"/>
  <c r="B88" i="1"/>
  <c r="B24" i="1"/>
  <c r="B23" i="1"/>
  <c r="B22" i="1"/>
  <c r="B76" i="1"/>
  <c r="B75" i="1"/>
  <c r="B71" i="1"/>
  <c r="B73" i="1"/>
  <c r="N73" i="2" l="1"/>
  <c r="E5" i="2"/>
  <c r="N28" i="2" s="1"/>
  <c r="E7" i="2"/>
  <c r="N37" i="2" s="1"/>
  <c r="E6" i="2"/>
  <c r="H8" i="2" s="1"/>
  <c r="B72" i="1"/>
  <c r="E8" i="2"/>
  <c r="H7" i="2" l="1"/>
  <c r="N29" i="2" s="1"/>
  <c r="N11" i="2"/>
  <c r="N30" i="2"/>
  <c r="N52" i="2"/>
  <c r="H10" i="2"/>
  <c r="N81" i="2"/>
  <c r="N22" i="2"/>
  <c r="H9" i="2"/>
  <c r="N87" i="2"/>
  <c r="B30" i="1"/>
  <c r="B27" i="1"/>
  <c r="B26" i="1"/>
  <c r="B32" i="1"/>
  <c r="B29" i="1"/>
  <c r="B28" i="1"/>
  <c r="B31" i="1"/>
  <c r="B84" i="1"/>
  <c r="B81" i="1"/>
  <c r="B65" i="1"/>
  <c r="B63" i="1"/>
  <c r="B64" i="1"/>
  <c r="B68" i="1"/>
  <c r="B69" i="1"/>
  <c r="B62" i="1"/>
  <c r="B59" i="1"/>
  <c r="B58" i="1"/>
  <c r="B57" i="1"/>
  <c r="B56" i="1"/>
  <c r="B55" i="1"/>
  <c r="B54" i="1"/>
  <c r="B53" i="1"/>
  <c r="B52" i="1"/>
  <c r="B51" i="1"/>
  <c r="B48" i="1"/>
  <c r="B45" i="1"/>
  <c r="B47" i="1"/>
  <c r="B42" i="1"/>
  <c r="B37" i="1"/>
  <c r="B38" i="1"/>
  <c r="B35" i="1"/>
  <c r="B34" i="1"/>
  <c r="E33" i="2" l="1"/>
  <c r="E15" i="2"/>
  <c r="N31" i="2" s="1"/>
  <c r="N32" i="2" s="1"/>
  <c r="H20" i="2"/>
  <c r="E12" i="2"/>
  <c r="E35" i="2"/>
  <c r="E34" i="2"/>
  <c r="E14" i="2"/>
  <c r="E41" i="2" s="1"/>
  <c r="N76" i="2" s="1"/>
  <c r="E16" i="2"/>
  <c r="N65" i="2" s="1"/>
  <c r="E11" i="2"/>
  <c r="E18" i="2"/>
  <c r="E9" i="2"/>
  <c r="H15" i="2" s="1"/>
  <c r="E22" i="2"/>
  <c r="E24" i="2"/>
  <c r="E43" i="2" s="1"/>
  <c r="E10" i="2"/>
  <c r="N69" i="2" s="1"/>
  <c r="H16" i="2"/>
  <c r="H18" i="2" s="1"/>
  <c r="E13" i="2"/>
  <c r="K6" i="2" s="1"/>
  <c r="N18" i="2"/>
  <c r="E30" i="2"/>
  <c r="E28" i="2"/>
  <c r="E29" i="2"/>
  <c r="E27" i="2"/>
  <c r="E31" i="2"/>
  <c r="E26" i="2"/>
  <c r="Q11" i="2" l="1"/>
  <c r="H25" i="2"/>
  <c r="N33" i="2" s="1"/>
  <c r="N103" i="2"/>
  <c r="N83" i="2"/>
  <c r="N13" i="2"/>
  <c r="N6" i="2"/>
  <c r="N25" i="2"/>
  <c r="E38" i="2"/>
  <c r="H24" i="2"/>
  <c r="K11" i="2"/>
  <c r="N12" i="2"/>
  <c r="N82" i="2"/>
  <c r="N64" i="2"/>
  <c r="N5" i="2"/>
  <c r="N45" i="2"/>
  <c r="N53" i="2"/>
  <c r="N102" i="2"/>
  <c r="N24" i="2"/>
  <c r="N54" i="2"/>
  <c r="N104" i="2"/>
  <c r="N34" i="2"/>
  <c r="E37" i="2"/>
  <c r="E40" i="2"/>
  <c r="N85" i="2"/>
  <c r="N105" i="2"/>
  <c r="K5" i="2"/>
  <c r="E42" i="2"/>
  <c r="H5" i="2"/>
  <c r="H6" i="2"/>
  <c r="H23" i="2" s="1"/>
  <c r="N71" i="2"/>
  <c r="N84" i="2"/>
  <c r="N67" i="2"/>
  <c r="N72" i="2"/>
  <c r="N55" i="2"/>
  <c r="N66" i="2"/>
  <c r="N27" i="2"/>
  <c r="N56" i="2"/>
  <c r="N14" i="2"/>
  <c r="N26" i="2"/>
  <c r="N8" i="2"/>
  <c r="N15" i="2"/>
  <c r="N47" i="2"/>
  <c r="N7" i="2"/>
  <c r="E44" i="2"/>
  <c r="N49" i="2"/>
  <c r="N41" i="2"/>
  <c r="N42" i="2"/>
  <c r="N48" i="2"/>
  <c r="N35" i="2"/>
  <c r="N79" i="2"/>
  <c r="N80" i="2" s="1"/>
  <c r="N40" i="2"/>
  <c r="N39" i="2"/>
  <c r="N59" i="2"/>
  <c r="N60" i="2"/>
  <c r="N44" i="2" l="1"/>
  <c r="T12" i="2" s="1"/>
  <c r="H22" i="2"/>
  <c r="N51" i="2"/>
  <c r="T14" i="2" s="1"/>
  <c r="T16" i="2"/>
  <c r="N61" i="2"/>
  <c r="N50" i="2"/>
  <c r="K7" i="2"/>
  <c r="N106" i="2"/>
  <c r="T8" i="2"/>
  <c r="Q17" i="2"/>
  <c r="Q10" i="2"/>
  <c r="T9" i="2" s="1"/>
  <c r="Q22" i="2"/>
  <c r="T25" i="2" s="1"/>
  <c r="T18" i="2"/>
  <c r="N10" i="2"/>
  <c r="Q5" i="2" s="1"/>
  <c r="T5" i="2" s="1"/>
  <c r="N9" i="2"/>
  <c r="N74" i="2"/>
  <c r="K9" i="2"/>
  <c r="N88" i="2"/>
  <c r="K10" i="2"/>
  <c r="K25" i="2" s="1"/>
  <c r="N20" i="2" s="1"/>
  <c r="K8" i="2"/>
  <c r="N16" i="2"/>
  <c r="N75" i="2"/>
  <c r="N23" i="2"/>
  <c r="Q9" i="2" s="1"/>
  <c r="N21" i="2"/>
  <c r="T13" i="2"/>
  <c r="N63" i="2"/>
  <c r="T21" i="2"/>
  <c r="N36" i="2"/>
  <c r="Q15" i="2"/>
  <c r="N43" i="2"/>
  <c r="T11" i="2"/>
  <c r="Q12" i="2"/>
  <c r="T10" i="2"/>
  <c r="K24" i="2" l="1"/>
  <c r="N86" i="2" s="1"/>
  <c r="Q19" i="2"/>
  <c r="T23" i="2" s="1"/>
  <c r="Q6" i="2"/>
  <c r="N62" i="2"/>
  <c r="T17" i="2"/>
  <c r="T7" i="2"/>
  <c r="Q18" i="2" l="1"/>
  <c r="Q16" i="2"/>
  <c r="T22" i="2" s="1"/>
  <c r="N19" i="2"/>
  <c r="Q7" i="2" s="1"/>
  <c r="T6" i="2" s="1"/>
  <c r="N77" i="2"/>
  <c r="T20" i="2" s="1"/>
  <c r="N57" i="2"/>
  <c r="Q14" i="2" s="1"/>
  <c r="N68" i="2"/>
  <c r="T19" i="2" s="1"/>
  <c r="Q8" i="2"/>
  <c r="Q13" i="2" l="1"/>
  <c r="T15" i="2" s="1"/>
</calcChain>
</file>

<file path=xl/sharedStrings.xml><?xml version="1.0" encoding="utf-8"?>
<sst xmlns="http://schemas.openxmlformats.org/spreadsheetml/2006/main" count="706" uniqueCount="422">
  <si>
    <t>Material/product</t>
  </si>
  <si>
    <t>Weight ratio (in w%)</t>
  </si>
  <si>
    <t>Source</t>
  </si>
  <si>
    <t>Comment</t>
  </si>
  <si>
    <t>Weight ratios of components and materials of ICT devices</t>
  </si>
  <si>
    <t>Final products (1. Tier supply chain)</t>
  </si>
  <si>
    <t>Smartphones and other mobile phones</t>
  </si>
  <si>
    <t>Laptops and tablets</t>
  </si>
  <si>
    <t>Desktop computer</t>
  </si>
  <si>
    <t>Cathode-ray tube TVs and monitors</t>
  </si>
  <si>
    <t>Intermediate products (2. Tier supply chain)</t>
  </si>
  <si>
    <t>Lithium-ion batteries used in mobile phones</t>
  </si>
  <si>
    <t>Nickel-cadmium batteries used in mobile phones</t>
  </si>
  <si>
    <t>Nickel-metal hydride batteries used in mobile phones</t>
  </si>
  <si>
    <t>Intermediate products (3. Tier supply chain)</t>
  </si>
  <si>
    <t>Electronics of mobile phones</t>
  </si>
  <si>
    <t>Lithium-ion batteries used in laptops</t>
  </si>
  <si>
    <t>Permanent magnets in mobile phones</t>
  </si>
  <si>
    <t>LED lights of mobile phones</t>
  </si>
  <si>
    <t>Vibrator motor used in mobile phones</t>
  </si>
  <si>
    <t>Screen of mobile phones</t>
  </si>
  <si>
    <t>Screen of laptops</t>
  </si>
  <si>
    <t>Keyboard of laptops</t>
  </si>
  <si>
    <t>LED lights of laptops</t>
  </si>
  <si>
    <t>includes keyboard and shortcut button</t>
  </si>
  <si>
    <t>Processor of laptops</t>
  </si>
  <si>
    <t>includes card reader, optical disk driver, port USB, microphone port and earphone port</t>
  </si>
  <si>
    <t>Other parts of mobile phones</t>
  </si>
  <si>
    <t>Storage units of laptops</t>
  </si>
  <si>
    <t>Fans used in laptops</t>
  </si>
  <si>
    <t>includes exhaust</t>
  </si>
  <si>
    <t>includes indicator lamp</t>
  </si>
  <si>
    <t>Machinery of laptops</t>
  </si>
  <si>
    <t>Charging cables used for laptops</t>
  </si>
  <si>
    <t>Case of computers</t>
  </si>
  <si>
    <t>Storage units of computers</t>
  </si>
  <si>
    <t>Power cables used for computers</t>
  </si>
  <si>
    <t>Screen of LCD TVs</t>
  </si>
  <si>
    <t>Screen of LCD monitors</t>
  </si>
  <si>
    <t>LED lights of LCD TVs</t>
  </si>
  <si>
    <t>Power cable of CRT TVs</t>
  </si>
  <si>
    <t>Power cable of CRT monitors</t>
  </si>
  <si>
    <t>Electronics of CRT TVs (including the PCB)</t>
  </si>
  <si>
    <t>Electronics of CRT monitors (including the PCB)</t>
  </si>
  <si>
    <t>Parts of CRT TVs</t>
  </si>
  <si>
    <t>Parts of CRT monitors</t>
  </si>
  <si>
    <t>Permanent magnet used in flat screen TV</t>
  </si>
  <si>
    <t>Power cable used for flat screen TVs</t>
  </si>
  <si>
    <t>Power cable used for flat screen monitors</t>
  </si>
  <si>
    <t>Parts of flat screen TVs (including speakers, metals, plastics and other non-combustibles)</t>
  </si>
  <si>
    <t>Parts of flat screen monitors (including speakers, metals, plastics and other non-combustibles)</t>
  </si>
  <si>
    <t>Electronics of flat screen TVs (including the PCB)</t>
  </si>
  <si>
    <t>Electronics of flat screen monitors (including the PCB)</t>
  </si>
  <si>
    <t>Permanent magnet used in flat screen monitors</t>
  </si>
  <si>
    <t>Battery cells (Cells) of LIBs</t>
  </si>
  <si>
    <t>Battery cases of LIBs</t>
  </si>
  <si>
    <t>Battery cells (Cells) of Ni-Cd batteries</t>
  </si>
  <si>
    <t>Battery cases of Ni-Cd batteries</t>
  </si>
  <si>
    <t>Battery cells (Cells) of NiMHB</t>
  </si>
  <si>
    <t>Battery cases of NiMHB</t>
  </si>
  <si>
    <t>Raw materials</t>
  </si>
  <si>
    <t>Aluminium plates in LIB cells</t>
  </si>
  <si>
    <t>(Diekmann et al. 2016)</t>
  </si>
  <si>
    <t>Aluminium plates in LIB cases</t>
  </si>
  <si>
    <t>Aluminium foil in LIB cells</t>
  </si>
  <si>
    <t>Al unwrought in Al plates/Al foil</t>
  </si>
  <si>
    <t>(Vijayakumar et al. 2021), (Mehdi et al. 2015)</t>
  </si>
  <si>
    <t>Vanadium powder used in LIB cells</t>
  </si>
  <si>
    <t>Intermediate products (4. Tier supply chain)</t>
  </si>
  <si>
    <t>Cobalt used in NiCdB cells</t>
  </si>
  <si>
    <t>Permanent magnets used in electric motors of mobile phone vibrators</t>
  </si>
  <si>
    <t>Aluminium plates in electric motors</t>
  </si>
  <si>
    <t>(Rassõlkin et al. 2018)</t>
  </si>
  <si>
    <t>Aluminium plates used in mobile phone cases</t>
  </si>
  <si>
    <t>Silicon used in LCD screen</t>
  </si>
  <si>
    <t>Magnesium unwrought used in LCD screens</t>
  </si>
  <si>
    <t>Baryte used in LCD screens</t>
  </si>
  <si>
    <t>Titanium used in LCD screens</t>
  </si>
  <si>
    <t>The same raw material composition is assumed for the LCD and the LED screens.</t>
  </si>
  <si>
    <t>Silicon used in screens of CRT monitors/TVs</t>
  </si>
  <si>
    <t>SIM and SD cards used in mobile phones</t>
  </si>
  <si>
    <t>SD cards used in computers</t>
  </si>
  <si>
    <t>SD cards used in laptops</t>
  </si>
  <si>
    <t>SD cards used in flat screen TVs</t>
  </si>
  <si>
    <t>Antimony powders used in electronics</t>
  </si>
  <si>
    <t>Al unwrought used in electronics</t>
  </si>
  <si>
    <t>Beryllium powders used in form of copper alloys in electronics</t>
  </si>
  <si>
    <t>Silicon used in electronics</t>
  </si>
  <si>
    <t>Tantalum powder used in electronics</t>
  </si>
  <si>
    <t>Titanium oxides used in electronics</t>
  </si>
  <si>
    <t>Flow amounts along the Swiss ICT supply chain</t>
  </si>
  <si>
    <t>Amount (in kg)</t>
  </si>
  <si>
    <t>Smartphones and cellular phones</t>
  </si>
  <si>
    <t>Laptops</t>
  </si>
  <si>
    <t>CRT screens</t>
  </si>
  <si>
    <t>Flat screen monitors</t>
  </si>
  <si>
    <t>Flat screen TVs</t>
  </si>
  <si>
    <t>Flatscreen monitors</t>
  </si>
  <si>
    <t>Flatscreen TVs</t>
  </si>
  <si>
    <t>Screens</t>
  </si>
  <si>
    <t>Permanent magnets used in laptops (used in storage units)</t>
  </si>
  <si>
    <t>Permanent magnets used in computers (used in storage units)</t>
  </si>
  <si>
    <t>including cases (13g), plastics and glass (25.62g) and other materials (0.17g)</t>
  </si>
  <si>
    <t>REEs used in permanent magnets</t>
  </si>
  <si>
    <t>Smartphones</t>
  </si>
  <si>
    <t>Cellular phones</t>
  </si>
  <si>
    <t>LCD</t>
  </si>
  <si>
    <t>LED</t>
  </si>
  <si>
    <t>Antimony used in LCD screens of mobile phones</t>
  </si>
  <si>
    <t>Baryte used in LCD screens of mobile phones</t>
  </si>
  <si>
    <t>Strontium used in LCD screens of mobile phones</t>
  </si>
  <si>
    <t>Indium used in LCD screen of mobile phones</t>
  </si>
  <si>
    <t>Silicon used in LCD screen of mobile phones</t>
  </si>
  <si>
    <t>Antimony used in flatscreens</t>
  </si>
  <si>
    <t>Indium used in LCD screen (monitors)</t>
  </si>
  <si>
    <t>Indium used in LED screen (monitors)</t>
  </si>
  <si>
    <t>PGM used in LCD/LED screen (monitors)</t>
  </si>
  <si>
    <t>Gallium used in LED screen (monitors)</t>
  </si>
  <si>
    <t>REE used in LCD screen (monitors)</t>
  </si>
  <si>
    <t>REE used in LED screen (monitors)</t>
  </si>
  <si>
    <t>Indium used in LCD/LED screen (TVs)</t>
  </si>
  <si>
    <t>PGM used in LCD/LED screen (TVs)</t>
  </si>
  <si>
    <t>Gallium used in LED screen (TVs)</t>
  </si>
  <si>
    <t>REE used in LCD screen (TVs)</t>
  </si>
  <si>
    <t>REE used in LED screen (TVs)</t>
  </si>
  <si>
    <t>Silicon used in laptops (screen)</t>
  </si>
  <si>
    <t>Tantalum used in the laptop (electronics)</t>
  </si>
  <si>
    <t>Indium used in the laptop (screen)</t>
  </si>
  <si>
    <t>PGM used in the laptop (electronics)</t>
  </si>
  <si>
    <t>PGMs used in electronics</t>
  </si>
  <si>
    <t>Tungsten used in cellular phones (vibrator motor)</t>
  </si>
  <si>
    <t>Tungsten used in smartphones (vibrator motor)</t>
  </si>
  <si>
    <t>Tungsten used in laptop (electronics)</t>
  </si>
  <si>
    <t>Tungsten used in desktop computer (electronics)</t>
  </si>
  <si>
    <t>Tungsten used in LCD monitor (electronics)</t>
  </si>
  <si>
    <t>Tungsten used in LED monitor/TV (electronics)</t>
  </si>
  <si>
    <t>Tungsten used in LCD TV (electronics)</t>
  </si>
  <si>
    <t>assumed that 50% of the weight of the SIM card is the chip that is made out of silicon</t>
  </si>
  <si>
    <t>Silicon used in the SIM/SD cards</t>
  </si>
  <si>
    <t>Electronics</t>
  </si>
  <si>
    <t>Permanent magnets</t>
  </si>
  <si>
    <t>Processor of computers</t>
  </si>
  <si>
    <t>Processors of computers and laptops</t>
  </si>
  <si>
    <t>Storage units of computers and laptops</t>
  </si>
  <si>
    <t>SIM and SD cards used in mobile phones, SD cards used in computers and SD cards used in flat screen TVs</t>
  </si>
  <si>
    <t>Battery cells</t>
  </si>
  <si>
    <t>Battery cases</t>
  </si>
  <si>
    <t>Al plates used in LCD screens of mobile phones</t>
  </si>
  <si>
    <t>Al plates used in screens of CRT monitors/TVs</t>
  </si>
  <si>
    <t>Al plates used in LCD screens (monitor)</t>
  </si>
  <si>
    <t>Al plates used in LED screens (monitor/TV)</t>
  </si>
  <si>
    <t>Al plates used in LCD screens (TV)</t>
  </si>
  <si>
    <t>Al plates used in laptops (case)</t>
  </si>
  <si>
    <t>Al plates</t>
  </si>
  <si>
    <t>Al foil</t>
  </si>
  <si>
    <t>Cobalt used in NiMHB (cells)</t>
  </si>
  <si>
    <t>Al unwrought used in NiMHB (cells)</t>
  </si>
  <si>
    <t>Baryte used in NiMHB (cells)</t>
  </si>
  <si>
    <t>REEs used in NiMHB (cells)</t>
  </si>
  <si>
    <t>Magnesium unwrought used in NiMHB (cells)</t>
  </si>
  <si>
    <t>Antimony powders used in NiMHB (cells)</t>
  </si>
  <si>
    <t>Titanium used in NiMHB (cells)</t>
  </si>
  <si>
    <t>Vanadium powder used in NiMHB (cells)</t>
  </si>
  <si>
    <t>REE used in the laptop (machinery, fans)</t>
  </si>
  <si>
    <t>Tungsten used in smartphones (electronics)</t>
  </si>
  <si>
    <t>Tungsten used in cellular phones (electronics)</t>
  </si>
  <si>
    <t>Tungsten used in LED monitor (electronics)</t>
  </si>
  <si>
    <t>Tungsten used in LED TV (electronics)</t>
  </si>
  <si>
    <t>Intermediate raw materials</t>
  </si>
  <si>
    <t xml:space="preserve">Antimony oxides (primary) used to antimony powder </t>
  </si>
  <si>
    <t xml:space="preserve">Antimony waste &amp; scrap used to antimony powder </t>
  </si>
  <si>
    <t>Al oxide (primary) used to produce Al unwrought</t>
  </si>
  <si>
    <t>Al waste &amp; scrap used to produce Al unwrought</t>
  </si>
  <si>
    <t>Beryllium waste &amp; scrap used to produce Beryllium powder</t>
  </si>
  <si>
    <t>Boric acid used to produce borates</t>
  </si>
  <si>
    <t>Co intermediates used to produce cobalt powder</t>
  </si>
  <si>
    <t>Co waste &amp; scrap used to produce cobalt powder</t>
  </si>
  <si>
    <t>Magnesium unwrought used to produce magnesium powder</t>
  </si>
  <si>
    <t>Magnesium waste &amp; scrap used to produce magnesium powder</t>
  </si>
  <si>
    <t>Tantalum waste &amp; scrap used to produce Tantalum powder</t>
  </si>
  <si>
    <t>Titanium oxides used to produce titanium powder</t>
  </si>
  <si>
    <t>Titanium waste &amp; scrap used to produce titanium powder</t>
  </si>
  <si>
    <t>Vanadium oxides used to produce Vanadium powder</t>
  </si>
  <si>
    <t>Ferro-tungsten used to produce tungsten powders</t>
  </si>
  <si>
    <t>Tungsten waste &amp; scrap used to produce tungsten powders</t>
  </si>
  <si>
    <t>Strontium oxides used to produce strontium carbonates</t>
  </si>
  <si>
    <t>(UNEP 2011)</t>
  </si>
  <si>
    <t>Vanadium waste &amp; scrap used to produce Vanadium powder</t>
  </si>
  <si>
    <t>Minerals</t>
  </si>
  <si>
    <t>Antimony ores used to produce antimony oxides</t>
  </si>
  <si>
    <t>Bauxite ores used to produce Al oxides</t>
  </si>
  <si>
    <t>Beryllium ores used to produce Beryllium powders</t>
  </si>
  <si>
    <t>Barium sulphate used to produce Barytes</t>
  </si>
  <si>
    <t>Natural borates used to produce boric acid</t>
  </si>
  <si>
    <t>Cobalt ores used to produce Cobalt intermediates</t>
  </si>
  <si>
    <t>Rare Earth element ores used to produce Rare Earth elements</t>
  </si>
  <si>
    <t>Lithium ores used to produce lithium carbonate</t>
  </si>
  <si>
    <t>Magnesium cabonate used to produce magnesium unwrought</t>
  </si>
  <si>
    <t>PGM ore used to produce PGM</t>
  </si>
  <si>
    <t>Silicon ore used to produce Silicon</t>
  </si>
  <si>
    <t>Tantalum ore used to produce tantalum powder</t>
  </si>
  <si>
    <t>Titanium ore used to produce titanium oxides</t>
  </si>
  <si>
    <t>Vanadium ore used to produce Vanadium oxide</t>
  </si>
  <si>
    <t>Gallium ores used to produce Gallium</t>
  </si>
  <si>
    <t>Tungsten ore used to produce ferro-tungsten</t>
  </si>
  <si>
    <t>Strontium ore used to produce strontium oxides</t>
  </si>
  <si>
    <t>Indium ores used to produce Indium</t>
  </si>
  <si>
    <t>Phosphoric acid used in LCD screens</t>
  </si>
  <si>
    <t>Phosphate rock and elemental phosphorus used to produce phosphoric acid</t>
  </si>
  <si>
    <t>Batteries used in mobile phones</t>
  </si>
  <si>
    <t>Electronics of laptop processors (including the PCB)</t>
  </si>
  <si>
    <t>Electronics of laptop parts (including the PCB)</t>
  </si>
  <si>
    <t>includes processor</t>
  </si>
  <si>
    <t>includes wifi, power management module and memory</t>
  </si>
  <si>
    <t>assumed that the electronics are used in the motherboard and daughter boards</t>
  </si>
  <si>
    <t>Electronics of computer processors (including the PCB)</t>
  </si>
  <si>
    <t>Electronics used in processors (including the PCB)</t>
  </si>
  <si>
    <t>Permanent magnets used in storage units</t>
  </si>
  <si>
    <t>Aluminium plates in electric motors of mobile phone vibrators</t>
  </si>
  <si>
    <t>Aluminium plates used in mobile phone parts</t>
  </si>
  <si>
    <t>Al plates used in desktop computer cases</t>
  </si>
  <si>
    <t>Al plates used in laptops (parts)</t>
  </si>
  <si>
    <t>Al plates used in monitors (parts)</t>
  </si>
  <si>
    <t>Al plates used in TVs (parts)</t>
  </si>
  <si>
    <t>Antimony used in screens</t>
  </si>
  <si>
    <t>Al unwrought in Al plates</t>
  </si>
  <si>
    <t>Al unwrought in Al foil</t>
  </si>
  <si>
    <t>Borates used in screens</t>
  </si>
  <si>
    <t>Cobalt used in battery cells</t>
  </si>
  <si>
    <t>Gallium used in screens</t>
  </si>
  <si>
    <t>REE used in screens</t>
  </si>
  <si>
    <t>Indium used in screens</t>
  </si>
  <si>
    <t>PGMs used in laptop electronics and other electronics</t>
  </si>
  <si>
    <t>PGMs used in screens of TVs and monitors</t>
  </si>
  <si>
    <t>Silicon used in screens</t>
  </si>
  <si>
    <t>includes touch pad, material (cases), speaker, webcam, power management module, memory and wifi.</t>
  </si>
  <si>
    <t>Tantalum powder used in laptop electronics and other electronics</t>
  </si>
  <si>
    <t>Tungsten used in mobile phone parts</t>
  </si>
  <si>
    <t>Tungsten used in electronics</t>
  </si>
  <si>
    <t>Strontium used in screens</t>
  </si>
  <si>
    <t>Parts of flat screen TVs and monitors (including speakers, metals, plastics and other non-combustibles)</t>
  </si>
  <si>
    <t>Vibrator motor, electronics and other parts of mobile phones</t>
  </si>
  <si>
    <t xml:space="preserve">Two laptops are used over the 5 years time horizon. The first laptop is used for 4 years (i.e. average lifetime of laptops) and the second laptop is used over the remaining 1 year. It is assumed that the first laptop uses two batteries over ist lifetime, because the average battery lifetime is only 3 years. The second laptop uses a third battery. </t>
  </si>
  <si>
    <t>Lithium-ion batteries</t>
  </si>
  <si>
    <t>Power cable of CRT TVs and monitors</t>
  </si>
  <si>
    <t>CRT TVs</t>
  </si>
  <si>
    <t>CRT monitors</t>
  </si>
  <si>
    <t>BACI trade data</t>
  </si>
  <si>
    <t>Parts of CRT TVs and monitors</t>
  </si>
  <si>
    <t>Electronics of CRT TVs and monitors (including the PCB)</t>
  </si>
  <si>
    <t>Al plates used in LCD screens (monitor parts)</t>
  </si>
  <si>
    <t>Al plates used in LCD screens (TV parts)</t>
  </si>
  <si>
    <t>Al plates used in LED screens (monitor parts)</t>
  </si>
  <si>
    <t>Al plates used in LED screens (TV parts)</t>
  </si>
  <si>
    <t>Al plates used in CRT TVs and monitors (parts)</t>
  </si>
  <si>
    <t>Antimony powders used in NiMHB cells and cases</t>
  </si>
  <si>
    <t>Tungsten used in CRT TV (electronics)</t>
  </si>
  <si>
    <t>Tungsten used in CRT monitor (electronics)</t>
  </si>
  <si>
    <t>Tungsten used in CRT TVs and monitors (electronics)</t>
  </si>
  <si>
    <t>Antimony used in screens of laptops</t>
  </si>
  <si>
    <t>Antimony used in screens of Monitors</t>
  </si>
  <si>
    <t>Antimony used in screens of TVs</t>
  </si>
  <si>
    <t>Baryte used in LCD screens of laptops</t>
  </si>
  <si>
    <t>Baryte used in LCD screens of monitors</t>
  </si>
  <si>
    <t>Baryte used in LCD screens of TVs</t>
  </si>
  <si>
    <t>Borates used in screens of mobile phones</t>
  </si>
  <si>
    <t>Borates used in screens of laptops</t>
  </si>
  <si>
    <t>Borates used in screens of monitors</t>
  </si>
  <si>
    <t>Borates used in screens of TVs</t>
  </si>
  <si>
    <t>Phosphoric acid used in LCD screens of mobile phones</t>
  </si>
  <si>
    <t>Phosphoric acid used in LCD screens of laptops</t>
  </si>
  <si>
    <t>Phosphoric acid used in LCD screens of monitors</t>
  </si>
  <si>
    <t>Phosphoric acid used in LCD screens of TVs</t>
  </si>
  <si>
    <t>Silicon used in LCD screen of monitors</t>
  </si>
  <si>
    <t>Silicon used in LCD screen of TVs</t>
  </si>
  <si>
    <t>Titanium used in LCD screens of mobile phones</t>
  </si>
  <si>
    <t>Titanium used in LCD screens of laptops</t>
  </si>
  <si>
    <t>Titanium used in LCD screens of monitors</t>
  </si>
  <si>
    <t>Titanium used in LCD screens of TVs</t>
  </si>
  <si>
    <t>Strontium used in LCD screens of laptops</t>
  </si>
  <si>
    <t>Strontium used in LCD screens of monitors</t>
  </si>
  <si>
    <t>Strontium used in LCD screens of TVs</t>
  </si>
  <si>
    <t>Electronics of laptop (processors)</t>
  </si>
  <si>
    <t>Electronics of computer (processors)</t>
  </si>
  <si>
    <t>Al plates used in screen of mobile phones</t>
  </si>
  <si>
    <t>Al plates used in desktop computers (cases)</t>
  </si>
  <si>
    <t>Baryte used in CRT monitors/TVs</t>
  </si>
  <si>
    <t>Cobalt used in permanent magnets</t>
  </si>
  <si>
    <t>Screen of CRT TVs</t>
  </si>
  <si>
    <t>Screen of CRT monitors</t>
  </si>
  <si>
    <t>Total supply of infrastructure for the Swiss ICT sector</t>
  </si>
  <si>
    <t>Magnesium used in Al plates</t>
  </si>
  <si>
    <t>Magnesium powder used in NiMHB (cells)</t>
  </si>
  <si>
    <t>Magnesium powder used in LCD screens of mobile phones</t>
  </si>
  <si>
    <t>Magnesium powder used in LCD screens of laptops</t>
  </si>
  <si>
    <t>Magnesium powder used in LCD screens of monitors</t>
  </si>
  <si>
    <t>Magnesium powder used in LCD screens of TVs</t>
  </si>
  <si>
    <t>Magnesium powder used in Al plates</t>
  </si>
  <si>
    <t>Scandium used in the Al plates</t>
  </si>
  <si>
    <t>Scandium ore used to produce Scandium</t>
  </si>
  <si>
    <t>Silicon used in Al plates</t>
  </si>
  <si>
    <t>Titanium used in Al plates</t>
  </si>
  <si>
    <t>Strontium oxide used in LCD screens of mobile phones</t>
  </si>
  <si>
    <t>Strontium oxide used in LCD screens</t>
  </si>
  <si>
    <t>Strontium oxide used in screens of CRT monitors/TVs</t>
  </si>
  <si>
    <t>Lithium carbonate used in LIB cells and cases</t>
  </si>
  <si>
    <t>Natural graphite used in LIB cells and cases</t>
  </si>
  <si>
    <t>Cobalt used in LIB cells and cases of mobile phones</t>
  </si>
  <si>
    <t>Cobalt used in LIB cells and cases laptops</t>
  </si>
  <si>
    <t>Cobalt used in the laptop (LIB cells and cases)</t>
  </si>
  <si>
    <t>(Grand View Research 2015)</t>
  </si>
  <si>
    <t>(Flipsen et al. 2012), (Yanamandra et al. 2022)</t>
  </si>
  <si>
    <t>It is assumed that the batteries are renewed with the purchase of a new mobile phone, since the mobile phone battery lifetime is higher than the lifetime of the mobile phone itself.</t>
  </si>
  <si>
    <t>(Singh et al. 2018)</t>
  </si>
  <si>
    <t>(NimbeLink Corp 2021), (Wikipedia 2023)</t>
  </si>
  <si>
    <t>(Suzianti et al. 2016)</t>
  </si>
  <si>
    <t>(Babbitt et al. 2020), (Wikipedia 2023)</t>
  </si>
  <si>
    <t>(Sodhi and Reimer 2001)</t>
  </si>
  <si>
    <t>(Kalmykova et al. 2015)</t>
  </si>
  <si>
    <t>(Al-Thyabat et al. 2013)</t>
  </si>
  <si>
    <t>(Hazotte et al. 2014)</t>
  </si>
  <si>
    <t>(Menad and Seron 2016)</t>
  </si>
  <si>
    <t>(Lixandru 2018)</t>
  </si>
  <si>
    <t>(Ylä-Mella et al. 2007)</t>
  </si>
  <si>
    <t>(Diekmann et al. 2016), (Gaines et al. 2011)</t>
  </si>
  <si>
    <t>(Silveira et al. 2015)</t>
  </si>
  <si>
    <t>(Babbitt et al. 2020)</t>
  </si>
  <si>
    <t>(De La Torre et al. 2018)</t>
  </si>
  <si>
    <t>(Ciftci and Cicek 2017)</t>
  </si>
  <si>
    <t>LCD screens are the type of screens that are most commonly used in mobile phones according to Eishima (2022).</t>
  </si>
  <si>
    <t>(Góra et al. 2019)</t>
  </si>
  <si>
    <t>(Otunniyi and Vermaak 2009)</t>
  </si>
  <si>
    <t>(Lin et al. 2016)</t>
  </si>
  <si>
    <t>(Pindar and Dhawan 2021)</t>
  </si>
  <si>
    <t>(Moravej 2019)</t>
  </si>
  <si>
    <t>(BJMT/Ideal 2014)</t>
  </si>
  <si>
    <t>(Buchert et al. 2012)</t>
  </si>
  <si>
    <t>(Menad and Seron 2016), (Bian et al. 2015)</t>
  </si>
  <si>
    <t>(Góra et al. 2019), (Buchert et al. 2012)</t>
  </si>
  <si>
    <t>(Pagliaro and Meneguzzo 2019)</t>
  </si>
  <si>
    <t>(Kodikara and De Silva 2018)</t>
  </si>
  <si>
    <t>(AZO Materials 2014)</t>
  </si>
  <si>
    <t>(Circular Computing 2019)</t>
  </si>
  <si>
    <t>The CRT consists of 65% front panel glass, 30% funnel glass and 5% neck glass according to Ciftci and Cicek (2017).</t>
  </si>
  <si>
    <t>(Kandemir and Toktamış 2018)</t>
  </si>
  <si>
    <t>(Batool et al. 2018)</t>
  </si>
  <si>
    <t>(Fitzpatrick et al. 2015)</t>
  </si>
  <si>
    <t>The average weight of a smartphone is estimated based on Babbitt et al. (2020). Following RIC (2023), it is assumed that 40% of the tungsten is used in the vibration motors and 60% in the electronics.</t>
  </si>
  <si>
    <t>The average weight of a cellular phone is estimated based on Babbitt et al. (2020). Following RIC (2023), it is assumed that 40% of the tungsten is used in the vibration motors and 60% in the electronics.</t>
  </si>
  <si>
    <t>(Deepmala et al. 2017)</t>
  </si>
  <si>
    <t>Al-Thyabat, S., Nakamura, T., Shibata, E., Iizuka, A., 2013. Adaptation of minerals processing operations for lithium-ion (LiBs) and nickel metal hydride (NiMH) batteries recycling: Critical review. Minerals Engineering. 45, 4-17. https://doi.org/10.1016/j.mineng.2012.12.005.</t>
  </si>
  <si>
    <t>Atabaki, M., 2012. Characterization of Transient Liquid-Phase Bonded Joints in a Copper-Beryllium Alloy with Silver-base Interlayer. Journal of Materials Engineering and Performance - J MATER ENG PERFORM. 21, 1-6. 10.1007/s11665-011-9953-9.</t>
  </si>
  <si>
    <t>AZO Materials, 2014. An Overview Of Aluminium-Scandium (AlSc). https://www.azom.com/article.aspx?ArticleID=10670 (accessed 22/01/2023).</t>
  </si>
  <si>
    <t>Babbitt, C.W., Madaka, H., Althaf, S., Kasulaitis, B., Ryen, E.G., 2020. Disassembly-based bill of materials data for consumer electronic products. Sci Data. 7 (1), 251. 10.1038/s41597-020-0573-9.</t>
  </si>
  <si>
    <t>Batool, S., Ahmad, A., Wadood, A., Mateen, A., Husain, S., 2018. Development of Lightweight Aluminum-Titanium Alloys for Aerospace Applications. Key Engineering Materials. 778, 22-27. 10.4028/www.scientific.net/KEM.778.22.</t>
  </si>
  <si>
    <t>Bian, Y., Guo, S., Jiang, L., Tang, K., Ding, W., 2015. Extraction of Rare Earth Elements from Permanent Magnet Scraps by FeO–B2O3 Flux Treatment. Journal of Sustainable Metallurgy. 1 (2), 151-60. 10.1007/s40831-015-0009-5.</t>
  </si>
  <si>
    <t>BJMT/Ideal, 2014. Samarium Cobalt vs Neodymium Magnets. https://idealmagnetsolutions.com/knowledge-base/samarium-cobalt-vs-neodymium-magnets/ (accessed 09/01/2023).</t>
  </si>
  <si>
    <t>Buchert, M., Manhart, A., Bleher, D., Pingel, D., 2012. Recycling critical raw materials from waste electronic equipment, (Germany). https://doi.org/.</t>
  </si>
  <si>
    <t>Burnham, A., Wang, M.Q., Wu, Y., 2006. Development and applications of GREET 2.7 -- The Transportation Vehicle-CycleModel, (United States), Medium: ED. 10.2172/898530.</t>
  </si>
  <si>
    <t>Chen, W.-S., Hsiao, C.-Y., Lee, C.-H., 2022. Recovery of Tantalum and Manganese from Epoxy-Coated Solid Electrolyte Tantalum Capacitors through Selective Leaching and Chlorination Processes, Materials, 15 (2). 10.3390/ma15020656</t>
  </si>
  <si>
    <t>Ciftci, M., Cicek, B., 2017. E-waste: A Review of CRT (Cathode Ray Tube) Recycling. Research &amp; Reviews: Journal of Material Sciences. 05. 10.4172/2321-6212.1000170.</t>
  </si>
  <si>
    <t>Circular Computing, 2019. Raw materials in a laptop. https://circularcomputing.com/news/raw-materials-in-a-laptop/ (accessed 06/02/2023).</t>
  </si>
  <si>
    <t>De La Torre, E., Vargas, E., Ron, C., Gámez, S., 2018. Europium, Yttrium, and Indium Recovery from Electronic Wastes. Metals - Open Access Metallurgy Journal. 8. 10.3390/met8100777.</t>
  </si>
  <si>
    <t>Deepmala, K., Singh, V., Chauhan, S., Jain, N., 2017. Soy Protein Based Green Composite: A Review. Research &amp; Reviews: Journal of Material Sciences. 5. 10.4172/2321-6212.1000171.</t>
  </si>
  <si>
    <t>Diekmann, J., Hanisch, C., Froböse, L., Schälicke, G., Loellhoeffel, T., Fölster, A.-S., Kwade, A., 2016. Ecological Recycling of Lithium-Ion Batteries from Electric Vehicles with Focus on Mechanical Processes. Journal of The Electrochemical Society. 164 (1), A6184-A91. https://doi.org/10.1149/2.0271701jes.</t>
  </si>
  <si>
    <t>Eishima, R., 2022. Smartphone screens explained: display types, resolutions and refresh rates. https://www.nextpit.com/smartphone-displays-explained (accessed 06/02/2023).</t>
  </si>
  <si>
    <t>Fitzpatrick, C., Olivetti, E., Miller, T.R., Roth, R., Kirchain, R., 2015. Conflict Minerals in the Compute Sector: Estimating Extent of Tin, Tantalum, Tungsten, and Gold Use in ICT Products. Environmental Science &amp; Technology. 49 (2), 974-81. 10.1021/es501193k.</t>
  </si>
  <si>
    <t xml:space="preserve">Flipsen, B., Geraedts, J., Reinders, A., Bakker, C., Dafnomilis, I., Gudadhe, A., 2012. Environmental sizing of smartphone batteries, 2012 Electronics Goes Green 2012+, 1-9. </t>
  </si>
  <si>
    <t xml:space="preserve">Gaines, L., Sullivan, J., Burnham, A., 2011. Paper No. 11-3891 Life-Cycle Analysis for Lithium-Ion Battery Production and Recycling. Transportation Research Board 90th Annual Meeting, Washington, DC. </t>
  </si>
  <si>
    <t>Góra, J., Franus, M., Barnat-Hunek, D., Franus, W., 2019. Utilization of Recycled Liquid Crystal Display (LCD) Panel Waste in Concrete. Materials (Basel). 12 (18). 10.3390/ma12182941.</t>
  </si>
  <si>
    <t>Grand View Research, 2015. Electronic Display Market Analysis By Technology (LCD, LED, OLED), By Application (Consumer Electronics, Digital Signage, Automotive Display), By End-Use (Retail, Entertainment, Corporate, Healthcare, Government)And Segment Forecasts To 2022. https://www.grandviewresearch.com/industry-analysis/electronic-displays-market (accessed 06/02/2023).</t>
  </si>
  <si>
    <t>Hazotte, C., Leclerc, N., Diliberto, S., Meux, E., Lapicque, F., 2014. End-of-life nickel-cadmium accumulators: Characterization of electrode materials and industrial Black Mass. Environmental technology. 36, 1-33. 10.1080/09593330.2014.962621.</t>
  </si>
  <si>
    <t>Kalmykova, Y., Patrício, J., Rosado, L., Berg, P., 2015. Out with the old, out with the new – The effect of transitions in TVs and monitors technology on consumption and WEEE generation in Sweden 1996–2014. Waste Management. 29. 10.1016/j.wasman.2015.08.034.</t>
  </si>
  <si>
    <t>Kandemir, A., Toktamış, H., 2018. Thermoluminescence studies of SIM card chips used in mobile communication providers in Turkey. Radiation Physics and Chemistry. 149, 84-89. https://doi.org/10.1016/j.radphyschem.2018.04.002.</t>
  </si>
  <si>
    <t>Kodikara, N., De Silva, I., 2018. Study of the Effects of Magnesium Content on the Mechanical Properties of Aluminium 6063 Extrudates. Engineer: Journal of the Institution of Engineers, Sri Lanka. 51, 1. 10.4038/engineer.v51i2.7289.</t>
  </si>
  <si>
    <t>Lin, S.-L., Huang, K.-L., Wang, I.C., Chou, I.C., Kuo, Y.-M., Hung, C.-H., Lin, C., 2016. Characterization of spent nickel–metal hydride batteries and a preliminary economic evaluation of the recovery processes. Journal of the Air &amp; Waste Management Association. 66 (3), 296-306. 10.1080/10962247.2015.1131206.</t>
  </si>
  <si>
    <t xml:space="preserve">Lixandru, A., 2018. Recycling of Nd-Fe-B permanent magnets by hydrogen processes. Technische Universität Darmstadt. </t>
  </si>
  <si>
    <t xml:space="preserve">Mehdi, D., Sharma, S., Anas, M., Sharma, N., 2015. The Influences of Variation of Copper Content on the Mechanical Properties of Aluminium Alloy. 03, 74-86. </t>
  </si>
  <si>
    <t xml:space="preserve">Menad, N.-E., Seron, A., 2016. CHARACTERISATION OF PERMANENT MAGNETS FROM WEEE, 6th International Conference on Engineering for Waste and Biomass Valorisation (Albi, France). </t>
  </si>
  <si>
    <t>Moravej, M., 2019. Borates in Glass Manufacturing: Unbreakable Benefits, Unbeatable Versatility. https://www.borax.com/news-events/october-2019/borates-in-glass-manufacturing (accessed 22/01/2023).</t>
  </si>
  <si>
    <t>Nancharaiah, Y.V., Mohan, S.V., Lens, P.N.L., 2016. Biological and Bioelectrochemical Recovery of Critical and Scarce Metals. Trends in Biotechnology. 34 (2), 137-55. https://doi.org/10.1016/j.tibtech.2015.11.003.</t>
  </si>
  <si>
    <t>Next Source materials, 2017. About Vanadium. https://www.nextsourcematerials.com/vanadium/about-vanadium/ (accessed 22/01/2023).</t>
  </si>
  <si>
    <t xml:space="preserve">NimbeLink Corp, 2021. Verizon SIM Card Datasheet. </t>
  </si>
  <si>
    <t>Otunniyi, I., Vermaak, M., 2009. Froth flotation for beneficiation of printed circuit boards comminution fines: An overview. Mineral Processing and Extractive Metallurgy Review - MINER PROCESS EXTR METALL REV. 30, 101-21. 10.1080/08827500802333123.</t>
  </si>
  <si>
    <t>Pagliaro, M., Meneguzzo, F., 2019. Lithium battery reusing and recycling: A circular economy insight. Heliyon. 5 (6), e01866. https://doi.org/10.1016/j.heliyon.2019.e01866.</t>
  </si>
  <si>
    <t>Pindar, S., Dhawan, N., 2021. Characterization and recycling potential of the discarded cathode ray tube monitors. Resources, Conservation and Recycling. 169, 105469. https://doi.org/10.1016/j.resconrec.2021.105469.</t>
  </si>
  <si>
    <t>QV Research, 2020. Electric Capacitors Industry Research Report. https://zhuanlan.zhihu.com/p/123925890 (accessed 22/01/2023).</t>
  </si>
  <si>
    <t>Rassõlkin, A., Kallaste, A., Orlova, S., Gevorkov, L., Vaimann, T., Belahcen, A., 2018. Re-Use and Recycling of Different Electrical Machines. Latvian Journal of Physics and Technical Sciences. 55. 10.2478/lpts-2018-0025.</t>
  </si>
  <si>
    <t>RIC, 2023. Tungsten. https://ric.werecycle.eu/c/Tungsten (accessed 06/02/2023).</t>
  </si>
  <si>
    <t>Silveira, A.V.M., Fuchs, M.S., Pinheiro, D.K., Tanabe, E.H., Bertuol, D.A., 2015. Recovery of indium from LCD screens of discarded cell phones. Waste Management. 45, 334-42. https://doi.org/10.1016/j.wasman.2015.04.007.</t>
  </si>
  <si>
    <t>Singh, N., Duan, H., Yin, F., Song, Q., Li, J., 2018. Characterizing the Materials Composition and Recovery Potential from Waste Mobile Phones: A Comparative Evaluation of Cellular and Smart Phones. ACS Sustainable Chemistry &amp; Engineering. 6 (10), 13016-24. 10.1021/acssuschemeng.8b02516.</t>
  </si>
  <si>
    <t>Sodhi, M., Reimer, B., 2001. Models for Recycling Electronics End-of-Life Products. OR Spektrum. 23, 97-115. 10.1007/PL00013347.</t>
  </si>
  <si>
    <t>Stamate, C., Doroftei, I., Chirita, D., Burlacu, A., 2019. On designing an automated tool for capacitors removal from waste printed circuits boards. IOP Conference Series: Materials Science and Engineering. 591, 012082. 10.1088/1757-899X/591/1/012082.</t>
  </si>
  <si>
    <t xml:space="preserve">Suzianti, A., Anjani, S., Handana, I., 2016. Designing Laptop Based On Costumer Preference Using ECQFD and TRIZ Methods. </t>
  </si>
  <si>
    <t>Vijayakumar, M.D., Dhinakaran, V., Sathish, T., Muthu, G., ram, P.M.B., 2021. Experimental study of chemical composition of aluminium alloys. Materials Today: Proceedings. 37, 1790-93. https://doi.org/10.1016/j.matpr.2020.07.391.</t>
  </si>
  <si>
    <t>Wikipedia, 2023. SD card. https://en.wikipedia.org/wiki/SD_card (accessed 06/02/2023).</t>
  </si>
  <si>
    <t>Yanamandra, K., Pinisetty, D., Daoud, A., Gupta, N., 2022. Recycling of Li-Ion and Lead Acid Batteries: A Review. Journal of the Indian Institute of Science. 102 (1), 281-95. 10.1007/s41745-021-00269-7.</t>
  </si>
  <si>
    <t xml:space="preserve">Ylä-Mella, J., Pongrácz, E., Tanskanen, P., Keiski, R., 2007. Environmental Impact of Mobile Phones: Material Content. </t>
  </si>
  <si>
    <t>References</t>
  </si>
  <si>
    <t xml:space="preserve">UNEP, 2011. Recycling Rates of Metals A Status Report. </t>
  </si>
  <si>
    <t>assumed that a SIM card and a micro SD card is used in the mobile phone.</t>
  </si>
  <si>
    <t>Only the average weights of the television and monitor components from the year 2011 are considered. The same weight of screens is assumed for LED and LCD TVs.</t>
  </si>
  <si>
    <t>Only the average weights of the television and monitor components from the year 2010 are considered. The same weight of screens is assumed for LED and LCD monitors.</t>
  </si>
  <si>
    <t xml:space="preserve">It is assumed that 50% of the mobile phones have aluminium cases. </t>
  </si>
  <si>
    <t>The aluminium content of the alloys used for Al plates is determined based on the data reported by Vijayakumar et al. (2021) and Mehdi et al. (2015).</t>
  </si>
  <si>
    <t xml:space="preserve">Following Babbitt et al. (2020), the mass% of aluminium in a laptop is 15.4%. It is assumed that the cases of laptops are made from aluminium (i.e. 9% of the laptop mass) and the remaining 6.4% are part of the laptop screen. </t>
  </si>
  <si>
    <t xml:space="preserve">The weight share of copper in the electronics is estimated based on Burnham et al. (2006) and the weight percentage of Beryllium in copper alloys is determined based on Atabaki (2012). </t>
  </si>
  <si>
    <t>Cobalt content of lithium-ion batteries is determined based on Pagliaro and Meneguzzo (2019). Accordingly, Nancharaiah et al. (2016) states that the cobalt content of a Li-ion battery ranges between 5 and 20 wt%.</t>
  </si>
  <si>
    <t>The average weight of a laptop is estimated based on Babbitt et al. (2020)</t>
  </si>
  <si>
    <t>The average weight of a laptop is estimated based on Babbitt et al. (2020).</t>
  </si>
  <si>
    <t xml:space="preserve">22% of the tantalum electrical capacitors consists of tantalum powder according to Chen et al. (2022). Around 10% of the used capacitors are tantalum capacitors according to QV Research (2020). Capacitors account for 8.6% of the mass of printed circuit boards according to Stamate et al. (2019). </t>
  </si>
  <si>
    <t>The amount of vanadium to lithium is used in a LIB by 1:1 ratio according to Next Source materials (2017).</t>
  </si>
  <si>
    <t>The average weight of a desktop computer is estimated based on Babbitt et al. (2020).</t>
  </si>
  <si>
    <t>The average weight of a LCD monitor is estimated based on Babbitt et al. (2020).</t>
  </si>
  <si>
    <t>The average weight of a LED monitor/TV is estimated based on Babbitt et al. (2020).</t>
  </si>
  <si>
    <t>The average weight of a LCD TV is estimated based on Babbitt et al. (2020).</t>
  </si>
  <si>
    <t xml:space="preserve">The average weight of a CRT TV is estimated based on Babbitt et al. (2020). The tungsten content that is stated for a display in the source is assumed as content of CRT TVs. </t>
  </si>
  <si>
    <t>The average weight of a CRT monitor is estimated based on Babbitt et al. (2020). The tungsten content that is stated for a display in the source is assumed as content of CRT monitors.</t>
  </si>
  <si>
    <t>Following UNEP (2011), it is assumed that 17.5% of the beryllium powders are produced from end-of-life products.</t>
  </si>
  <si>
    <t>Following UNEP (2011), it is assumed that 37.5% of the used Gallium is produced from end-of-life products.</t>
  </si>
  <si>
    <t>Following UNEP (2011), it is assumed that 5% of the REE are produced from end-of-life products.</t>
  </si>
  <si>
    <t>Following UNEP (2011), it is assumed that 37.5% of the used Indium is produced from end-of-life products.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</si>
</sst>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 #,##0.00_ ;_ * \-#,##0.00_ ;_ * &quot;-&quot;??_ ;_ @_ "/>
    <numFmt numFmtId="164" formatCode="0.000%"/>
    <numFmt numFmtId="165" formatCode="0.0000%"/>
    <numFmt numFmtId="166" formatCode="0.0%"/>
    <numFmt numFmtId="167" formatCode="_ * #,##0_ ;_ * \-#,##0_ ;_ * &quot;-&quot;??_ ;_ @_ "/>
    <numFmt numFmtId="168" formatCode="0.0000000"/>
  </numFmts>
  <fonts count="5" x14ac:knownFonts="1">
    <font>
      <sz val="10"/>
      <color theme="1"/>
      <name val="Segoe UI"/>
      <family val="2"/>
    </font>
    <font>
      <sz val="10"/>
      <color theme="1"/>
      <name val="Segoe UI"/>
      <family val="2"/>
    </font>
    <font>
      <b/>
      <sz val="10"/>
      <color theme="1"/>
      <name val="Segoe UI"/>
      <family val="2"/>
    </font>
    <font>
      <u/>
      <sz val="10"/>
      <color theme="10"/>
      <name val="Segoe UI"/>
      <family val="2"/>
    </font>
    <font>
      <b/>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4">
    <xf numFmtId="0" fontId="0" fillId="0" borderId="0"/>
    <xf numFmtId="9" fontId="1" fillId="0" borderId="0" applyFont="0" applyFill="0" applyBorder="0" applyAlignment="0" applyProtection="0"/>
    <xf numFmtId="0" fontId="3" fillId="0" borderId="0" applyNumberFormat="0" applyFill="0" applyBorder="0" applyAlignment="0" applyProtection="0"/>
    <xf numFmtId="43" fontId="1" fillId="0" borderId="0" applyFont="0" applyFill="0" applyBorder="0" applyAlignment="0" applyProtection="0"/>
  </cellStyleXfs>
  <cellXfs count="39">
    <xf numFmtId="0" fontId="0" fillId="0" borderId="0" xfId="0"/>
    <xf numFmtId="0" fontId="0" fillId="0" borderId="0" xfId="0" applyFont="1"/>
    <xf numFmtId="0" fontId="2" fillId="0" borderId="0" xfId="0" applyFont="1" applyAlignment="1">
      <alignment wrapText="1"/>
    </xf>
    <xf numFmtId="0" fontId="0" fillId="0" borderId="0" xfId="0" applyAlignment="1">
      <alignment wrapText="1"/>
    </xf>
    <xf numFmtId="10" fontId="0" fillId="0" borderId="0" xfId="1" applyNumberFormat="1" applyFont="1"/>
    <xf numFmtId="9" fontId="0" fillId="0" borderId="0" xfId="0" applyNumberFormat="1"/>
    <xf numFmtId="9" fontId="0" fillId="0" borderId="0" xfId="1" applyFont="1"/>
    <xf numFmtId="10" fontId="0" fillId="0" borderId="0" xfId="0" applyNumberFormat="1"/>
    <xf numFmtId="0" fontId="3" fillId="0" borderId="0" xfId="2"/>
    <xf numFmtId="0" fontId="0" fillId="0" borderId="0" xfId="0" applyFont="1" applyFill="1" applyAlignment="1">
      <alignment horizontal="center" wrapText="1"/>
    </xf>
    <xf numFmtId="0" fontId="0" fillId="0" borderId="0" xfId="0" applyFont="1" applyFill="1" applyBorder="1" applyAlignment="1">
      <alignment wrapText="1"/>
    </xf>
    <xf numFmtId="10" fontId="0" fillId="0" borderId="0" xfId="0" applyNumberFormat="1" applyFont="1"/>
    <xf numFmtId="0" fontId="0" fillId="0" borderId="0" xfId="0" applyAlignment="1">
      <alignment vertical="center"/>
    </xf>
    <xf numFmtId="10" fontId="0" fillId="0" borderId="0" xfId="0" applyNumberFormat="1" applyFont="1" applyFill="1" applyAlignment="1">
      <alignment horizontal="right" wrapText="1"/>
    </xf>
    <xf numFmtId="9" fontId="0" fillId="0" borderId="0" xfId="0" applyNumberFormat="1" applyFont="1" applyFill="1" applyAlignment="1">
      <alignment horizontal="right" wrapText="1"/>
    </xf>
    <xf numFmtId="9" fontId="0" fillId="0" borderId="0" xfId="0" applyNumberFormat="1" applyFont="1"/>
    <xf numFmtId="0" fontId="0" fillId="0" borderId="0" xfId="0" applyFill="1"/>
    <xf numFmtId="0" fontId="0" fillId="0" borderId="0" xfId="3" applyNumberFormat="1" applyFont="1" applyAlignment="1"/>
    <xf numFmtId="10" fontId="0" fillId="0" borderId="0" xfId="1" applyNumberFormat="1" applyFont="1" applyFill="1" applyBorder="1" applyAlignment="1">
      <alignment wrapText="1"/>
    </xf>
    <xf numFmtId="0" fontId="0" fillId="0" borderId="0" xfId="3" applyNumberFormat="1" applyFont="1" applyAlignment="1">
      <alignment horizontal="left"/>
    </xf>
    <xf numFmtId="164" fontId="0" fillId="0" borderId="0" xfId="1" applyNumberFormat="1" applyFont="1"/>
    <xf numFmtId="1" fontId="2" fillId="0" borderId="0" xfId="0" applyNumberFormat="1" applyFont="1" applyAlignment="1">
      <alignment wrapText="1"/>
    </xf>
    <xf numFmtId="0" fontId="0" fillId="0" borderId="0" xfId="0" applyFont="1" applyAlignment="1">
      <alignment wrapText="1"/>
    </xf>
    <xf numFmtId="0" fontId="0" fillId="0" borderId="0" xfId="0" applyBorder="1"/>
    <xf numFmtId="0" fontId="4" fillId="0" borderId="0" xfId="0" applyFont="1" applyBorder="1" applyAlignment="1">
      <alignment horizontal="center" vertical="top"/>
    </xf>
    <xf numFmtId="164" fontId="0" fillId="0" borderId="0" xfId="0" applyNumberFormat="1"/>
    <xf numFmtId="165" fontId="0" fillId="0" borderId="0" xfId="0" applyNumberFormat="1"/>
    <xf numFmtId="165" fontId="0" fillId="0" borderId="0" xfId="1" applyNumberFormat="1" applyFont="1"/>
    <xf numFmtId="164" fontId="0" fillId="0" borderId="0" xfId="0" applyNumberFormat="1" applyFont="1"/>
    <xf numFmtId="1" fontId="2" fillId="0" borderId="0" xfId="0" applyNumberFormat="1" applyFont="1" applyAlignment="1"/>
    <xf numFmtId="0" fontId="0" fillId="0" borderId="0" xfId="0" applyFill="1" applyAlignment="1">
      <alignment wrapText="1"/>
    </xf>
    <xf numFmtId="1" fontId="0" fillId="0" borderId="0" xfId="0" applyNumberFormat="1"/>
    <xf numFmtId="166" fontId="0" fillId="0" borderId="0" xfId="0" applyNumberFormat="1"/>
    <xf numFmtId="0" fontId="0" fillId="0" borderId="0" xfId="0" applyAlignment="1">
      <alignment horizontal="left" wrapText="1"/>
    </xf>
    <xf numFmtId="167" fontId="0" fillId="0" borderId="0" xfId="3" applyNumberFormat="1" applyFont="1"/>
    <xf numFmtId="168" fontId="0" fillId="0" borderId="0" xfId="0" applyNumberFormat="1"/>
    <xf numFmtId="0" fontId="2" fillId="0" borderId="0" xfId="0" applyFont="1" applyFill="1" applyBorder="1" applyAlignment="1">
      <alignment wrapText="1"/>
    </xf>
    <xf numFmtId="0" fontId="0" fillId="2" borderId="0" xfId="0" applyFont="1" applyFill="1" applyAlignment="1">
      <alignment horizontal="center" wrapText="1"/>
    </xf>
    <xf numFmtId="0" fontId="0" fillId="2" borderId="0" xfId="0" applyFont="1" applyFill="1" applyAlignment="1">
      <alignment horizontal="center"/>
    </xf>
  </cellXfs>
  <cellStyles count="4">
    <cellStyle name="Komma" xfId="3" builtinId="3"/>
    <cellStyle name="Link" xfId="2" builtinId="8"/>
    <cellStyle name="Prozent" xfId="1" builtinId="5"/>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styles" Target="styles.xml"/><Relationship Id="rId5" Type="http://schemas.openxmlformats.org/officeDocument/2006/relationships/externalLink" Target="externalLinks/externalLink3.xml"/><Relationship Id="rId10" Type="http://schemas.openxmlformats.org/officeDocument/2006/relationships/theme" Target="theme/theme1.xml"/><Relationship Id="rId4" Type="http://schemas.openxmlformats.org/officeDocument/2006/relationships/externalLink" Target="externalLinks/externalLink2.xml"/><Relationship Id="rId9" Type="http://schemas.openxmlformats.org/officeDocument/2006/relationships/externalLink" Target="externalLinks/externalLink7.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bma/Desktop/BW2%203.%20Paper/Inventory%20model/P3_LCIA_data/LCIA_IC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bma/Desktop/BW2%203.%20Paper/Inventory%20model/Final_product_amount/df_Phone_CH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bma/Desktop/BW2%203.%20Paper/Inventory%20model/Final_product_amount/df_Laptop_CH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bma/Desktop/BW2%203.%20Paper/Inventory%20model/Final_product_amount/df_Computer_CH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bma/Desktop/BW2%203.%20Paper/Inventory%20model/Final_product_amount/df_Flatscreen_monitor_CH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bma/Desktop/BW2%203.%20Paper/Inventory%20model/Final_product_amount/df_Flatscreen_TV_CHE.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bma/Desktop/BW2%203.%20Paper/Inventory%20model/Final_product_amount/df_CRT_CH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_1tier"/>
      <sheetName val="data_2tier"/>
      <sheetName val="data_3tier"/>
      <sheetName val="data_4tier"/>
      <sheetName val="data_rawmat"/>
      <sheetName val="data_intmat"/>
      <sheetName val="data_min"/>
      <sheetName val="data (temporal relevance)"/>
      <sheetName val="fuel_data"/>
    </sheetNames>
    <sheetDataSet>
      <sheetData sheetId="0">
        <row r="84">
          <cell r="B84">
            <v>0.87337255553459592</v>
          </cell>
        </row>
        <row r="85">
          <cell r="B85">
            <v>0.12662744446540411</v>
          </cell>
        </row>
      </sheetData>
      <sheetData sheetId="1"/>
      <sheetData sheetId="2"/>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C2">
            <v>0</v>
          </cell>
          <cell r="D2">
            <v>1</v>
          </cell>
          <cell r="E2">
            <v>0</v>
          </cell>
          <cell r="F2">
            <v>3</v>
          </cell>
          <cell r="G2">
            <v>0</v>
          </cell>
          <cell r="H2">
            <v>0</v>
          </cell>
          <cell r="I2">
            <v>0</v>
          </cell>
          <cell r="J2">
            <v>0</v>
          </cell>
          <cell r="K2">
            <v>0</v>
          </cell>
          <cell r="L2">
            <v>1</v>
          </cell>
          <cell r="M2">
            <v>30</v>
          </cell>
          <cell r="N2">
            <v>42450</v>
          </cell>
          <cell r="O2">
            <v>0</v>
          </cell>
          <cell r="P2">
            <v>4</v>
          </cell>
          <cell r="Q2">
            <v>27</v>
          </cell>
          <cell r="R2">
            <v>0</v>
          </cell>
          <cell r="S2">
            <v>0</v>
          </cell>
          <cell r="T2">
            <v>958</v>
          </cell>
          <cell r="U2">
            <v>0</v>
          </cell>
          <cell r="V2">
            <v>0</v>
          </cell>
          <cell r="W2">
            <v>0</v>
          </cell>
          <cell r="X2">
            <v>1</v>
          </cell>
          <cell r="Y2">
            <v>0</v>
          </cell>
          <cell r="Z2">
            <v>0</v>
          </cell>
          <cell r="AA2">
            <v>8</v>
          </cell>
          <cell r="AB2">
            <v>0</v>
          </cell>
          <cell r="AC2">
            <v>0</v>
          </cell>
          <cell r="AD2">
            <v>0</v>
          </cell>
          <cell r="AE2">
            <v>0</v>
          </cell>
          <cell r="AF2">
            <v>0</v>
          </cell>
          <cell r="AG2">
            <v>0</v>
          </cell>
          <cell r="AH2">
            <v>19</v>
          </cell>
          <cell r="AI2">
            <v>0</v>
          </cell>
          <cell r="AJ2">
            <v>0</v>
          </cell>
          <cell r="AK2">
            <v>6</v>
          </cell>
          <cell r="AL2">
            <v>0</v>
          </cell>
          <cell r="AM2">
            <v>1</v>
          </cell>
          <cell r="AN2">
            <v>40</v>
          </cell>
          <cell r="AO2">
            <v>0</v>
          </cell>
          <cell r="AP2">
            <v>0</v>
          </cell>
          <cell r="AQ2">
            <v>0</v>
          </cell>
          <cell r="AR2">
            <v>0</v>
          </cell>
          <cell r="AS2">
            <v>0</v>
          </cell>
          <cell r="AT2">
            <v>0</v>
          </cell>
          <cell r="AU2">
            <v>741335</v>
          </cell>
          <cell r="AV2">
            <v>0</v>
          </cell>
          <cell r="AW2">
            <v>0</v>
          </cell>
          <cell r="AX2">
            <v>1</v>
          </cell>
          <cell r="AY2">
            <v>0</v>
          </cell>
          <cell r="AZ2">
            <v>0</v>
          </cell>
          <cell r="BA2">
            <v>0</v>
          </cell>
          <cell r="BB2">
            <v>1</v>
          </cell>
          <cell r="BC2">
            <v>0</v>
          </cell>
          <cell r="BD2">
            <v>0</v>
          </cell>
          <cell r="BE2">
            <v>40</v>
          </cell>
          <cell r="BF2">
            <v>0</v>
          </cell>
          <cell r="BG2">
            <v>9</v>
          </cell>
          <cell r="BH2">
            <v>7208</v>
          </cell>
          <cell r="BI2">
            <v>0</v>
          </cell>
          <cell r="BJ2">
            <v>1057</v>
          </cell>
          <cell r="BK2">
            <v>0</v>
          </cell>
          <cell r="BL2">
            <v>4</v>
          </cell>
          <cell r="BM2">
            <v>2</v>
          </cell>
          <cell r="BN2">
            <v>0</v>
          </cell>
          <cell r="BO2">
            <v>0</v>
          </cell>
          <cell r="BP2">
            <v>1</v>
          </cell>
          <cell r="BQ2">
            <v>0</v>
          </cell>
          <cell r="BR2">
            <v>540</v>
          </cell>
          <cell r="BS2">
            <v>0</v>
          </cell>
          <cell r="BT2">
            <v>0</v>
          </cell>
          <cell r="BU2">
            <v>0</v>
          </cell>
          <cell r="BV2">
            <v>0</v>
          </cell>
          <cell r="BW2">
            <v>1308</v>
          </cell>
          <cell r="BX2">
            <v>9132</v>
          </cell>
          <cell r="BY2">
            <v>0</v>
          </cell>
          <cell r="BZ2">
            <v>0</v>
          </cell>
          <cell r="CA2">
            <v>0</v>
          </cell>
          <cell r="CB2">
            <v>0</v>
          </cell>
          <cell r="CC2">
            <v>0</v>
          </cell>
          <cell r="CD2">
            <v>0</v>
          </cell>
          <cell r="CE2">
            <v>0</v>
          </cell>
          <cell r="CF2">
            <v>91706</v>
          </cell>
          <cell r="CG2">
            <v>6</v>
          </cell>
          <cell r="CH2">
            <v>0</v>
          </cell>
          <cell r="CI2">
            <v>0</v>
          </cell>
          <cell r="CJ2">
            <v>18</v>
          </cell>
          <cell r="CK2">
            <v>0</v>
          </cell>
          <cell r="CL2">
            <v>0</v>
          </cell>
          <cell r="CM2">
            <v>0</v>
          </cell>
          <cell r="CN2">
            <v>0</v>
          </cell>
          <cell r="CO2">
            <v>0</v>
          </cell>
          <cell r="CP2">
            <v>0</v>
          </cell>
          <cell r="CQ2">
            <v>0</v>
          </cell>
          <cell r="CR2">
            <v>0</v>
          </cell>
          <cell r="CS2">
            <v>0</v>
          </cell>
          <cell r="CT2">
            <v>0</v>
          </cell>
          <cell r="CU2">
            <v>41688</v>
          </cell>
          <cell r="CV2">
            <v>2377</v>
          </cell>
          <cell r="CW2">
            <v>0</v>
          </cell>
          <cell r="CX2">
            <v>2</v>
          </cell>
          <cell r="CY2">
            <v>0</v>
          </cell>
          <cell r="CZ2">
            <v>0</v>
          </cell>
          <cell r="DA2">
            <v>53</v>
          </cell>
          <cell r="DB2">
            <v>18</v>
          </cell>
          <cell r="DC2">
            <v>33097</v>
          </cell>
          <cell r="DD2">
            <v>1</v>
          </cell>
          <cell r="DE2">
            <v>0</v>
          </cell>
          <cell r="DF2">
            <v>32</v>
          </cell>
          <cell r="DG2">
            <v>1</v>
          </cell>
          <cell r="DH2">
            <v>0</v>
          </cell>
          <cell r="DI2">
            <v>1</v>
          </cell>
          <cell r="DJ2">
            <v>0</v>
          </cell>
          <cell r="DK2">
            <v>4581</v>
          </cell>
          <cell r="DL2">
            <v>0</v>
          </cell>
          <cell r="DM2">
            <v>0</v>
          </cell>
          <cell r="DN2">
            <v>0</v>
          </cell>
          <cell r="DO2">
            <v>0</v>
          </cell>
          <cell r="DP2">
            <v>0</v>
          </cell>
          <cell r="DQ2">
            <v>293</v>
          </cell>
          <cell r="DR2">
            <v>0</v>
          </cell>
          <cell r="DS2">
            <v>1</v>
          </cell>
          <cell r="DT2">
            <v>7</v>
          </cell>
          <cell r="DU2">
            <v>52</v>
          </cell>
          <cell r="DV2">
            <v>0</v>
          </cell>
          <cell r="DW2">
            <v>0</v>
          </cell>
          <cell r="DX2">
            <v>0</v>
          </cell>
          <cell r="DY2">
            <v>62</v>
          </cell>
          <cell r="DZ2">
            <v>0</v>
          </cell>
          <cell r="EA2">
            <v>0</v>
          </cell>
          <cell r="EB2">
            <v>7</v>
          </cell>
          <cell r="EC2">
            <v>0</v>
          </cell>
          <cell r="ED2">
            <v>0</v>
          </cell>
          <cell r="EE2">
            <v>240</v>
          </cell>
          <cell r="EF2">
            <v>0</v>
          </cell>
          <cell r="EG2">
            <v>0</v>
          </cell>
          <cell r="EH2">
            <v>1</v>
          </cell>
          <cell r="EI2">
            <v>0</v>
          </cell>
          <cell r="EJ2">
            <v>1</v>
          </cell>
          <cell r="EK2">
            <v>0</v>
          </cell>
          <cell r="EL2">
            <v>0</v>
          </cell>
          <cell r="EM2">
            <v>0</v>
          </cell>
          <cell r="EN2">
            <v>0</v>
          </cell>
          <cell r="EO2">
            <v>0</v>
          </cell>
          <cell r="EP2">
            <v>26553</v>
          </cell>
          <cell r="EQ2">
            <v>0</v>
          </cell>
          <cell r="ER2">
            <v>0</v>
          </cell>
          <cell r="ES2">
            <v>0</v>
          </cell>
          <cell r="ET2">
            <v>0</v>
          </cell>
          <cell r="EU2">
            <v>0</v>
          </cell>
          <cell r="EV2">
            <v>0</v>
          </cell>
          <cell r="EW2">
            <v>508</v>
          </cell>
          <cell r="EX2">
            <v>0</v>
          </cell>
          <cell r="EY2">
            <v>0</v>
          </cell>
          <cell r="EZ2">
            <v>2</v>
          </cell>
          <cell r="FA2">
            <v>0</v>
          </cell>
          <cell r="FB2">
            <v>0</v>
          </cell>
          <cell r="FC2">
            <v>9</v>
          </cell>
          <cell r="FD2">
            <v>0</v>
          </cell>
          <cell r="FE2">
            <v>0</v>
          </cell>
          <cell r="FF2">
            <v>0</v>
          </cell>
          <cell r="FG2">
            <v>0</v>
          </cell>
          <cell r="FH2">
            <v>0</v>
          </cell>
          <cell r="FI2">
            <v>0</v>
          </cell>
          <cell r="FJ2">
            <v>0</v>
          </cell>
          <cell r="FK2">
            <v>0</v>
          </cell>
          <cell r="FL2">
            <v>0</v>
          </cell>
          <cell r="FM2">
            <v>0</v>
          </cell>
          <cell r="FN2">
            <v>7</v>
          </cell>
          <cell r="FO2">
            <v>0</v>
          </cell>
          <cell r="FP2">
            <v>1426</v>
          </cell>
          <cell r="FQ2">
            <v>18</v>
          </cell>
          <cell r="FR2">
            <v>0</v>
          </cell>
          <cell r="FS2">
            <v>0</v>
          </cell>
          <cell r="FT2">
            <v>28</v>
          </cell>
          <cell r="FU2">
            <v>1033</v>
          </cell>
          <cell r="FV2">
            <v>11</v>
          </cell>
          <cell r="FW2">
            <v>15</v>
          </cell>
          <cell r="FX2">
            <v>0</v>
          </cell>
          <cell r="FY2">
            <v>0</v>
          </cell>
          <cell r="FZ2">
            <v>0</v>
          </cell>
          <cell r="GA2">
            <v>0</v>
          </cell>
          <cell r="GB2">
            <v>0</v>
          </cell>
          <cell r="GC2">
            <v>0</v>
          </cell>
          <cell r="GD2">
            <v>0</v>
          </cell>
          <cell r="GE2">
            <v>0</v>
          </cell>
          <cell r="GF2">
            <v>0</v>
          </cell>
          <cell r="GG2">
            <v>23</v>
          </cell>
          <cell r="GH2">
            <v>1</v>
          </cell>
          <cell r="GI2">
            <v>1</v>
          </cell>
          <cell r="GJ2">
            <v>0</v>
          </cell>
          <cell r="GK2">
            <v>0</v>
          </cell>
          <cell r="GL2">
            <v>262</v>
          </cell>
          <cell r="GM2">
            <v>88</v>
          </cell>
          <cell r="GN2">
            <v>9007</v>
          </cell>
          <cell r="GO2">
            <v>122367</v>
          </cell>
          <cell r="GP2">
            <v>15</v>
          </cell>
          <cell r="GQ2">
            <v>0</v>
          </cell>
          <cell r="GR2">
            <v>4</v>
          </cell>
          <cell r="GS2">
            <v>0</v>
          </cell>
          <cell r="GT2">
            <v>400</v>
          </cell>
          <cell r="GU2">
            <v>0</v>
          </cell>
          <cell r="GV2">
            <v>0</v>
          </cell>
          <cell r="GW2">
            <v>0</v>
          </cell>
          <cell r="GX2">
            <v>0</v>
          </cell>
          <cell r="GY2">
            <v>0</v>
          </cell>
          <cell r="GZ2">
            <v>370</v>
          </cell>
          <cell r="HA2">
            <v>0</v>
          </cell>
          <cell r="HB2">
            <v>0</v>
          </cell>
          <cell r="HC2">
            <v>0</v>
          </cell>
          <cell r="HD2">
            <v>108</v>
          </cell>
          <cell r="HE2">
            <v>0</v>
          </cell>
          <cell r="HF2">
            <v>0</v>
          </cell>
          <cell r="HG2">
            <v>0</v>
          </cell>
          <cell r="HH2">
            <v>0</v>
          </cell>
          <cell r="HI2">
            <v>837</v>
          </cell>
          <cell r="HJ2">
            <v>1</v>
          </cell>
          <cell r="HK2">
            <v>10</v>
          </cell>
          <cell r="HL2">
            <v>0</v>
          </cell>
          <cell r="HM2">
            <v>0</v>
          </cell>
          <cell r="HN2">
            <v>0</v>
          </cell>
          <cell r="HO2">
            <v>1</v>
          </cell>
          <cell r="HP2">
            <v>6</v>
          </cell>
          <cell r="HQ2">
            <v>1</v>
          </cell>
          <cell r="HR2">
            <v>28</v>
          </cell>
          <cell r="HS2">
            <v>2829</v>
          </cell>
          <cell r="HT2">
            <v>1</v>
          </cell>
          <cell r="HU2">
            <v>2032</v>
          </cell>
          <cell r="HV2">
            <v>0</v>
          </cell>
          <cell r="HW2">
            <v>1</v>
          </cell>
          <cell r="HX2">
            <v>0</v>
          </cell>
          <cell r="HY2">
            <v>1</v>
          </cell>
          <cell r="HZ2">
            <v>0</v>
          </cell>
          <cell r="IA2">
            <v>0</v>
          </cell>
          <cell r="IB2">
            <v>0</v>
          </cell>
          <cell r="IC2">
            <v>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C2">
            <v>3</v>
          </cell>
          <cell r="D2">
            <v>2</v>
          </cell>
          <cell r="E2">
            <v>0</v>
          </cell>
          <cell r="F2">
            <v>0</v>
          </cell>
          <cell r="G2">
            <v>0</v>
          </cell>
          <cell r="H2">
            <v>0</v>
          </cell>
          <cell r="I2">
            <v>0</v>
          </cell>
          <cell r="J2">
            <v>0</v>
          </cell>
          <cell r="K2">
            <v>0</v>
          </cell>
          <cell r="L2">
            <v>1</v>
          </cell>
          <cell r="M2">
            <v>96</v>
          </cell>
          <cell r="N2">
            <v>5632</v>
          </cell>
          <cell r="O2">
            <v>1</v>
          </cell>
          <cell r="P2">
            <v>57</v>
          </cell>
          <cell r="Q2">
            <v>64</v>
          </cell>
          <cell r="R2">
            <v>0</v>
          </cell>
          <cell r="S2">
            <v>0</v>
          </cell>
          <cell r="T2">
            <v>1870</v>
          </cell>
          <cell r="U2">
            <v>0</v>
          </cell>
          <cell r="V2">
            <v>0</v>
          </cell>
          <cell r="W2">
            <v>5</v>
          </cell>
          <cell r="X2">
            <v>34</v>
          </cell>
          <cell r="Y2">
            <v>6</v>
          </cell>
          <cell r="Z2">
            <v>0</v>
          </cell>
          <cell r="AA2">
            <v>16</v>
          </cell>
          <cell r="AB2">
            <v>0</v>
          </cell>
          <cell r="AC2">
            <v>0</v>
          </cell>
          <cell r="AD2">
            <v>0</v>
          </cell>
          <cell r="AE2">
            <v>0</v>
          </cell>
          <cell r="AF2">
            <v>0</v>
          </cell>
          <cell r="AG2">
            <v>0</v>
          </cell>
          <cell r="AH2">
            <v>85</v>
          </cell>
          <cell r="AI2">
            <v>0</v>
          </cell>
          <cell r="AJ2">
            <v>0</v>
          </cell>
          <cell r="AK2">
            <v>7</v>
          </cell>
          <cell r="AL2">
            <v>2</v>
          </cell>
          <cell r="AM2">
            <v>10</v>
          </cell>
          <cell r="AN2">
            <v>1632</v>
          </cell>
          <cell r="AO2">
            <v>0</v>
          </cell>
          <cell r="AP2">
            <v>0</v>
          </cell>
          <cell r="AQ2">
            <v>0</v>
          </cell>
          <cell r="AR2">
            <v>65</v>
          </cell>
          <cell r="AS2">
            <v>0</v>
          </cell>
          <cell r="AT2">
            <v>44</v>
          </cell>
          <cell r="AU2">
            <v>4096379</v>
          </cell>
          <cell r="AV2">
            <v>0</v>
          </cell>
          <cell r="AW2">
            <v>0</v>
          </cell>
          <cell r="AX2">
            <v>32</v>
          </cell>
          <cell r="AY2">
            <v>0</v>
          </cell>
          <cell r="AZ2">
            <v>0</v>
          </cell>
          <cell r="BA2">
            <v>0</v>
          </cell>
          <cell r="BB2">
            <v>0</v>
          </cell>
          <cell r="BC2">
            <v>0</v>
          </cell>
          <cell r="BD2">
            <v>11</v>
          </cell>
          <cell r="BE2">
            <v>27</v>
          </cell>
          <cell r="BF2">
            <v>0</v>
          </cell>
          <cell r="BG2">
            <v>6</v>
          </cell>
          <cell r="BH2">
            <v>18314</v>
          </cell>
          <cell r="BI2">
            <v>0</v>
          </cell>
          <cell r="BJ2">
            <v>1797</v>
          </cell>
          <cell r="BK2">
            <v>0</v>
          </cell>
          <cell r="BL2">
            <v>2</v>
          </cell>
          <cell r="BM2">
            <v>5</v>
          </cell>
          <cell r="BN2">
            <v>12</v>
          </cell>
          <cell r="BO2">
            <v>0</v>
          </cell>
          <cell r="BP2">
            <v>2</v>
          </cell>
          <cell r="BQ2">
            <v>0</v>
          </cell>
          <cell r="BR2">
            <v>629</v>
          </cell>
          <cell r="BS2">
            <v>0</v>
          </cell>
          <cell r="BT2">
            <v>0</v>
          </cell>
          <cell r="BU2">
            <v>0</v>
          </cell>
          <cell r="BV2">
            <v>0</v>
          </cell>
          <cell r="BW2">
            <v>156</v>
          </cell>
          <cell r="BX2">
            <v>9152</v>
          </cell>
          <cell r="BY2">
            <v>0</v>
          </cell>
          <cell r="BZ2">
            <v>0</v>
          </cell>
          <cell r="CA2">
            <v>0</v>
          </cell>
          <cell r="CB2">
            <v>0</v>
          </cell>
          <cell r="CC2">
            <v>2</v>
          </cell>
          <cell r="CD2">
            <v>0</v>
          </cell>
          <cell r="CE2">
            <v>0</v>
          </cell>
          <cell r="CF2">
            <v>169815</v>
          </cell>
          <cell r="CG2">
            <v>0</v>
          </cell>
          <cell r="CH2">
            <v>0</v>
          </cell>
          <cell r="CI2">
            <v>0</v>
          </cell>
          <cell r="CJ2">
            <v>99</v>
          </cell>
          <cell r="CK2">
            <v>0</v>
          </cell>
          <cell r="CL2">
            <v>0</v>
          </cell>
          <cell r="CM2">
            <v>0</v>
          </cell>
          <cell r="CN2">
            <v>0</v>
          </cell>
          <cell r="CO2">
            <v>2</v>
          </cell>
          <cell r="CP2">
            <v>4</v>
          </cell>
          <cell r="CQ2">
            <v>0</v>
          </cell>
          <cell r="CR2">
            <v>0</v>
          </cell>
          <cell r="CS2">
            <v>0</v>
          </cell>
          <cell r="CT2">
            <v>0</v>
          </cell>
          <cell r="CU2">
            <v>11793</v>
          </cell>
          <cell r="CV2">
            <v>12431</v>
          </cell>
          <cell r="CW2">
            <v>19</v>
          </cell>
          <cell r="CX2">
            <v>29</v>
          </cell>
          <cell r="CY2">
            <v>0</v>
          </cell>
          <cell r="CZ2">
            <v>0</v>
          </cell>
          <cell r="DA2">
            <v>5936</v>
          </cell>
          <cell r="DB2">
            <v>314</v>
          </cell>
          <cell r="DC2">
            <v>63872</v>
          </cell>
          <cell r="DD2">
            <v>2</v>
          </cell>
          <cell r="DE2">
            <v>0</v>
          </cell>
          <cell r="DF2">
            <v>6240</v>
          </cell>
          <cell r="DG2">
            <v>7</v>
          </cell>
          <cell r="DH2">
            <v>14</v>
          </cell>
          <cell r="DI2">
            <v>18</v>
          </cell>
          <cell r="DJ2">
            <v>0</v>
          </cell>
          <cell r="DK2">
            <v>890</v>
          </cell>
          <cell r="DL2">
            <v>4</v>
          </cell>
          <cell r="DM2">
            <v>8</v>
          </cell>
          <cell r="DN2">
            <v>0</v>
          </cell>
          <cell r="DO2">
            <v>10</v>
          </cell>
          <cell r="DP2">
            <v>0</v>
          </cell>
          <cell r="DQ2">
            <v>72</v>
          </cell>
          <cell r="DR2">
            <v>0</v>
          </cell>
          <cell r="DS2">
            <v>0</v>
          </cell>
          <cell r="DT2">
            <v>51</v>
          </cell>
          <cell r="DU2">
            <v>244</v>
          </cell>
          <cell r="DV2">
            <v>0</v>
          </cell>
          <cell r="DW2">
            <v>2</v>
          </cell>
          <cell r="DX2">
            <v>2</v>
          </cell>
          <cell r="DY2">
            <v>350</v>
          </cell>
          <cell r="DZ2">
            <v>0</v>
          </cell>
          <cell r="EA2">
            <v>0</v>
          </cell>
          <cell r="EB2">
            <v>23</v>
          </cell>
          <cell r="EC2">
            <v>0</v>
          </cell>
          <cell r="ED2">
            <v>4</v>
          </cell>
          <cell r="EE2">
            <v>809</v>
          </cell>
          <cell r="EF2">
            <v>0</v>
          </cell>
          <cell r="EG2">
            <v>0</v>
          </cell>
          <cell r="EH2">
            <v>0</v>
          </cell>
          <cell r="EI2">
            <v>0</v>
          </cell>
          <cell r="EJ2">
            <v>2</v>
          </cell>
          <cell r="EK2">
            <v>0</v>
          </cell>
          <cell r="EL2">
            <v>0</v>
          </cell>
          <cell r="EM2">
            <v>0</v>
          </cell>
          <cell r="EN2">
            <v>0</v>
          </cell>
          <cell r="EO2">
            <v>87</v>
          </cell>
          <cell r="EP2">
            <v>91826</v>
          </cell>
          <cell r="EQ2">
            <v>2</v>
          </cell>
          <cell r="ER2">
            <v>0</v>
          </cell>
          <cell r="ES2">
            <v>0</v>
          </cell>
          <cell r="ET2">
            <v>0</v>
          </cell>
          <cell r="EU2">
            <v>0</v>
          </cell>
          <cell r="EV2">
            <v>0</v>
          </cell>
          <cell r="EW2">
            <v>14</v>
          </cell>
          <cell r="EX2">
            <v>0</v>
          </cell>
          <cell r="EY2">
            <v>153</v>
          </cell>
          <cell r="EZ2">
            <v>16</v>
          </cell>
          <cell r="FA2">
            <v>0</v>
          </cell>
          <cell r="FB2">
            <v>0</v>
          </cell>
          <cell r="FC2">
            <v>108</v>
          </cell>
          <cell r="FD2">
            <v>0</v>
          </cell>
          <cell r="FE2">
            <v>0</v>
          </cell>
          <cell r="FF2">
            <v>0</v>
          </cell>
          <cell r="FG2">
            <v>0</v>
          </cell>
          <cell r="FH2">
            <v>0</v>
          </cell>
          <cell r="FI2">
            <v>0</v>
          </cell>
          <cell r="FJ2">
            <v>70</v>
          </cell>
          <cell r="FK2">
            <v>0</v>
          </cell>
          <cell r="FL2">
            <v>0</v>
          </cell>
          <cell r="FM2">
            <v>8</v>
          </cell>
          <cell r="FN2">
            <v>207</v>
          </cell>
          <cell r="FO2">
            <v>0</v>
          </cell>
          <cell r="FP2">
            <v>7517</v>
          </cell>
          <cell r="FQ2">
            <v>286</v>
          </cell>
          <cell r="FR2">
            <v>0</v>
          </cell>
          <cell r="FS2">
            <v>0</v>
          </cell>
          <cell r="FT2">
            <v>26</v>
          </cell>
          <cell r="FU2">
            <v>435</v>
          </cell>
          <cell r="FV2">
            <v>153</v>
          </cell>
          <cell r="FW2">
            <v>6</v>
          </cell>
          <cell r="FX2">
            <v>0</v>
          </cell>
          <cell r="FY2">
            <v>0</v>
          </cell>
          <cell r="FZ2">
            <v>0</v>
          </cell>
          <cell r="GA2">
            <v>0</v>
          </cell>
          <cell r="GB2">
            <v>0</v>
          </cell>
          <cell r="GC2">
            <v>0</v>
          </cell>
          <cell r="GD2">
            <v>0</v>
          </cell>
          <cell r="GE2">
            <v>0</v>
          </cell>
          <cell r="GF2">
            <v>0</v>
          </cell>
          <cell r="GG2">
            <v>46</v>
          </cell>
          <cell r="GH2">
            <v>9</v>
          </cell>
          <cell r="GI2">
            <v>18</v>
          </cell>
          <cell r="GJ2">
            <v>0</v>
          </cell>
          <cell r="GK2">
            <v>0</v>
          </cell>
          <cell r="GL2">
            <v>121</v>
          </cell>
          <cell r="GM2">
            <v>281</v>
          </cell>
          <cell r="GN2">
            <v>12672</v>
          </cell>
          <cell r="GO2">
            <v>59709</v>
          </cell>
          <cell r="GP2">
            <v>137</v>
          </cell>
          <cell r="GQ2">
            <v>0</v>
          </cell>
          <cell r="GR2">
            <v>16</v>
          </cell>
          <cell r="GS2">
            <v>0</v>
          </cell>
          <cell r="GT2">
            <v>1374</v>
          </cell>
          <cell r="GU2">
            <v>0</v>
          </cell>
          <cell r="GV2">
            <v>0</v>
          </cell>
          <cell r="GW2">
            <v>0</v>
          </cell>
          <cell r="GX2">
            <v>0</v>
          </cell>
          <cell r="GY2">
            <v>2</v>
          </cell>
          <cell r="GZ2">
            <v>1986</v>
          </cell>
          <cell r="HA2">
            <v>0</v>
          </cell>
          <cell r="HB2">
            <v>0</v>
          </cell>
          <cell r="HC2">
            <v>4</v>
          </cell>
          <cell r="HD2">
            <v>102</v>
          </cell>
          <cell r="HE2">
            <v>0</v>
          </cell>
          <cell r="HF2">
            <v>0</v>
          </cell>
          <cell r="HG2">
            <v>0</v>
          </cell>
          <cell r="HH2">
            <v>0</v>
          </cell>
          <cell r="HI2">
            <v>268</v>
          </cell>
          <cell r="HJ2">
            <v>0</v>
          </cell>
          <cell r="HK2">
            <v>45</v>
          </cell>
          <cell r="HL2">
            <v>0</v>
          </cell>
          <cell r="HM2">
            <v>0</v>
          </cell>
          <cell r="HN2">
            <v>0</v>
          </cell>
          <cell r="HO2">
            <v>282</v>
          </cell>
          <cell r="HP2">
            <v>20</v>
          </cell>
          <cell r="HQ2">
            <v>12</v>
          </cell>
          <cell r="HR2">
            <v>13</v>
          </cell>
          <cell r="HS2">
            <v>17335</v>
          </cell>
          <cell r="HT2">
            <v>2</v>
          </cell>
          <cell r="HU2">
            <v>8092.0000000000009</v>
          </cell>
          <cell r="HV2">
            <v>0</v>
          </cell>
          <cell r="HW2">
            <v>0</v>
          </cell>
          <cell r="HX2">
            <v>2</v>
          </cell>
          <cell r="HY2">
            <v>0</v>
          </cell>
          <cell r="HZ2">
            <v>0</v>
          </cell>
          <cell r="IA2">
            <v>0</v>
          </cell>
          <cell r="IB2">
            <v>0</v>
          </cell>
          <cell r="IC2">
            <v>0</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C2">
            <v>0</v>
          </cell>
          <cell r="D2">
            <v>0</v>
          </cell>
          <cell r="E2">
            <v>0</v>
          </cell>
          <cell r="F2">
            <v>0</v>
          </cell>
          <cell r="G2">
            <v>0</v>
          </cell>
          <cell r="H2">
            <v>0</v>
          </cell>
          <cell r="I2">
            <v>0</v>
          </cell>
          <cell r="J2">
            <v>0</v>
          </cell>
          <cell r="K2">
            <v>0</v>
          </cell>
          <cell r="L2">
            <v>0</v>
          </cell>
          <cell r="M2">
            <v>161</v>
          </cell>
          <cell r="N2">
            <v>32463</v>
          </cell>
          <cell r="O2">
            <v>0</v>
          </cell>
          <cell r="P2">
            <v>0</v>
          </cell>
          <cell r="Q2">
            <v>0</v>
          </cell>
          <cell r="R2">
            <v>0</v>
          </cell>
          <cell r="S2">
            <v>0</v>
          </cell>
          <cell r="T2">
            <v>4992</v>
          </cell>
          <cell r="U2">
            <v>0</v>
          </cell>
          <cell r="V2">
            <v>0</v>
          </cell>
          <cell r="W2">
            <v>0</v>
          </cell>
          <cell r="X2">
            <v>0</v>
          </cell>
          <cell r="Y2">
            <v>0</v>
          </cell>
          <cell r="Z2">
            <v>0</v>
          </cell>
          <cell r="AA2">
            <v>7</v>
          </cell>
          <cell r="AB2">
            <v>0</v>
          </cell>
          <cell r="AC2">
            <v>0</v>
          </cell>
          <cell r="AD2">
            <v>0</v>
          </cell>
          <cell r="AE2">
            <v>0</v>
          </cell>
          <cell r="AF2">
            <v>0</v>
          </cell>
          <cell r="AG2">
            <v>0</v>
          </cell>
          <cell r="AH2">
            <v>215</v>
          </cell>
          <cell r="AI2">
            <v>0</v>
          </cell>
          <cell r="AJ2">
            <v>0</v>
          </cell>
          <cell r="AK2">
            <v>0</v>
          </cell>
          <cell r="AL2">
            <v>0</v>
          </cell>
          <cell r="AM2">
            <v>0</v>
          </cell>
          <cell r="AN2">
            <v>1133</v>
          </cell>
          <cell r="AO2">
            <v>0</v>
          </cell>
          <cell r="AP2">
            <v>0</v>
          </cell>
          <cell r="AQ2">
            <v>0</v>
          </cell>
          <cell r="AR2">
            <v>0</v>
          </cell>
          <cell r="AS2">
            <v>0</v>
          </cell>
          <cell r="AT2">
            <v>3062</v>
          </cell>
          <cell r="AU2">
            <v>842678</v>
          </cell>
          <cell r="AV2">
            <v>0</v>
          </cell>
          <cell r="AW2">
            <v>0</v>
          </cell>
          <cell r="AX2">
            <v>0</v>
          </cell>
          <cell r="AY2">
            <v>0</v>
          </cell>
          <cell r="AZ2">
            <v>0</v>
          </cell>
          <cell r="BA2">
            <v>0</v>
          </cell>
          <cell r="BB2">
            <v>0</v>
          </cell>
          <cell r="BC2">
            <v>0</v>
          </cell>
          <cell r="BD2">
            <v>0</v>
          </cell>
          <cell r="BE2">
            <v>51.000000000000007</v>
          </cell>
          <cell r="BF2">
            <v>0</v>
          </cell>
          <cell r="BG2">
            <v>0</v>
          </cell>
          <cell r="BH2">
            <v>109520</v>
          </cell>
          <cell r="BI2">
            <v>0</v>
          </cell>
          <cell r="BJ2">
            <v>3058</v>
          </cell>
          <cell r="BK2">
            <v>0</v>
          </cell>
          <cell r="BL2">
            <v>67</v>
          </cell>
          <cell r="BM2">
            <v>0</v>
          </cell>
          <cell r="BN2">
            <v>0</v>
          </cell>
          <cell r="BO2">
            <v>0</v>
          </cell>
          <cell r="BP2">
            <v>0</v>
          </cell>
          <cell r="BQ2">
            <v>0</v>
          </cell>
          <cell r="BR2">
            <v>1939</v>
          </cell>
          <cell r="BS2">
            <v>0</v>
          </cell>
          <cell r="BT2">
            <v>0</v>
          </cell>
          <cell r="BU2">
            <v>0</v>
          </cell>
          <cell r="BV2">
            <v>0</v>
          </cell>
          <cell r="BW2">
            <v>832</v>
          </cell>
          <cell r="BX2">
            <v>12383</v>
          </cell>
          <cell r="BY2">
            <v>0</v>
          </cell>
          <cell r="BZ2">
            <v>0</v>
          </cell>
          <cell r="CA2">
            <v>0</v>
          </cell>
          <cell r="CB2">
            <v>0</v>
          </cell>
          <cell r="CC2">
            <v>0</v>
          </cell>
          <cell r="CD2">
            <v>0</v>
          </cell>
          <cell r="CE2">
            <v>0</v>
          </cell>
          <cell r="CF2">
            <v>458813</v>
          </cell>
          <cell r="CG2">
            <v>0</v>
          </cell>
          <cell r="CH2">
            <v>0</v>
          </cell>
          <cell r="CI2">
            <v>0</v>
          </cell>
          <cell r="CJ2">
            <v>173</v>
          </cell>
          <cell r="CK2">
            <v>0</v>
          </cell>
          <cell r="CL2">
            <v>0</v>
          </cell>
          <cell r="CM2">
            <v>0</v>
          </cell>
          <cell r="CN2">
            <v>0</v>
          </cell>
          <cell r="CO2">
            <v>0</v>
          </cell>
          <cell r="CP2">
            <v>0</v>
          </cell>
          <cell r="CQ2">
            <v>0</v>
          </cell>
          <cell r="CR2">
            <v>0</v>
          </cell>
          <cell r="CS2">
            <v>0</v>
          </cell>
          <cell r="CT2">
            <v>0</v>
          </cell>
          <cell r="CU2">
            <v>1916</v>
          </cell>
          <cell r="CV2">
            <v>4176</v>
          </cell>
          <cell r="CW2">
            <v>30</v>
          </cell>
          <cell r="CX2">
            <v>251</v>
          </cell>
          <cell r="CY2">
            <v>0</v>
          </cell>
          <cell r="CZ2">
            <v>0</v>
          </cell>
          <cell r="DA2">
            <v>88710.000000000015</v>
          </cell>
          <cell r="DB2">
            <v>972</v>
          </cell>
          <cell r="DC2">
            <v>32080</v>
          </cell>
          <cell r="DD2">
            <v>0</v>
          </cell>
          <cell r="DE2">
            <v>0</v>
          </cell>
          <cell r="DF2">
            <v>2135</v>
          </cell>
          <cell r="DG2">
            <v>6</v>
          </cell>
          <cell r="DH2">
            <v>0</v>
          </cell>
          <cell r="DI2">
            <v>12</v>
          </cell>
          <cell r="DJ2">
            <v>0</v>
          </cell>
          <cell r="DK2">
            <v>3137</v>
          </cell>
          <cell r="DL2">
            <v>0</v>
          </cell>
          <cell r="DM2">
            <v>15</v>
          </cell>
          <cell r="DN2">
            <v>0</v>
          </cell>
          <cell r="DO2">
            <v>480</v>
          </cell>
          <cell r="DP2">
            <v>0</v>
          </cell>
          <cell r="DQ2">
            <v>0</v>
          </cell>
          <cell r="DR2">
            <v>0</v>
          </cell>
          <cell r="DS2">
            <v>0</v>
          </cell>
          <cell r="DT2">
            <v>106</v>
          </cell>
          <cell r="DU2">
            <v>103</v>
          </cell>
          <cell r="DV2">
            <v>0</v>
          </cell>
          <cell r="DW2">
            <v>0</v>
          </cell>
          <cell r="DX2">
            <v>0</v>
          </cell>
          <cell r="DY2">
            <v>371</v>
          </cell>
          <cell r="DZ2">
            <v>0</v>
          </cell>
          <cell r="EA2">
            <v>0</v>
          </cell>
          <cell r="EB2">
            <v>0</v>
          </cell>
          <cell r="EC2">
            <v>0</v>
          </cell>
          <cell r="ED2">
            <v>186</v>
          </cell>
          <cell r="EE2">
            <v>2379</v>
          </cell>
          <cell r="EF2">
            <v>0</v>
          </cell>
          <cell r="EG2">
            <v>0</v>
          </cell>
          <cell r="EH2">
            <v>0</v>
          </cell>
          <cell r="EI2">
            <v>0</v>
          </cell>
          <cell r="EJ2">
            <v>37.000000000000007</v>
          </cell>
          <cell r="EK2">
            <v>0</v>
          </cell>
          <cell r="EL2">
            <v>0</v>
          </cell>
          <cell r="EM2">
            <v>0</v>
          </cell>
          <cell r="EN2">
            <v>0</v>
          </cell>
          <cell r="EO2">
            <v>0</v>
          </cell>
          <cell r="EP2">
            <v>43269.999999999993</v>
          </cell>
          <cell r="EQ2">
            <v>0</v>
          </cell>
          <cell r="ER2">
            <v>0</v>
          </cell>
          <cell r="ES2">
            <v>0</v>
          </cell>
          <cell r="ET2">
            <v>0</v>
          </cell>
          <cell r="EU2">
            <v>0</v>
          </cell>
          <cell r="EV2">
            <v>0</v>
          </cell>
          <cell r="EW2">
            <v>1</v>
          </cell>
          <cell r="EX2">
            <v>0</v>
          </cell>
          <cell r="EY2">
            <v>0</v>
          </cell>
          <cell r="EZ2">
            <v>0</v>
          </cell>
          <cell r="FA2">
            <v>0</v>
          </cell>
          <cell r="FB2">
            <v>0</v>
          </cell>
          <cell r="FC2">
            <v>1747</v>
          </cell>
          <cell r="FD2">
            <v>0</v>
          </cell>
          <cell r="FE2">
            <v>0</v>
          </cell>
          <cell r="FF2">
            <v>0</v>
          </cell>
          <cell r="FG2">
            <v>0</v>
          </cell>
          <cell r="FH2">
            <v>0</v>
          </cell>
          <cell r="FI2">
            <v>0</v>
          </cell>
          <cell r="FJ2">
            <v>0</v>
          </cell>
          <cell r="FK2">
            <v>0</v>
          </cell>
          <cell r="FL2">
            <v>0</v>
          </cell>
          <cell r="FM2">
            <v>6</v>
          </cell>
          <cell r="FN2">
            <v>114</v>
          </cell>
          <cell r="FO2">
            <v>0</v>
          </cell>
          <cell r="FP2">
            <v>4905</v>
          </cell>
          <cell r="FQ2">
            <v>169</v>
          </cell>
          <cell r="FR2">
            <v>0</v>
          </cell>
          <cell r="FS2">
            <v>0</v>
          </cell>
          <cell r="FT2">
            <v>0</v>
          </cell>
          <cell r="FU2">
            <v>110</v>
          </cell>
          <cell r="FV2">
            <v>45</v>
          </cell>
          <cell r="FW2">
            <v>0</v>
          </cell>
          <cell r="FX2">
            <v>0</v>
          </cell>
          <cell r="FY2">
            <v>0</v>
          </cell>
          <cell r="FZ2">
            <v>0</v>
          </cell>
          <cell r="GA2">
            <v>0</v>
          </cell>
          <cell r="GB2">
            <v>0</v>
          </cell>
          <cell r="GC2">
            <v>0</v>
          </cell>
          <cell r="GD2">
            <v>0</v>
          </cell>
          <cell r="GE2">
            <v>0</v>
          </cell>
          <cell r="GF2">
            <v>0</v>
          </cell>
          <cell r="GG2">
            <v>1</v>
          </cell>
          <cell r="GH2">
            <v>40</v>
          </cell>
          <cell r="GI2">
            <v>227</v>
          </cell>
          <cell r="GJ2">
            <v>0</v>
          </cell>
          <cell r="GK2">
            <v>0</v>
          </cell>
          <cell r="GL2">
            <v>131</v>
          </cell>
          <cell r="GM2">
            <v>422</v>
          </cell>
          <cell r="GN2">
            <v>1219</v>
          </cell>
          <cell r="GO2">
            <v>873</v>
          </cell>
          <cell r="GP2">
            <v>864</v>
          </cell>
          <cell r="GQ2">
            <v>0</v>
          </cell>
          <cell r="GR2">
            <v>26</v>
          </cell>
          <cell r="GS2">
            <v>0</v>
          </cell>
          <cell r="GT2">
            <v>6711</v>
          </cell>
          <cell r="GU2">
            <v>0</v>
          </cell>
          <cell r="GV2">
            <v>0</v>
          </cell>
          <cell r="GW2">
            <v>0</v>
          </cell>
          <cell r="GX2">
            <v>0</v>
          </cell>
          <cell r="GY2">
            <v>0</v>
          </cell>
          <cell r="GZ2">
            <v>2543</v>
          </cell>
          <cell r="HA2">
            <v>0</v>
          </cell>
          <cell r="HB2">
            <v>0</v>
          </cell>
          <cell r="HC2">
            <v>0</v>
          </cell>
          <cell r="HD2">
            <v>280</v>
          </cell>
          <cell r="HE2">
            <v>0</v>
          </cell>
          <cell r="HF2">
            <v>0</v>
          </cell>
          <cell r="HG2">
            <v>0</v>
          </cell>
          <cell r="HH2">
            <v>0</v>
          </cell>
          <cell r="HI2">
            <v>11</v>
          </cell>
          <cell r="HJ2">
            <v>15</v>
          </cell>
          <cell r="HK2">
            <v>1392</v>
          </cell>
          <cell r="HL2">
            <v>0</v>
          </cell>
          <cell r="HM2">
            <v>0</v>
          </cell>
          <cell r="HN2">
            <v>0</v>
          </cell>
          <cell r="HO2">
            <v>13</v>
          </cell>
          <cell r="HP2">
            <v>17</v>
          </cell>
          <cell r="HQ2">
            <v>0</v>
          </cell>
          <cell r="HR2">
            <v>0</v>
          </cell>
          <cell r="HS2">
            <v>28486</v>
          </cell>
          <cell r="HT2">
            <v>0</v>
          </cell>
          <cell r="HU2">
            <v>23969</v>
          </cell>
          <cell r="HV2">
            <v>0</v>
          </cell>
          <cell r="HW2">
            <v>0</v>
          </cell>
          <cell r="HX2">
            <v>0</v>
          </cell>
          <cell r="HY2">
            <v>0</v>
          </cell>
          <cell r="HZ2">
            <v>0</v>
          </cell>
          <cell r="IA2">
            <v>0</v>
          </cell>
          <cell r="IB2">
            <v>0</v>
          </cell>
          <cell r="IC2">
            <v>0</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C2">
            <v>0</v>
          </cell>
          <cell r="D2">
            <v>0</v>
          </cell>
          <cell r="E2">
            <v>0</v>
          </cell>
          <cell r="F2">
            <v>0</v>
          </cell>
          <cell r="G2">
            <v>0</v>
          </cell>
          <cell r="H2">
            <v>0</v>
          </cell>
          <cell r="I2">
            <v>0</v>
          </cell>
          <cell r="J2">
            <v>0</v>
          </cell>
          <cell r="K2">
            <v>0</v>
          </cell>
          <cell r="L2">
            <v>0</v>
          </cell>
          <cell r="M2">
            <v>174</v>
          </cell>
          <cell r="N2">
            <v>37216</v>
          </cell>
          <cell r="O2">
            <v>0</v>
          </cell>
          <cell r="P2">
            <v>1</v>
          </cell>
          <cell r="Q2">
            <v>0</v>
          </cell>
          <cell r="R2">
            <v>0</v>
          </cell>
          <cell r="S2">
            <v>0</v>
          </cell>
          <cell r="T2">
            <v>8202</v>
          </cell>
          <cell r="U2">
            <v>0</v>
          </cell>
          <cell r="V2">
            <v>0</v>
          </cell>
          <cell r="W2">
            <v>0</v>
          </cell>
          <cell r="X2">
            <v>50</v>
          </cell>
          <cell r="Y2">
            <v>0</v>
          </cell>
          <cell r="Z2">
            <v>0</v>
          </cell>
          <cell r="AA2">
            <v>4</v>
          </cell>
          <cell r="AB2">
            <v>0</v>
          </cell>
          <cell r="AC2">
            <v>0</v>
          </cell>
          <cell r="AD2">
            <v>0</v>
          </cell>
          <cell r="AE2">
            <v>0</v>
          </cell>
          <cell r="AF2">
            <v>0</v>
          </cell>
          <cell r="AG2">
            <v>0</v>
          </cell>
          <cell r="AH2">
            <v>147</v>
          </cell>
          <cell r="AI2">
            <v>0</v>
          </cell>
          <cell r="AJ2">
            <v>0</v>
          </cell>
          <cell r="AK2">
            <v>20</v>
          </cell>
          <cell r="AL2">
            <v>0</v>
          </cell>
          <cell r="AM2">
            <v>51</v>
          </cell>
          <cell r="AN2">
            <v>268</v>
          </cell>
          <cell r="AO2">
            <v>0</v>
          </cell>
          <cell r="AP2">
            <v>0</v>
          </cell>
          <cell r="AQ2">
            <v>0</v>
          </cell>
          <cell r="AR2">
            <v>160</v>
          </cell>
          <cell r="AS2">
            <v>0</v>
          </cell>
          <cell r="AT2">
            <v>33</v>
          </cell>
          <cell r="AU2">
            <v>7223780.0000000009</v>
          </cell>
          <cell r="AV2">
            <v>0</v>
          </cell>
          <cell r="AW2">
            <v>0</v>
          </cell>
          <cell r="AX2">
            <v>0</v>
          </cell>
          <cell r="AY2">
            <v>0</v>
          </cell>
          <cell r="AZ2">
            <v>0</v>
          </cell>
          <cell r="BA2">
            <v>0</v>
          </cell>
          <cell r="BB2">
            <v>0</v>
          </cell>
          <cell r="BC2">
            <v>0</v>
          </cell>
          <cell r="BD2">
            <v>0</v>
          </cell>
          <cell r="BE2">
            <v>352</v>
          </cell>
          <cell r="BF2">
            <v>0</v>
          </cell>
          <cell r="BG2">
            <v>0</v>
          </cell>
          <cell r="BH2">
            <v>30212</v>
          </cell>
          <cell r="BI2">
            <v>0</v>
          </cell>
          <cell r="BJ2">
            <v>6583</v>
          </cell>
          <cell r="BK2">
            <v>0</v>
          </cell>
          <cell r="BL2">
            <v>0</v>
          </cell>
          <cell r="BM2">
            <v>5</v>
          </cell>
          <cell r="BN2">
            <v>0</v>
          </cell>
          <cell r="BO2">
            <v>0</v>
          </cell>
          <cell r="BP2">
            <v>0</v>
          </cell>
          <cell r="BQ2">
            <v>0</v>
          </cell>
          <cell r="BR2">
            <v>29</v>
          </cell>
          <cell r="BS2">
            <v>0</v>
          </cell>
          <cell r="BT2">
            <v>0</v>
          </cell>
          <cell r="BU2">
            <v>0</v>
          </cell>
          <cell r="BV2">
            <v>0</v>
          </cell>
          <cell r="BW2">
            <v>136</v>
          </cell>
          <cell r="BX2">
            <v>33481</v>
          </cell>
          <cell r="BY2">
            <v>0</v>
          </cell>
          <cell r="BZ2">
            <v>0</v>
          </cell>
          <cell r="CA2">
            <v>11</v>
          </cell>
          <cell r="CB2">
            <v>0</v>
          </cell>
          <cell r="CC2">
            <v>0</v>
          </cell>
          <cell r="CD2">
            <v>0</v>
          </cell>
          <cell r="CE2">
            <v>0</v>
          </cell>
          <cell r="CF2">
            <v>960353</v>
          </cell>
          <cell r="CG2">
            <v>0</v>
          </cell>
          <cell r="CH2">
            <v>0</v>
          </cell>
          <cell r="CI2">
            <v>0</v>
          </cell>
          <cell r="CJ2">
            <v>2376</v>
          </cell>
          <cell r="CK2">
            <v>0</v>
          </cell>
          <cell r="CL2">
            <v>0</v>
          </cell>
          <cell r="CM2">
            <v>0</v>
          </cell>
          <cell r="CN2">
            <v>0</v>
          </cell>
          <cell r="CO2">
            <v>0</v>
          </cell>
          <cell r="CP2">
            <v>0</v>
          </cell>
          <cell r="CQ2">
            <v>0</v>
          </cell>
          <cell r="CR2">
            <v>0</v>
          </cell>
          <cell r="CS2">
            <v>0</v>
          </cell>
          <cell r="CT2">
            <v>0</v>
          </cell>
          <cell r="CU2">
            <v>6955.9999999999991</v>
          </cell>
          <cell r="CV2">
            <v>6556.9999999999991</v>
          </cell>
          <cell r="CW2">
            <v>0</v>
          </cell>
          <cell r="CX2">
            <v>284.00000000000011</v>
          </cell>
          <cell r="CY2">
            <v>0</v>
          </cell>
          <cell r="CZ2">
            <v>0</v>
          </cell>
          <cell r="DA2">
            <v>10872</v>
          </cell>
          <cell r="DB2">
            <v>166</v>
          </cell>
          <cell r="DC2">
            <v>39946.999999999993</v>
          </cell>
          <cell r="DD2">
            <v>0</v>
          </cell>
          <cell r="DE2">
            <v>0</v>
          </cell>
          <cell r="DF2">
            <v>166977</v>
          </cell>
          <cell r="DG2">
            <v>10</v>
          </cell>
          <cell r="DH2">
            <v>2</v>
          </cell>
          <cell r="DI2">
            <v>2</v>
          </cell>
          <cell r="DJ2">
            <v>0</v>
          </cell>
          <cell r="DK2">
            <v>91192</v>
          </cell>
          <cell r="DL2">
            <v>0</v>
          </cell>
          <cell r="DM2">
            <v>3</v>
          </cell>
          <cell r="DN2">
            <v>0</v>
          </cell>
          <cell r="DO2">
            <v>0</v>
          </cell>
          <cell r="DP2">
            <v>0</v>
          </cell>
          <cell r="DQ2">
            <v>2187</v>
          </cell>
          <cell r="DR2">
            <v>0</v>
          </cell>
          <cell r="DS2">
            <v>0</v>
          </cell>
          <cell r="DT2">
            <v>2084</v>
          </cell>
          <cell r="DU2">
            <v>584</v>
          </cell>
          <cell r="DV2">
            <v>0</v>
          </cell>
          <cell r="DW2">
            <v>0</v>
          </cell>
          <cell r="DX2">
            <v>0</v>
          </cell>
          <cell r="DY2">
            <v>937</v>
          </cell>
          <cell r="DZ2">
            <v>0</v>
          </cell>
          <cell r="EA2">
            <v>0</v>
          </cell>
          <cell r="EB2">
            <v>0</v>
          </cell>
          <cell r="EC2">
            <v>0</v>
          </cell>
          <cell r="ED2">
            <v>0</v>
          </cell>
          <cell r="EE2">
            <v>1680</v>
          </cell>
          <cell r="EF2">
            <v>0</v>
          </cell>
          <cell r="EG2">
            <v>0</v>
          </cell>
          <cell r="EH2">
            <v>0</v>
          </cell>
          <cell r="EI2">
            <v>0</v>
          </cell>
          <cell r="EJ2">
            <v>6</v>
          </cell>
          <cell r="EK2">
            <v>0</v>
          </cell>
          <cell r="EL2">
            <v>0</v>
          </cell>
          <cell r="EM2">
            <v>0</v>
          </cell>
          <cell r="EN2">
            <v>0</v>
          </cell>
          <cell r="EO2">
            <v>0</v>
          </cell>
          <cell r="EP2">
            <v>287356</v>
          </cell>
          <cell r="EQ2">
            <v>0</v>
          </cell>
          <cell r="ER2">
            <v>0</v>
          </cell>
          <cell r="ES2">
            <v>0</v>
          </cell>
          <cell r="ET2">
            <v>0</v>
          </cell>
          <cell r="EU2">
            <v>0</v>
          </cell>
          <cell r="EV2">
            <v>0</v>
          </cell>
          <cell r="EW2">
            <v>0</v>
          </cell>
          <cell r="EX2">
            <v>0</v>
          </cell>
          <cell r="EY2">
            <v>0</v>
          </cell>
          <cell r="EZ2">
            <v>0</v>
          </cell>
          <cell r="FA2">
            <v>0</v>
          </cell>
          <cell r="FB2">
            <v>0</v>
          </cell>
          <cell r="FC2">
            <v>40</v>
          </cell>
          <cell r="FD2">
            <v>0</v>
          </cell>
          <cell r="FE2">
            <v>0</v>
          </cell>
          <cell r="FF2">
            <v>0</v>
          </cell>
          <cell r="FG2">
            <v>0</v>
          </cell>
          <cell r="FH2">
            <v>0</v>
          </cell>
          <cell r="FI2">
            <v>1</v>
          </cell>
          <cell r="FJ2">
            <v>0</v>
          </cell>
          <cell r="FK2">
            <v>0</v>
          </cell>
          <cell r="FL2">
            <v>0</v>
          </cell>
          <cell r="FM2">
            <v>18</v>
          </cell>
          <cell r="FN2">
            <v>61</v>
          </cell>
          <cell r="FO2">
            <v>0</v>
          </cell>
          <cell r="FP2">
            <v>40113</v>
          </cell>
          <cell r="FQ2">
            <v>125</v>
          </cell>
          <cell r="FR2">
            <v>0</v>
          </cell>
          <cell r="FS2">
            <v>0</v>
          </cell>
          <cell r="FT2">
            <v>0</v>
          </cell>
          <cell r="FU2">
            <v>114501</v>
          </cell>
          <cell r="FV2">
            <v>362</v>
          </cell>
          <cell r="FW2">
            <v>0</v>
          </cell>
          <cell r="FX2">
            <v>0</v>
          </cell>
          <cell r="FY2">
            <v>0</v>
          </cell>
          <cell r="FZ2">
            <v>0</v>
          </cell>
          <cell r="GA2">
            <v>0</v>
          </cell>
          <cell r="GB2">
            <v>0</v>
          </cell>
          <cell r="GC2">
            <v>0</v>
          </cell>
          <cell r="GD2">
            <v>0</v>
          </cell>
          <cell r="GE2">
            <v>0</v>
          </cell>
          <cell r="GF2">
            <v>0</v>
          </cell>
          <cell r="GG2">
            <v>204</v>
          </cell>
          <cell r="GH2">
            <v>0</v>
          </cell>
          <cell r="GI2">
            <v>44.000000000000007</v>
          </cell>
          <cell r="GJ2">
            <v>0</v>
          </cell>
          <cell r="GK2">
            <v>0</v>
          </cell>
          <cell r="GL2">
            <v>115</v>
          </cell>
          <cell r="GM2">
            <v>22497</v>
          </cell>
          <cell r="GN2">
            <v>83488</v>
          </cell>
          <cell r="GO2">
            <v>127223</v>
          </cell>
          <cell r="GP2">
            <v>1695</v>
          </cell>
          <cell r="GQ2">
            <v>0</v>
          </cell>
          <cell r="GR2">
            <v>12</v>
          </cell>
          <cell r="GS2">
            <v>0</v>
          </cell>
          <cell r="GT2">
            <v>11084</v>
          </cell>
          <cell r="GU2">
            <v>0</v>
          </cell>
          <cell r="GV2">
            <v>0</v>
          </cell>
          <cell r="GW2">
            <v>0</v>
          </cell>
          <cell r="GX2">
            <v>0</v>
          </cell>
          <cell r="GY2">
            <v>0</v>
          </cell>
          <cell r="GZ2">
            <v>4282</v>
          </cell>
          <cell r="HA2">
            <v>0</v>
          </cell>
          <cell r="HB2">
            <v>0</v>
          </cell>
          <cell r="HC2">
            <v>0</v>
          </cell>
          <cell r="HD2">
            <v>5310</v>
          </cell>
          <cell r="HE2">
            <v>0</v>
          </cell>
          <cell r="HF2">
            <v>0</v>
          </cell>
          <cell r="HG2">
            <v>0</v>
          </cell>
          <cell r="HH2">
            <v>0</v>
          </cell>
          <cell r="HI2">
            <v>84</v>
          </cell>
          <cell r="HJ2">
            <v>30</v>
          </cell>
          <cell r="HK2">
            <v>1399</v>
          </cell>
          <cell r="HL2">
            <v>0</v>
          </cell>
          <cell r="HM2">
            <v>0</v>
          </cell>
          <cell r="HN2">
            <v>0</v>
          </cell>
          <cell r="HO2">
            <v>0</v>
          </cell>
          <cell r="HP2">
            <v>20</v>
          </cell>
          <cell r="HQ2">
            <v>0</v>
          </cell>
          <cell r="HR2">
            <v>0</v>
          </cell>
          <cell r="HS2">
            <v>88791</v>
          </cell>
          <cell r="HT2">
            <v>0</v>
          </cell>
          <cell r="HU2">
            <v>13894</v>
          </cell>
          <cell r="HV2">
            <v>0</v>
          </cell>
          <cell r="HW2">
            <v>0</v>
          </cell>
          <cell r="HX2">
            <v>0</v>
          </cell>
          <cell r="HY2">
            <v>0</v>
          </cell>
          <cell r="HZ2">
            <v>0</v>
          </cell>
          <cell r="IA2">
            <v>0</v>
          </cell>
          <cell r="IB2">
            <v>0</v>
          </cell>
          <cell r="IC2">
            <v>0</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C2">
            <v>0</v>
          </cell>
          <cell r="D2">
            <v>0</v>
          </cell>
          <cell r="E2">
            <v>0</v>
          </cell>
          <cell r="F2">
            <v>0</v>
          </cell>
          <cell r="G2">
            <v>0</v>
          </cell>
          <cell r="H2">
            <v>0</v>
          </cell>
          <cell r="I2">
            <v>0</v>
          </cell>
          <cell r="J2">
            <v>0</v>
          </cell>
          <cell r="K2">
            <v>6</v>
          </cell>
          <cell r="L2">
            <v>0</v>
          </cell>
          <cell r="M2">
            <v>22</v>
          </cell>
          <cell r="N2">
            <v>6490</v>
          </cell>
          <cell r="O2">
            <v>0</v>
          </cell>
          <cell r="P2">
            <v>3</v>
          </cell>
          <cell r="Q2">
            <v>0</v>
          </cell>
          <cell r="R2">
            <v>0</v>
          </cell>
          <cell r="S2">
            <v>0</v>
          </cell>
          <cell r="T2">
            <v>6204</v>
          </cell>
          <cell r="U2">
            <v>0</v>
          </cell>
          <cell r="V2">
            <v>0</v>
          </cell>
          <cell r="W2">
            <v>0</v>
          </cell>
          <cell r="X2">
            <v>41</v>
          </cell>
          <cell r="Y2">
            <v>0</v>
          </cell>
          <cell r="Z2">
            <v>0</v>
          </cell>
          <cell r="AA2">
            <v>3</v>
          </cell>
          <cell r="AB2">
            <v>0</v>
          </cell>
          <cell r="AC2">
            <v>0</v>
          </cell>
          <cell r="AD2">
            <v>0</v>
          </cell>
          <cell r="AE2">
            <v>0</v>
          </cell>
          <cell r="AF2">
            <v>0</v>
          </cell>
          <cell r="AG2">
            <v>0</v>
          </cell>
          <cell r="AH2">
            <v>0</v>
          </cell>
          <cell r="AI2">
            <v>0</v>
          </cell>
          <cell r="AJ2">
            <v>0</v>
          </cell>
          <cell r="AK2">
            <v>0</v>
          </cell>
          <cell r="AL2">
            <v>0</v>
          </cell>
          <cell r="AM2">
            <v>0</v>
          </cell>
          <cell r="AN2">
            <v>160</v>
          </cell>
          <cell r="AO2">
            <v>0</v>
          </cell>
          <cell r="AP2">
            <v>0</v>
          </cell>
          <cell r="AQ2">
            <v>0</v>
          </cell>
          <cell r="AR2">
            <v>439</v>
          </cell>
          <cell r="AS2">
            <v>0</v>
          </cell>
          <cell r="AT2">
            <v>0</v>
          </cell>
          <cell r="AU2">
            <v>1710415</v>
          </cell>
          <cell r="AV2">
            <v>0</v>
          </cell>
          <cell r="AW2">
            <v>0</v>
          </cell>
          <cell r="AX2">
            <v>0</v>
          </cell>
          <cell r="AY2">
            <v>0</v>
          </cell>
          <cell r="AZ2">
            <v>0</v>
          </cell>
          <cell r="BA2">
            <v>0</v>
          </cell>
          <cell r="BB2">
            <v>0</v>
          </cell>
          <cell r="BC2">
            <v>0</v>
          </cell>
          <cell r="BD2">
            <v>53</v>
          </cell>
          <cell r="BE2">
            <v>86</v>
          </cell>
          <cell r="BF2">
            <v>0</v>
          </cell>
          <cell r="BG2">
            <v>45</v>
          </cell>
          <cell r="BH2">
            <v>527266.00000000012</v>
          </cell>
          <cell r="BI2">
            <v>0</v>
          </cell>
          <cell r="BJ2">
            <v>1204</v>
          </cell>
          <cell r="BK2">
            <v>0</v>
          </cell>
          <cell r="BL2">
            <v>0</v>
          </cell>
          <cell r="BM2">
            <v>0</v>
          </cell>
          <cell r="BN2">
            <v>11</v>
          </cell>
          <cell r="BO2">
            <v>0</v>
          </cell>
          <cell r="BP2">
            <v>0</v>
          </cell>
          <cell r="BQ2">
            <v>0</v>
          </cell>
          <cell r="BR2">
            <v>201</v>
          </cell>
          <cell r="BS2">
            <v>0</v>
          </cell>
          <cell r="BT2">
            <v>0</v>
          </cell>
          <cell r="BU2">
            <v>0</v>
          </cell>
          <cell r="BV2">
            <v>0</v>
          </cell>
          <cell r="BW2">
            <v>30</v>
          </cell>
          <cell r="BX2">
            <v>34931</v>
          </cell>
          <cell r="BY2">
            <v>0</v>
          </cell>
          <cell r="BZ2">
            <v>0</v>
          </cell>
          <cell r="CA2">
            <v>0</v>
          </cell>
          <cell r="CB2">
            <v>0</v>
          </cell>
          <cell r="CC2">
            <v>0</v>
          </cell>
          <cell r="CD2">
            <v>0</v>
          </cell>
          <cell r="CE2">
            <v>0</v>
          </cell>
          <cell r="CF2">
            <v>1017472</v>
          </cell>
          <cell r="CG2">
            <v>0</v>
          </cell>
          <cell r="CH2">
            <v>0</v>
          </cell>
          <cell r="CI2">
            <v>0</v>
          </cell>
          <cell r="CJ2">
            <v>0</v>
          </cell>
          <cell r="CK2">
            <v>0</v>
          </cell>
          <cell r="CL2">
            <v>0</v>
          </cell>
          <cell r="CM2">
            <v>0</v>
          </cell>
          <cell r="CN2">
            <v>0</v>
          </cell>
          <cell r="CO2">
            <v>0</v>
          </cell>
          <cell r="CP2">
            <v>0</v>
          </cell>
          <cell r="CQ2">
            <v>0</v>
          </cell>
          <cell r="CR2">
            <v>0</v>
          </cell>
          <cell r="CS2">
            <v>0</v>
          </cell>
          <cell r="CT2">
            <v>0</v>
          </cell>
          <cell r="CU2">
            <v>885.99999999999989</v>
          </cell>
          <cell r="CV2">
            <v>2266430</v>
          </cell>
          <cell r="CW2">
            <v>0</v>
          </cell>
          <cell r="CX2">
            <v>0</v>
          </cell>
          <cell r="CY2">
            <v>0</v>
          </cell>
          <cell r="CZ2">
            <v>0</v>
          </cell>
          <cell r="DA2">
            <v>25</v>
          </cell>
          <cell r="DB2">
            <v>4</v>
          </cell>
          <cell r="DC2">
            <v>18544</v>
          </cell>
          <cell r="DD2">
            <v>0</v>
          </cell>
          <cell r="DE2">
            <v>0</v>
          </cell>
          <cell r="DF2">
            <v>107173</v>
          </cell>
          <cell r="DG2">
            <v>0</v>
          </cell>
          <cell r="DH2">
            <v>0</v>
          </cell>
          <cell r="DI2">
            <v>110</v>
          </cell>
          <cell r="DJ2">
            <v>0</v>
          </cell>
          <cell r="DK2">
            <v>338180</v>
          </cell>
          <cell r="DL2">
            <v>0</v>
          </cell>
          <cell r="DM2">
            <v>7</v>
          </cell>
          <cell r="DN2">
            <v>0</v>
          </cell>
          <cell r="DO2">
            <v>0</v>
          </cell>
          <cell r="DP2">
            <v>0</v>
          </cell>
          <cell r="DQ2">
            <v>39</v>
          </cell>
          <cell r="DR2">
            <v>0</v>
          </cell>
          <cell r="DS2">
            <v>0</v>
          </cell>
          <cell r="DT2">
            <v>617</v>
          </cell>
          <cell r="DU2">
            <v>63</v>
          </cell>
          <cell r="DV2">
            <v>0</v>
          </cell>
          <cell r="DW2">
            <v>0</v>
          </cell>
          <cell r="DX2">
            <v>0</v>
          </cell>
          <cell r="DY2">
            <v>23673</v>
          </cell>
          <cell r="DZ2">
            <v>0</v>
          </cell>
          <cell r="EA2">
            <v>0</v>
          </cell>
          <cell r="EB2">
            <v>0</v>
          </cell>
          <cell r="EC2">
            <v>0</v>
          </cell>
          <cell r="ED2">
            <v>0</v>
          </cell>
          <cell r="EE2">
            <v>8</v>
          </cell>
          <cell r="EF2">
            <v>0</v>
          </cell>
          <cell r="EG2">
            <v>0</v>
          </cell>
          <cell r="EH2">
            <v>0</v>
          </cell>
          <cell r="EI2">
            <v>0</v>
          </cell>
          <cell r="EJ2">
            <v>0</v>
          </cell>
          <cell r="EK2">
            <v>0</v>
          </cell>
          <cell r="EL2">
            <v>0</v>
          </cell>
          <cell r="EM2">
            <v>0</v>
          </cell>
          <cell r="EN2">
            <v>0</v>
          </cell>
          <cell r="EO2">
            <v>0</v>
          </cell>
          <cell r="EP2">
            <v>29956</v>
          </cell>
          <cell r="EQ2">
            <v>0</v>
          </cell>
          <cell r="ER2">
            <v>0</v>
          </cell>
          <cell r="ES2">
            <v>0</v>
          </cell>
          <cell r="ET2">
            <v>0</v>
          </cell>
          <cell r="EU2">
            <v>0</v>
          </cell>
          <cell r="EV2">
            <v>0</v>
          </cell>
          <cell r="EW2">
            <v>16</v>
          </cell>
          <cell r="EX2">
            <v>0</v>
          </cell>
          <cell r="EY2">
            <v>0</v>
          </cell>
          <cell r="EZ2">
            <v>0</v>
          </cell>
          <cell r="FA2">
            <v>0</v>
          </cell>
          <cell r="FB2">
            <v>0</v>
          </cell>
          <cell r="FC2">
            <v>25</v>
          </cell>
          <cell r="FD2">
            <v>0</v>
          </cell>
          <cell r="FE2">
            <v>0</v>
          </cell>
          <cell r="FF2">
            <v>0</v>
          </cell>
          <cell r="FG2">
            <v>0</v>
          </cell>
          <cell r="FH2">
            <v>0</v>
          </cell>
          <cell r="FI2">
            <v>0</v>
          </cell>
          <cell r="FJ2">
            <v>0</v>
          </cell>
          <cell r="FK2">
            <v>0</v>
          </cell>
          <cell r="FL2">
            <v>0</v>
          </cell>
          <cell r="FM2">
            <v>0</v>
          </cell>
          <cell r="FN2">
            <v>0</v>
          </cell>
          <cell r="FO2">
            <v>0</v>
          </cell>
          <cell r="FP2">
            <v>100239</v>
          </cell>
          <cell r="FQ2">
            <v>92</v>
          </cell>
          <cell r="FR2">
            <v>0</v>
          </cell>
          <cell r="FS2">
            <v>0</v>
          </cell>
          <cell r="FT2">
            <v>0</v>
          </cell>
          <cell r="FU2">
            <v>66</v>
          </cell>
          <cell r="FV2">
            <v>6</v>
          </cell>
          <cell r="FW2">
            <v>0</v>
          </cell>
          <cell r="FX2">
            <v>0</v>
          </cell>
          <cell r="FY2">
            <v>0</v>
          </cell>
          <cell r="FZ2">
            <v>0</v>
          </cell>
          <cell r="GA2">
            <v>0</v>
          </cell>
          <cell r="GB2">
            <v>0</v>
          </cell>
          <cell r="GC2">
            <v>0</v>
          </cell>
          <cell r="GD2">
            <v>0</v>
          </cell>
          <cell r="GE2">
            <v>0</v>
          </cell>
          <cell r="GF2">
            <v>0</v>
          </cell>
          <cell r="GG2">
            <v>0</v>
          </cell>
          <cell r="GH2">
            <v>0</v>
          </cell>
          <cell r="GI2">
            <v>431</v>
          </cell>
          <cell r="GJ2">
            <v>0</v>
          </cell>
          <cell r="GK2">
            <v>0</v>
          </cell>
          <cell r="GL2">
            <v>145</v>
          </cell>
          <cell r="GM2">
            <v>80</v>
          </cell>
          <cell r="GN2">
            <v>2563409</v>
          </cell>
          <cell r="GO2">
            <v>11329</v>
          </cell>
          <cell r="GP2">
            <v>100</v>
          </cell>
          <cell r="GQ2">
            <v>0</v>
          </cell>
          <cell r="GR2">
            <v>0</v>
          </cell>
          <cell r="GS2">
            <v>0</v>
          </cell>
          <cell r="GT2">
            <v>513</v>
          </cell>
          <cell r="GU2">
            <v>0</v>
          </cell>
          <cell r="GV2">
            <v>0</v>
          </cell>
          <cell r="GW2">
            <v>0</v>
          </cell>
          <cell r="GX2">
            <v>0</v>
          </cell>
          <cell r="GY2">
            <v>0</v>
          </cell>
          <cell r="GZ2">
            <v>570.00000000000011</v>
          </cell>
          <cell r="HA2">
            <v>0</v>
          </cell>
          <cell r="HB2">
            <v>0</v>
          </cell>
          <cell r="HC2">
            <v>0</v>
          </cell>
          <cell r="HD2">
            <v>3</v>
          </cell>
          <cell r="HE2">
            <v>0</v>
          </cell>
          <cell r="HF2">
            <v>0</v>
          </cell>
          <cell r="HG2">
            <v>0</v>
          </cell>
          <cell r="HH2">
            <v>0</v>
          </cell>
          <cell r="HI2">
            <v>13</v>
          </cell>
          <cell r="HJ2">
            <v>0</v>
          </cell>
          <cell r="HK2">
            <v>172293</v>
          </cell>
          <cell r="HL2">
            <v>0</v>
          </cell>
          <cell r="HM2">
            <v>0</v>
          </cell>
          <cell r="HN2">
            <v>0</v>
          </cell>
          <cell r="HO2">
            <v>0</v>
          </cell>
          <cell r="HP2">
            <v>0</v>
          </cell>
          <cell r="HQ2">
            <v>60</v>
          </cell>
          <cell r="HR2">
            <v>0</v>
          </cell>
          <cell r="HS2">
            <v>38822</v>
          </cell>
          <cell r="HT2">
            <v>0</v>
          </cell>
          <cell r="HU2">
            <v>395.99999999999989</v>
          </cell>
          <cell r="HV2">
            <v>0</v>
          </cell>
          <cell r="HW2">
            <v>0</v>
          </cell>
          <cell r="HX2">
            <v>0</v>
          </cell>
          <cell r="HY2">
            <v>86</v>
          </cell>
          <cell r="HZ2">
            <v>0</v>
          </cell>
          <cell r="IA2">
            <v>0</v>
          </cell>
          <cell r="IB2">
            <v>0</v>
          </cell>
          <cell r="IC2">
            <v>0</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C2">
            <v>0</v>
          </cell>
          <cell r="D2">
            <v>8</v>
          </cell>
          <cell r="E2">
            <v>0</v>
          </cell>
          <cell r="F2">
            <v>0</v>
          </cell>
          <cell r="G2">
            <v>0</v>
          </cell>
          <cell r="H2">
            <v>0</v>
          </cell>
          <cell r="I2">
            <v>0</v>
          </cell>
          <cell r="J2">
            <v>0</v>
          </cell>
          <cell r="K2">
            <v>0</v>
          </cell>
          <cell r="L2">
            <v>0</v>
          </cell>
          <cell r="M2">
            <v>15</v>
          </cell>
          <cell r="N2">
            <v>887.99999999999989</v>
          </cell>
          <cell r="O2">
            <v>0</v>
          </cell>
          <cell r="P2">
            <v>2</v>
          </cell>
          <cell r="Q2">
            <v>0</v>
          </cell>
          <cell r="R2">
            <v>0</v>
          </cell>
          <cell r="S2">
            <v>0</v>
          </cell>
          <cell r="T2">
            <v>167</v>
          </cell>
          <cell r="U2">
            <v>0</v>
          </cell>
          <cell r="V2">
            <v>0</v>
          </cell>
          <cell r="W2">
            <v>0</v>
          </cell>
          <cell r="X2">
            <v>0</v>
          </cell>
          <cell r="Y2">
            <v>0</v>
          </cell>
          <cell r="Z2">
            <v>0</v>
          </cell>
          <cell r="AA2">
            <v>0</v>
          </cell>
          <cell r="AB2">
            <v>0</v>
          </cell>
          <cell r="AC2">
            <v>0</v>
          </cell>
          <cell r="AD2">
            <v>0</v>
          </cell>
          <cell r="AE2">
            <v>0</v>
          </cell>
          <cell r="AF2">
            <v>0</v>
          </cell>
          <cell r="AG2">
            <v>0</v>
          </cell>
          <cell r="AH2">
            <v>5</v>
          </cell>
          <cell r="AI2">
            <v>0</v>
          </cell>
          <cell r="AJ2">
            <v>0</v>
          </cell>
          <cell r="AK2">
            <v>0</v>
          </cell>
          <cell r="AL2">
            <v>0</v>
          </cell>
          <cell r="AM2">
            <v>0</v>
          </cell>
          <cell r="AN2">
            <v>0</v>
          </cell>
          <cell r="AO2">
            <v>0</v>
          </cell>
          <cell r="AP2">
            <v>0</v>
          </cell>
          <cell r="AQ2">
            <v>0</v>
          </cell>
          <cell r="AR2">
            <v>0</v>
          </cell>
          <cell r="AS2">
            <v>0</v>
          </cell>
          <cell r="AT2">
            <v>0</v>
          </cell>
          <cell r="AU2">
            <v>4916</v>
          </cell>
          <cell r="AV2">
            <v>0</v>
          </cell>
          <cell r="AW2">
            <v>0</v>
          </cell>
          <cell r="AX2">
            <v>0</v>
          </cell>
          <cell r="AY2">
            <v>0</v>
          </cell>
          <cell r="AZ2">
            <v>0</v>
          </cell>
          <cell r="BA2">
            <v>0</v>
          </cell>
          <cell r="BB2">
            <v>0</v>
          </cell>
          <cell r="BC2">
            <v>0</v>
          </cell>
          <cell r="BD2">
            <v>0</v>
          </cell>
          <cell r="BE2">
            <v>0</v>
          </cell>
          <cell r="BF2">
            <v>0</v>
          </cell>
          <cell r="BG2">
            <v>0</v>
          </cell>
          <cell r="BH2">
            <v>53</v>
          </cell>
          <cell r="BI2">
            <v>0</v>
          </cell>
          <cell r="BJ2">
            <v>170</v>
          </cell>
          <cell r="BK2">
            <v>0</v>
          </cell>
          <cell r="BL2">
            <v>0</v>
          </cell>
          <cell r="BM2">
            <v>0</v>
          </cell>
          <cell r="BN2">
            <v>0</v>
          </cell>
          <cell r="BO2">
            <v>0</v>
          </cell>
          <cell r="BP2">
            <v>38</v>
          </cell>
          <cell r="BQ2">
            <v>0</v>
          </cell>
          <cell r="BR2">
            <v>6</v>
          </cell>
          <cell r="BS2">
            <v>0</v>
          </cell>
          <cell r="BT2">
            <v>0</v>
          </cell>
          <cell r="BU2">
            <v>0</v>
          </cell>
          <cell r="BV2">
            <v>0</v>
          </cell>
          <cell r="BW2">
            <v>0</v>
          </cell>
          <cell r="BX2">
            <v>5300</v>
          </cell>
          <cell r="BY2">
            <v>0</v>
          </cell>
          <cell r="BZ2">
            <v>0</v>
          </cell>
          <cell r="CA2">
            <v>0</v>
          </cell>
          <cell r="CB2">
            <v>0</v>
          </cell>
          <cell r="CC2">
            <v>0</v>
          </cell>
          <cell r="CD2">
            <v>0</v>
          </cell>
          <cell r="CE2">
            <v>0</v>
          </cell>
          <cell r="CF2">
            <v>4492</v>
          </cell>
          <cell r="CG2">
            <v>0</v>
          </cell>
          <cell r="CH2">
            <v>0</v>
          </cell>
          <cell r="CI2">
            <v>0</v>
          </cell>
          <cell r="CJ2">
            <v>2</v>
          </cell>
          <cell r="CK2">
            <v>0</v>
          </cell>
          <cell r="CL2">
            <v>0</v>
          </cell>
          <cell r="CM2">
            <v>0</v>
          </cell>
          <cell r="CN2">
            <v>0</v>
          </cell>
          <cell r="CO2">
            <v>0</v>
          </cell>
          <cell r="CP2">
            <v>0</v>
          </cell>
          <cell r="CQ2">
            <v>0</v>
          </cell>
          <cell r="CR2">
            <v>0</v>
          </cell>
          <cell r="CS2">
            <v>0</v>
          </cell>
          <cell r="CT2">
            <v>0</v>
          </cell>
          <cell r="CU2">
            <v>1023</v>
          </cell>
          <cell r="CV2">
            <v>5</v>
          </cell>
          <cell r="CW2">
            <v>0</v>
          </cell>
          <cell r="CX2">
            <v>2</v>
          </cell>
          <cell r="CY2">
            <v>0</v>
          </cell>
          <cell r="CZ2">
            <v>0</v>
          </cell>
          <cell r="DA2">
            <v>8</v>
          </cell>
          <cell r="DB2">
            <v>0</v>
          </cell>
          <cell r="DC2">
            <v>882</v>
          </cell>
          <cell r="DD2">
            <v>0</v>
          </cell>
          <cell r="DE2">
            <v>0</v>
          </cell>
          <cell r="DF2">
            <v>198</v>
          </cell>
          <cell r="DG2">
            <v>0</v>
          </cell>
          <cell r="DH2">
            <v>0</v>
          </cell>
          <cell r="DI2">
            <v>0</v>
          </cell>
          <cell r="DJ2">
            <v>0</v>
          </cell>
          <cell r="DK2">
            <v>103</v>
          </cell>
          <cell r="DL2">
            <v>0</v>
          </cell>
          <cell r="DM2">
            <v>0</v>
          </cell>
          <cell r="DN2">
            <v>0</v>
          </cell>
          <cell r="DO2">
            <v>0</v>
          </cell>
          <cell r="DP2">
            <v>0</v>
          </cell>
          <cell r="DQ2">
            <v>0</v>
          </cell>
          <cell r="DR2">
            <v>0</v>
          </cell>
          <cell r="DS2">
            <v>0</v>
          </cell>
          <cell r="DT2">
            <v>0</v>
          </cell>
          <cell r="DU2">
            <v>53.000000000000007</v>
          </cell>
          <cell r="DV2">
            <v>0</v>
          </cell>
          <cell r="DW2">
            <v>0</v>
          </cell>
          <cell r="DX2">
            <v>0</v>
          </cell>
          <cell r="DY2">
            <v>0</v>
          </cell>
          <cell r="DZ2">
            <v>0</v>
          </cell>
          <cell r="EA2">
            <v>0</v>
          </cell>
          <cell r="EB2">
            <v>0</v>
          </cell>
          <cell r="EC2">
            <v>0</v>
          </cell>
          <cell r="ED2">
            <v>0</v>
          </cell>
          <cell r="EE2">
            <v>0</v>
          </cell>
          <cell r="EF2">
            <v>0</v>
          </cell>
          <cell r="EG2">
            <v>0</v>
          </cell>
          <cell r="EH2">
            <v>0</v>
          </cell>
          <cell r="EI2">
            <v>0</v>
          </cell>
          <cell r="EJ2">
            <v>0</v>
          </cell>
          <cell r="EK2">
            <v>174</v>
          </cell>
          <cell r="EL2">
            <v>0</v>
          </cell>
          <cell r="EM2">
            <v>0</v>
          </cell>
          <cell r="EN2">
            <v>0</v>
          </cell>
          <cell r="EO2">
            <v>0</v>
          </cell>
          <cell r="EP2">
            <v>720</v>
          </cell>
          <cell r="EQ2">
            <v>0</v>
          </cell>
          <cell r="ER2">
            <v>0</v>
          </cell>
          <cell r="ES2">
            <v>0</v>
          </cell>
          <cell r="ET2">
            <v>0</v>
          </cell>
          <cell r="EU2">
            <v>0</v>
          </cell>
          <cell r="EV2">
            <v>0</v>
          </cell>
          <cell r="EW2">
            <v>0</v>
          </cell>
          <cell r="EX2">
            <v>0</v>
          </cell>
          <cell r="EY2">
            <v>0</v>
          </cell>
          <cell r="EZ2">
            <v>0</v>
          </cell>
          <cell r="FA2">
            <v>0</v>
          </cell>
          <cell r="FB2">
            <v>0</v>
          </cell>
          <cell r="FC2">
            <v>18</v>
          </cell>
          <cell r="FD2">
            <v>0</v>
          </cell>
          <cell r="FE2">
            <v>0</v>
          </cell>
          <cell r="FF2">
            <v>0</v>
          </cell>
          <cell r="FG2">
            <v>0</v>
          </cell>
          <cell r="FH2">
            <v>0</v>
          </cell>
          <cell r="FI2">
            <v>0</v>
          </cell>
          <cell r="FJ2">
            <v>0</v>
          </cell>
          <cell r="FK2">
            <v>0</v>
          </cell>
          <cell r="FL2">
            <v>0</v>
          </cell>
          <cell r="FM2">
            <v>0</v>
          </cell>
          <cell r="FN2">
            <v>136</v>
          </cell>
          <cell r="FO2">
            <v>0</v>
          </cell>
          <cell r="FP2">
            <v>235</v>
          </cell>
          <cell r="FQ2">
            <v>12</v>
          </cell>
          <cell r="FR2">
            <v>0</v>
          </cell>
          <cell r="FS2">
            <v>0</v>
          </cell>
          <cell r="FT2">
            <v>0</v>
          </cell>
          <cell r="FU2">
            <v>12</v>
          </cell>
          <cell r="FV2">
            <v>0</v>
          </cell>
          <cell r="FW2">
            <v>0</v>
          </cell>
          <cell r="FX2">
            <v>0</v>
          </cell>
          <cell r="FY2">
            <v>0</v>
          </cell>
          <cell r="FZ2">
            <v>0</v>
          </cell>
          <cell r="GA2">
            <v>0</v>
          </cell>
          <cell r="GB2">
            <v>0</v>
          </cell>
          <cell r="GC2">
            <v>0</v>
          </cell>
          <cell r="GD2">
            <v>0</v>
          </cell>
          <cell r="GE2">
            <v>0</v>
          </cell>
          <cell r="GF2">
            <v>0</v>
          </cell>
          <cell r="GG2">
            <v>4</v>
          </cell>
          <cell r="GH2">
            <v>0</v>
          </cell>
          <cell r="GI2">
            <v>25</v>
          </cell>
          <cell r="GJ2">
            <v>0</v>
          </cell>
          <cell r="GK2">
            <v>0</v>
          </cell>
          <cell r="GL2">
            <v>23</v>
          </cell>
          <cell r="GM2">
            <v>30</v>
          </cell>
          <cell r="GN2">
            <v>16</v>
          </cell>
          <cell r="GO2">
            <v>64</v>
          </cell>
          <cell r="GP2">
            <v>8</v>
          </cell>
          <cell r="GQ2">
            <v>0</v>
          </cell>
          <cell r="GR2">
            <v>0</v>
          </cell>
          <cell r="GS2">
            <v>0</v>
          </cell>
          <cell r="GT2">
            <v>279</v>
          </cell>
          <cell r="GU2">
            <v>0</v>
          </cell>
          <cell r="GV2">
            <v>0</v>
          </cell>
          <cell r="GW2">
            <v>0</v>
          </cell>
          <cell r="GX2">
            <v>0</v>
          </cell>
          <cell r="GY2">
            <v>0</v>
          </cell>
          <cell r="GZ2">
            <v>736</v>
          </cell>
          <cell r="HA2">
            <v>0</v>
          </cell>
          <cell r="HB2">
            <v>0</v>
          </cell>
          <cell r="HC2">
            <v>0</v>
          </cell>
          <cell r="HD2">
            <v>46</v>
          </cell>
          <cell r="HE2">
            <v>0</v>
          </cell>
          <cell r="HF2">
            <v>0</v>
          </cell>
          <cell r="HG2">
            <v>0</v>
          </cell>
          <cell r="HH2">
            <v>0</v>
          </cell>
          <cell r="HI2">
            <v>9</v>
          </cell>
          <cell r="HJ2">
            <v>0</v>
          </cell>
          <cell r="HK2">
            <v>5</v>
          </cell>
          <cell r="HL2">
            <v>0</v>
          </cell>
          <cell r="HM2">
            <v>0</v>
          </cell>
          <cell r="HN2">
            <v>0</v>
          </cell>
          <cell r="HO2">
            <v>0</v>
          </cell>
          <cell r="HP2">
            <v>0</v>
          </cell>
          <cell r="HQ2">
            <v>0</v>
          </cell>
          <cell r="HR2">
            <v>0</v>
          </cell>
          <cell r="HS2">
            <v>1054</v>
          </cell>
          <cell r="HT2">
            <v>0</v>
          </cell>
          <cell r="HU2">
            <v>1274</v>
          </cell>
          <cell r="HV2">
            <v>0</v>
          </cell>
          <cell r="HW2">
            <v>0</v>
          </cell>
          <cell r="HX2">
            <v>0</v>
          </cell>
          <cell r="HY2">
            <v>0</v>
          </cell>
          <cell r="HZ2">
            <v>0</v>
          </cell>
          <cell r="IA2">
            <v>0</v>
          </cell>
          <cell r="IB2">
            <v>0</v>
          </cell>
          <cell r="IC2">
            <v>0</v>
          </cell>
        </row>
      </sheetData>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3"/>
  <sheetViews>
    <sheetView tabSelected="1" topLeftCell="A202" zoomScaleNormal="100" workbookViewId="0">
      <selection activeCell="C195" sqref="C195"/>
    </sheetView>
  </sheetViews>
  <sheetFormatPr baseColWidth="10" defaultRowHeight="16" x14ac:dyDescent="0.45"/>
  <cols>
    <col min="1" max="1" width="24" customWidth="1"/>
    <col min="2" max="2" width="22.453125" customWidth="1"/>
    <col min="3" max="3" width="26.54296875" customWidth="1"/>
    <col min="6" max="6" width="18.54296875" customWidth="1"/>
  </cols>
  <sheetData>
    <row r="1" spans="1:12" x14ac:dyDescent="0.45">
      <c r="A1" s="1" t="s">
        <v>4</v>
      </c>
      <c r="B1" s="1"/>
      <c r="C1" s="1"/>
      <c r="D1" s="1"/>
    </row>
    <row r="2" spans="1:12" x14ac:dyDescent="0.45">
      <c r="A2" s="1"/>
      <c r="B2" s="1"/>
      <c r="C2" s="1"/>
      <c r="D2" s="1"/>
    </row>
    <row r="3" spans="1:12" x14ac:dyDescent="0.45">
      <c r="A3" s="1"/>
      <c r="B3" s="1"/>
      <c r="C3" s="1"/>
      <c r="D3" s="1"/>
    </row>
    <row r="4" spans="1:12" x14ac:dyDescent="0.45">
      <c r="A4" s="1"/>
      <c r="B4" s="1"/>
      <c r="C4" s="1"/>
      <c r="D4" s="1"/>
    </row>
    <row r="5" spans="1:12" x14ac:dyDescent="0.45">
      <c r="A5" s="2" t="s">
        <v>0</v>
      </c>
      <c r="B5" s="2" t="s">
        <v>1</v>
      </c>
      <c r="C5" s="2" t="s">
        <v>2</v>
      </c>
      <c r="D5" s="2" t="s">
        <v>3</v>
      </c>
    </row>
    <row r="6" spans="1:12" x14ac:dyDescent="0.45">
      <c r="A6" s="37" t="s">
        <v>5</v>
      </c>
      <c r="B6" s="37"/>
      <c r="C6" s="37"/>
      <c r="D6" s="37"/>
    </row>
    <row r="7" spans="1:12" ht="32" x14ac:dyDescent="0.45">
      <c r="A7" s="2" t="s">
        <v>6</v>
      </c>
      <c r="B7" s="5">
        <v>1</v>
      </c>
      <c r="F7" s="23"/>
      <c r="G7" s="24"/>
      <c r="H7" s="24"/>
      <c r="I7" s="24"/>
      <c r="J7" s="24"/>
      <c r="K7" s="24"/>
      <c r="L7" s="23"/>
    </row>
    <row r="8" spans="1:12" x14ac:dyDescent="0.45">
      <c r="A8" s="22" t="s">
        <v>104</v>
      </c>
      <c r="B8" s="5">
        <f>75.8%/(75.8%+5.6%)</f>
        <v>0.93120393120393119</v>
      </c>
      <c r="C8" s="8"/>
      <c r="F8" s="23"/>
      <c r="G8" s="24"/>
      <c r="H8" s="24"/>
      <c r="I8" s="24"/>
      <c r="J8" s="24"/>
      <c r="K8" s="24"/>
      <c r="L8" s="23"/>
    </row>
    <row r="9" spans="1:12" x14ac:dyDescent="0.45">
      <c r="A9" s="22" t="s">
        <v>105</v>
      </c>
      <c r="B9" s="5">
        <f>5.6%/(75.8%+5.6%)</f>
        <v>6.8796068796068782E-2</v>
      </c>
      <c r="C9" s="8"/>
      <c r="F9" s="23"/>
      <c r="G9" s="24"/>
      <c r="H9" s="24"/>
      <c r="I9" s="24"/>
      <c r="J9" s="24"/>
      <c r="K9" s="24"/>
      <c r="L9" s="23"/>
    </row>
    <row r="10" spans="1:12" x14ac:dyDescent="0.45">
      <c r="A10" s="2" t="s">
        <v>7</v>
      </c>
      <c r="B10" s="5">
        <v>1</v>
      </c>
      <c r="F10" s="23"/>
      <c r="G10" s="23"/>
      <c r="H10" s="23"/>
      <c r="I10" s="23"/>
      <c r="J10" s="23"/>
      <c r="K10" s="23"/>
      <c r="L10" s="23"/>
    </row>
    <row r="11" spans="1:12" x14ac:dyDescent="0.45">
      <c r="A11" s="2" t="s">
        <v>8</v>
      </c>
      <c r="B11" s="5">
        <v>1</v>
      </c>
      <c r="F11" s="23"/>
      <c r="G11" s="23"/>
      <c r="H11" s="23"/>
      <c r="I11" s="23"/>
      <c r="J11" s="23"/>
      <c r="K11" s="23"/>
      <c r="L11" s="23"/>
    </row>
    <row r="12" spans="1:12" x14ac:dyDescent="0.45">
      <c r="A12" s="2" t="s">
        <v>95</v>
      </c>
      <c r="B12" s="5">
        <v>1</v>
      </c>
    </row>
    <row r="13" spans="1:12" x14ac:dyDescent="0.45">
      <c r="A13" s="3" t="s">
        <v>106</v>
      </c>
      <c r="B13" s="6">
        <f>2/4.4</f>
        <v>0.45454545454545453</v>
      </c>
      <c r="C13" s="12" t="s">
        <v>310</v>
      </c>
    </row>
    <row r="14" spans="1:12" x14ac:dyDescent="0.45">
      <c r="A14" s="3" t="s">
        <v>107</v>
      </c>
      <c r="B14" s="5">
        <f>100%-B13</f>
        <v>0.54545454545454541</v>
      </c>
      <c r="C14" s="12" t="s">
        <v>310</v>
      </c>
    </row>
    <row r="15" spans="1:12" x14ac:dyDescent="0.45">
      <c r="A15" s="2" t="s">
        <v>96</v>
      </c>
      <c r="B15" s="5">
        <v>1</v>
      </c>
    </row>
    <row r="16" spans="1:12" x14ac:dyDescent="0.45">
      <c r="A16" s="3" t="s">
        <v>106</v>
      </c>
      <c r="B16" s="6">
        <f>2/4.4</f>
        <v>0.45454545454545453</v>
      </c>
      <c r="C16" s="12" t="s">
        <v>310</v>
      </c>
    </row>
    <row r="17" spans="1:4" x14ac:dyDescent="0.45">
      <c r="A17" s="3" t="s">
        <v>107</v>
      </c>
      <c r="B17" s="5">
        <f>100%-B16</f>
        <v>0.54545454545454541</v>
      </c>
      <c r="C17" s="12" t="s">
        <v>310</v>
      </c>
    </row>
    <row r="18" spans="1:4" ht="32" x14ac:dyDescent="0.45">
      <c r="A18" s="2" t="s">
        <v>9</v>
      </c>
      <c r="B18" s="5">
        <v>1</v>
      </c>
    </row>
    <row r="19" spans="1:4" x14ac:dyDescent="0.45">
      <c r="A19" s="22" t="s">
        <v>245</v>
      </c>
      <c r="B19" s="5">
        <f>[1]data_1tier!$B$85</f>
        <v>0.12662744446540411</v>
      </c>
      <c r="C19" t="s">
        <v>247</v>
      </c>
    </row>
    <row r="20" spans="1:4" x14ac:dyDescent="0.45">
      <c r="A20" s="22" t="s">
        <v>246</v>
      </c>
      <c r="B20" s="5">
        <f>[1]data_1tier!$B$84</f>
        <v>0.87337255553459592</v>
      </c>
      <c r="C20" t="s">
        <v>247</v>
      </c>
    </row>
    <row r="21" spans="1:4" x14ac:dyDescent="0.45">
      <c r="A21" s="37" t="s">
        <v>10</v>
      </c>
      <c r="B21" s="37"/>
      <c r="C21" s="37"/>
      <c r="D21" s="37"/>
    </row>
    <row r="22" spans="1:4" ht="32" x14ac:dyDescent="0.45">
      <c r="A22" s="3" t="s">
        <v>11</v>
      </c>
      <c r="B22" s="4">
        <f>((26.4/161+28.2/136+26/133+32.6/116+25/100)/5)*(29%/(29%+20%+21%))</f>
        <v>9.0964822084440164E-2</v>
      </c>
      <c r="C22" s="3" t="s">
        <v>311</v>
      </c>
      <c r="D22" t="s">
        <v>312</v>
      </c>
    </row>
    <row r="23" spans="1:4" ht="32" x14ac:dyDescent="0.45">
      <c r="A23" s="3" t="s">
        <v>12</v>
      </c>
      <c r="B23" s="4">
        <f>((26.4/161+28.2/136+26/133+32.6/116+25/100)/5)*(20%/(29%+21%+20%))</f>
        <v>6.2734360058234614E-2</v>
      </c>
      <c r="C23" s="3" t="s">
        <v>311</v>
      </c>
    </row>
    <row r="24" spans="1:4" ht="48" x14ac:dyDescent="0.45">
      <c r="A24" s="3" t="s">
        <v>13</v>
      </c>
      <c r="B24" s="4">
        <f>((26.4/161+28.2/136+26/133+32.6/116+25/100)/5)*(21%/(29%+20%+21%))</f>
        <v>6.5871078061146338E-2</v>
      </c>
      <c r="C24" s="3" t="s">
        <v>311</v>
      </c>
    </row>
    <row r="25" spans="1:4" ht="32" x14ac:dyDescent="0.45">
      <c r="A25" s="3" t="s">
        <v>209</v>
      </c>
      <c r="B25" s="4">
        <f>SUM(B22:B24)</f>
        <v>0.21957026020382112</v>
      </c>
    </row>
    <row r="26" spans="1:4" ht="32" x14ac:dyDescent="0.45">
      <c r="A26" s="3" t="s">
        <v>19</v>
      </c>
      <c r="B26" s="4">
        <f>(0.98/62.3)*(100%-B25)</f>
        <v>1.2276422873198321E-2</v>
      </c>
      <c r="C26" s="12" t="s">
        <v>313</v>
      </c>
    </row>
    <row r="27" spans="1:4" x14ac:dyDescent="0.45">
      <c r="A27" s="3" t="s">
        <v>20</v>
      </c>
      <c r="B27" s="4">
        <f>(7.75/62.3)*(100%-B25)</f>
        <v>9.7083956395190796E-2</v>
      </c>
      <c r="C27" s="12" t="s">
        <v>313</v>
      </c>
    </row>
    <row r="28" spans="1:4" x14ac:dyDescent="0.45">
      <c r="A28" s="3" t="s">
        <v>15</v>
      </c>
      <c r="B28" s="4">
        <f>(13.56/62.3)*(100%-B25)</f>
        <v>0.16986560628629513</v>
      </c>
      <c r="C28" s="12" t="s">
        <v>313</v>
      </c>
    </row>
    <row r="29" spans="1:4" ht="32" x14ac:dyDescent="0.45">
      <c r="A29" s="3" t="s">
        <v>17</v>
      </c>
      <c r="B29" s="4">
        <f>(1.21/62.3)*(100%-B25)</f>
        <v>1.5157624159765274E-2</v>
      </c>
      <c r="C29" s="12" t="s">
        <v>313</v>
      </c>
    </row>
    <row r="30" spans="1:4" ht="32" x14ac:dyDescent="0.45">
      <c r="A30" s="3" t="s">
        <v>27</v>
      </c>
      <c r="B30" s="4">
        <f>((13+25.62+0.17)/62.3)*(100%-B25)</f>
        <v>0.48592086046057437</v>
      </c>
      <c r="C30" s="12" t="s">
        <v>313</v>
      </c>
      <c r="D30" t="s">
        <v>102</v>
      </c>
    </row>
    <row r="31" spans="1:4" x14ac:dyDescent="0.45">
      <c r="A31" s="3" t="s">
        <v>18</v>
      </c>
      <c r="B31" s="4">
        <f>(0.02/62.3)*(100%-B25)</f>
        <v>2.5053924231016979E-4</v>
      </c>
      <c r="C31" s="12" t="s">
        <v>313</v>
      </c>
    </row>
    <row r="32" spans="1:4" ht="32" x14ac:dyDescent="0.45">
      <c r="A32" s="3" t="s">
        <v>80</v>
      </c>
      <c r="B32" s="4">
        <f>((0.25+0.2)/135)*(100%-B25)</f>
        <v>2.6014324659872634E-3</v>
      </c>
      <c r="C32" s="3" t="s">
        <v>314</v>
      </c>
      <c r="D32" t="s">
        <v>400</v>
      </c>
    </row>
    <row r="33" spans="1:4" x14ac:dyDescent="0.45">
      <c r="A33" s="3"/>
      <c r="B33" s="4"/>
      <c r="C33" s="7"/>
    </row>
    <row r="34" spans="1:4" ht="32" x14ac:dyDescent="0.45">
      <c r="A34" s="3" t="s">
        <v>16</v>
      </c>
      <c r="B34" s="6">
        <f>14%</f>
        <v>0.14000000000000001</v>
      </c>
      <c r="C34" s="12" t="s">
        <v>315</v>
      </c>
      <c r="D34" t="s">
        <v>242</v>
      </c>
    </row>
    <row r="35" spans="1:4" x14ac:dyDescent="0.45">
      <c r="A35" s="3" t="s">
        <v>21</v>
      </c>
      <c r="B35" s="7">
        <f>10%</f>
        <v>0.1</v>
      </c>
      <c r="C35" s="12" t="s">
        <v>315</v>
      </c>
    </row>
    <row r="36" spans="1:4" x14ac:dyDescent="0.45">
      <c r="A36" s="3" t="s">
        <v>25</v>
      </c>
      <c r="B36" s="7">
        <v>0.04</v>
      </c>
      <c r="C36" s="12" t="s">
        <v>315</v>
      </c>
    </row>
    <row r="37" spans="1:4" x14ac:dyDescent="0.45">
      <c r="A37" s="3" t="s">
        <v>28</v>
      </c>
      <c r="B37" s="7">
        <f>2%+6%+4%+2%+3%</f>
        <v>0.16999999999999998</v>
      </c>
      <c r="C37" s="12" t="s">
        <v>315</v>
      </c>
      <c r="D37" t="s">
        <v>26</v>
      </c>
    </row>
    <row r="38" spans="1:4" x14ac:dyDescent="0.45">
      <c r="A38" s="3" t="s">
        <v>22</v>
      </c>
      <c r="B38" s="5">
        <f>6%+4%</f>
        <v>0.1</v>
      </c>
      <c r="C38" s="12" t="s">
        <v>315</v>
      </c>
      <c r="D38" t="s">
        <v>24</v>
      </c>
    </row>
    <row r="39" spans="1:4" x14ac:dyDescent="0.45">
      <c r="A39" s="3" t="s">
        <v>29</v>
      </c>
      <c r="B39" s="5">
        <v>0.05</v>
      </c>
      <c r="C39" s="12" t="s">
        <v>315</v>
      </c>
      <c r="D39" t="s">
        <v>30</v>
      </c>
    </row>
    <row r="40" spans="1:4" x14ac:dyDescent="0.45">
      <c r="A40" s="3" t="s">
        <v>23</v>
      </c>
      <c r="B40" s="5">
        <v>0.04</v>
      </c>
      <c r="C40" s="12" t="s">
        <v>315</v>
      </c>
      <c r="D40" t="s">
        <v>31</v>
      </c>
    </row>
    <row r="41" spans="1:4" x14ac:dyDescent="0.45">
      <c r="A41" s="3" t="s">
        <v>32</v>
      </c>
      <c r="B41" s="32">
        <f>3%+9%+5%+3%+8%+1%+1%</f>
        <v>0.3</v>
      </c>
      <c r="C41" s="12" t="s">
        <v>315</v>
      </c>
      <c r="D41" t="s">
        <v>235</v>
      </c>
    </row>
    <row r="42" spans="1:4" ht="32" x14ac:dyDescent="0.45">
      <c r="A42" s="3" t="s">
        <v>33</v>
      </c>
      <c r="B42" s="7">
        <f>5%</f>
        <v>0.05</v>
      </c>
      <c r="C42" s="12" t="s">
        <v>315</v>
      </c>
    </row>
    <row r="43" spans="1:4" x14ac:dyDescent="0.45">
      <c r="A43" s="3" t="s">
        <v>82</v>
      </c>
      <c r="B43" s="7">
        <f>2/2706</f>
        <v>7.3909830007390983E-4</v>
      </c>
      <c r="C43" t="s">
        <v>316</v>
      </c>
    </row>
    <row r="44" spans="1:4" x14ac:dyDescent="0.45">
      <c r="A44" s="3"/>
      <c r="B44" s="7"/>
    </row>
    <row r="45" spans="1:4" x14ac:dyDescent="0.45">
      <c r="A45" s="3" t="s">
        <v>35</v>
      </c>
      <c r="B45" s="7">
        <f>(1.12+1.03)/22.83</f>
        <v>9.4174332019272916E-2</v>
      </c>
      <c r="C45" s="12" t="s">
        <v>317</v>
      </c>
    </row>
    <row r="46" spans="1:4" x14ac:dyDescent="0.45">
      <c r="A46" s="3" t="s">
        <v>141</v>
      </c>
      <c r="B46" s="7">
        <f>(1.43+0.95)/22.83</f>
        <v>0.10424879544459045</v>
      </c>
      <c r="C46" s="12" t="s">
        <v>317</v>
      </c>
    </row>
    <row r="47" spans="1:4" x14ac:dyDescent="0.45">
      <c r="A47" t="s">
        <v>34</v>
      </c>
      <c r="B47" s="4">
        <f>14/22.83</f>
        <v>0.61322820849759097</v>
      </c>
      <c r="C47" s="12" t="s">
        <v>317</v>
      </c>
    </row>
    <row r="48" spans="1:4" ht="32" x14ac:dyDescent="0.45">
      <c r="A48" s="3" t="s">
        <v>36</v>
      </c>
      <c r="B48" s="7">
        <f>4.3/22.83</f>
        <v>0.18834866403854578</v>
      </c>
      <c r="C48" s="12" t="s">
        <v>317</v>
      </c>
    </row>
    <row r="49" spans="1:4" x14ac:dyDescent="0.45">
      <c r="A49" s="3" t="s">
        <v>81</v>
      </c>
      <c r="B49" s="4">
        <f>2/8795</f>
        <v>2.2740193291642978E-4</v>
      </c>
      <c r="C49" t="s">
        <v>316</v>
      </c>
    </row>
    <row r="50" spans="1:4" x14ac:dyDescent="0.45">
      <c r="A50" s="3"/>
      <c r="B50" s="7"/>
    </row>
    <row r="51" spans="1:4" x14ac:dyDescent="0.45">
      <c r="A51" s="3" t="s">
        <v>37</v>
      </c>
      <c r="B51" s="7">
        <f>115/(6+115+6+77+14+390+384+9+1)</f>
        <v>0.11477045908183632</v>
      </c>
      <c r="C51" s="12" t="s">
        <v>318</v>
      </c>
      <c r="D51" t="s">
        <v>401</v>
      </c>
    </row>
    <row r="52" spans="1:4" x14ac:dyDescent="0.45">
      <c r="A52" s="3" t="s">
        <v>38</v>
      </c>
      <c r="B52" s="7">
        <f>81/(10+81+65+2+454+381+6+1)</f>
        <v>8.1000000000000003E-2</v>
      </c>
      <c r="C52" s="12" t="s">
        <v>318</v>
      </c>
      <c r="D52" t="s">
        <v>402</v>
      </c>
    </row>
    <row r="53" spans="1:4" x14ac:dyDescent="0.45">
      <c r="A53" s="3" t="s">
        <v>39</v>
      </c>
      <c r="B53" s="7">
        <f>6/(6+115+6+77+14+390+384+9+1)</f>
        <v>5.9880239520958087E-3</v>
      </c>
      <c r="C53" s="12" t="s">
        <v>318</v>
      </c>
    </row>
    <row r="54" spans="1:4" ht="32" x14ac:dyDescent="0.45">
      <c r="A54" s="3" t="s">
        <v>47</v>
      </c>
      <c r="B54" s="7">
        <f>(6+9)/(6+115+6+77+14+390+384+9+1)</f>
        <v>1.4970059880239521E-2</v>
      </c>
      <c r="C54" s="12" t="s">
        <v>318</v>
      </c>
    </row>
    <row r="55" spans="1:4" ht="32" x14ac:dyDescent="0.45">
      <c r="A55" s="3" t="s">
        <v>48</v>
      </c>
      <c r="B55" s="7">
        <f>(10+6)/(10+81+65+2+454+381+6+1)</f>
        <v>1.6E-2</v>
      </c>
      <c r="C55" s="12" t="s">
        <v>318</v>
      </c>
    </row>
    <row r="56" spans="1:4" ht="64" x14ac:dyDescent="0.45">
      <c r="A56" s="3" t="s">
        <v>49</v>
      </c>
      <c r="B56" s="7">
        <f>(14+390+384+1)/(6+115+6+77+14+390+384+9+1)</f>
        <v>0.78742514970059885</v>
      </c>
      <c r="C56" s="12" t="s">
        <v>318</v>
      </c>
    </row>
    <row r="57" spans="1:4" ht="64" x14ac:dyDescent="0.45">
      <c r="A57" s="3" t="s">
        <v>50</v>
      </c>
      <c r="B57" s="7">
        <f>(2+454+381+1)/(10+81+65+2+454+381+6+1)</f>
        <v>0.83799999999999997</v>
      </c>
      <c r="C57" s="12" t="s">
        <v>318</v>
      </c>
    </row>
    <row r="58" spans="1:4" ht="32" x14ac:dyDescent="0.45">
      <c r="A58" s="3" t="s">
        <v>51</v>
      </c>
      <c r="B58" s="4">
        <f>77/(6+115+6+77+14+390+384+9+1)</f>
        <v>7.6846307385229545E-2</v>
      </c>
      <c r="C58" s="12" t="s">
        <v>318</v>
      </c>
    </row>
    <row r="59" spans="1:4" ht="32" x14ac:dyDescent="0.45">
      <c r="A59" s="3" t="s">
        <v>52</v>
      </c>
      <c r="B59" s="7">
        <f>65/(10+81+65+2+454+381+6+1)</f>
        <v>6.5000000000000002E-2</v>
      </c>
      <c r="C59" s="12" t="s">
        <v>318</v>
      </c>
    </row>
    <row r="60" spans="1:4" ht="32" x14ac:dyDescent="0.45">
      <c r="A60" s="3" t="s">
        <v>83</v>
      </c>
      <c r="B60" s="4">
        <f>2/20779</f>
        <v>9.6251022667115835E-5</v>
      </c>
      <c r="C60" t="s">
        <v>316</v>
      </c>
    </row>
    <row r="61" spans="1:4" x14ac:dyDescent="0.45">
      <c r="A61" s="3"/>
      <c r="B61" s="4"/>
    </row>
    <row r="62" spans="1:4" x14ac:dyDescent="0.45">
      <c r="A62" s="3" t="s">
        <v>40</v>
      </c>
      <c r="B62" s="7">
        <f>(1+14)/(1+9+730+41+12+1+2+190+14+1)</f>
        <v>1.4985014985014986E-2</v>
      </c>
      <c r="C62" s="12" t="s">
        <v>318</v>
      </c>
    </row>
    <row r="63" spans="1:4" x14ac:dyDescent="0.45">
      <c r="A63" s="3" t="s">
        <v>41</v>
      </c>
      <c r="B63" s="7">
        <f>(3+20)/(3+707+72+1+50+146+20+1)</f>
        <v>2.3E-2</v>
      </c>
      <c r="C63" s="12" t="s">
        <v>318</v>
      </c>
    </row>
    <row r="64" spans="1:4" x14ac:dyDescent="0.45">
      <c r="A64" s="3" t="s">
        <v>44</v>
      </c>
      <c r="B64" s="7">
        <f>(9+730+12+2+190+1)/(1+9+730+41+12+1+2+190+14+1)</f>
        <v>0.9430569430569431</v>
      </c>
      <c r="C64" s="12" t="s">
        <v>318</v>
      </c>
    </row>
    <row r="65" spans="1:4" x14ac:dyDescent="0.45">
      <c r="A65" s="3" t="s">
        <v>45</v>
      </c>
      <c r="B65" s="7">
        <f>(707+50+146+1)/(3+707+72+1+50+146+20+1)</f>
        <v>0.90400000000000003</v>
      </c>
      <c r="C65" s="12" t="s">
        <v>318</v>
      </c>
    </row>
    <row r="66" spans="1:4" x14ac:dyDescent="0.45">
      <c r="A66" s="3" t="s">
        <v>288</v>
      </c>
      <c r="B66" s="7">
        <f>730/(1+9+730+41+12+1+2+190+14+1)</f>
        <v>0.72927072927072922</v>
      </c>
      <c r="C66" s="12" t="s">
        <v>318</v>
      </c>
    </row>
    <row r="67" spans="1:4" x14ac:dyDescent="0.45">
      <c r="A67" s="3" t="s">
        <v>289</v>
      </c>
      <c r="B67" s="7">
        <f>707/(3+707+72+1+50+146+20+1)</f>
        <v>0.70699999999999996</v>
      </c>
      <c r="C67" s="12" t="s">
        <v>318</v>
      </c>
    </row>
    <row r="68" spans="1:4" ht="32" x14ac:dyDescent="0.45">
      <c r="A68" s="3" t="s">
        <v>42</v>
      </c>
      <c r="B68" s="4">
        <f>(41+1)/(1+9+730+41+12+1+2+190+14+1)</f>
        <v>4.195804195804196E-2</v>
      </c>
      <c r="C68" s="12" t="s">
        <v>318</v>
      </c>
    </row>
    <row r="69" spans="1:4" ht="32" x14ac:dyDescent="0.45">
      <c r="A69" s="3" t="s">
        <v>43</v>
      </c>
      <c r="B69" s="4">
        <f>(72+1)/(3+707+72+1+50+146+20+1)</f>
        <v>7.2999999999999995E-2</v>
      </c>
      <c r="C69" s="12" t="s">
        <v>318</v>
      </c>
    </row>
    <row r="70" spans="1:4" x14ac:dyDescent="0.45">
      <c r="A70" s="37" t="s">
        <v>14</v>
      </c>
      <c r="B70" s="37"/>
      <c r="C70" s="37"/>
      <c r="D70" s="37"/>
    </row>
    <row r="71" spans="1:4" x14ac:dyDescent="0.45">
      <c r="A71" s="10" t="s">
        <v>54</v>
      </c>
      <c r="B71" s="11">
        <f>100%-26%</f>
        <v>0.74</v>
      </c>
      <c r="C71" s="12" t="s">
        <v>319</v>
      </c>
      <c r="D71" s="4"/>
    </row>
    <row r="72" spans="1:4" x14ac:dyDescent="0.45">
      <c r="A72" s="10" t="s">
        <v>55</v>
      </c>
      <c r="B72" s="11">
        <f>100%-B71</f>
        <v>0.26</v>
      </c>
      <c r="C72" s="12" t="s">
        <v>319</v>
      </c>
      <c r="D72" s="4"/>
    </row>
    <row r="73" spans="1:4" ht="32" x14ac:dyDescent="0.45">
      <c r="A73" s="10" t="s">
        <v>56</v>
      </c>
      <c r="B73" s="13">
        <f>100%-27%</f>
        <v>0.73</v>
      </c>
      <c r="C73" s="12" t="s">
        <v>320</v>
      </c>
      <c r="D73" s="9"/>
    </row>
    <row r="74" spans="1:4" ht="32" x14ac:dyDescent="0.45">
      <c r="A74" s="10" t="s">
        <v>57</v>
      </c>
      <c r="B74" s="14">
        <v>0.27</v>
      </c>
      <c r="C74" s="12" t="s">
        <v>320</v>
      </c>
      <c r="D74" s="9"/>
    </row>
    <row r="75" spans="1:4" x14ac:dyDescent="0.45">
      <c r="A75" s="10" t="s">
        <v>58</v>
      </c>
      <c r="B75" s="14">
        <f>100%-33%</f>
        <v>0.66999999999999993</v>
      </c>
      <c r="C75" s="12" t="s">
        <v>319</v>
      </c>
      <c r="D75" s="9"/>
    </row>
    <row r="76" spans="1:4" x14ac:dyDescent="0.45">
      <c r="A76" s="10" t="s">
        <v>59</v>
      </c>
      <c r="B76" s="14">
        <f>33%</f>
        <v>0.33</v>
      </c>
      <c r="C76" s="12" t="s">
        <v>319</v>
      </c>
      <c r="D76" s="9"/>
    </row>
    <row r="77" spans="1:4" ht="32" x14ac:dyDescent="0.45">
      <c r="A77" s="3" t="s">
        <v>282</v>
      </c>
      <c r="B77" s="7">
        <f>4%</f>
        <v>0.04</v>
      </c>
      <c r="C77" s="12" t="s">
        <v>315</v>
      </c>
      <c r="D77" t="s">
        <v>212</v>
      </c>
    </row>
    <row r="78" spans="1:4" ht="32" x14ac:dyDescent="0.45">
      <c r="A78" s="3" t="s">
        <v>211</v>
      </c>
      <c r="B78" s="32">
        <f>1%+8%+1%</f>
        <v>9.9999999999999992E-2</v>
      </c>
      <c r="C78" s="12" t="s">
        <v>315</v>
      </c>
      <c r="D78" t="s">
        <v>213</v>
      </c>
    </row>
    <row r="79" spans="1:4" ht="32" x14ac:dyDescent="0.45">
      <c r="A79" s="3" t="s">
        <v>283</v>
      </c>
      <c r="B79" s="4">
        <f>(1.43+0.95)/22.83</f>
        <v>0.10424879544459045</v>
      </c>
      <c r="C79" t="s">
        <v>317</v>
      </c>
      <c r="D79" t="s">
        <v>214</v>
      </c>
    </row>
    <row r="80" spans="1:4" ht="48" x14ac:dyDescent="0.45">
      <c r="A80" s="3" t="s">
        <v>70</v>
      </c>
      <c r="B80" s="11">
        <f>(22%+26%+0.8%+2%)/4</f>
        <v>0.127</v>
      </c>
      <c r="C80" s="12" t="s">
        <v>321</v>
      </c>
    </row>
    <row r="81" spans="1:4" ht="48" x14ac:dyDescent="0.45">
      <c r="A81" s="3" t="s">
        <v>100</v>
      </c>
      <c r="B81" s="4">
        <f>2.5%</f>
        <v>2.5000000000000001E-2</v>
      </c>
      <c r="C81" s="12" t="s">
        <v>321</v>
      </c>
    </row>
    <row r="82" spans="1:4" ht="48" x14ac:dyDescent="0.45">
      <c r="A82" s="3" t="s">
        <v>101</v>
      </c>
      <c r="B82" s="4">
        <f>(2.5%+2.8%)/2</f>
        <v>2.6499999999999999E-2</v>
      </c>
      <c r="C82" s="12" t="s">
        <v>321</v>
      </c>
    </row>
    <row r="83" spans="1:4" ht="32" x14ac:dyDescent="0.45">
      <c r="A83" s="3" t="s">
        <v>46</v>
      </c>
      <c r="B83" s="4">
        <f>12/12500</f>
        <v>9.6000000000000002E-4</v>
      </c>
      <c r="C83" t="s">
        <v>322</v>
      </c>
    </row>
    <row r="84" spans="1:4" ht="32" x14ac:dyDescent="0.45">
      <c r="A84" s="3" t="s">
        <v>53</v>
      </c>
      <c r="B84" s="4">
        <f>20%*5.4/5000</f>
        <v>2.1600000000000002E-4</v>
      </c>
      <c r="C84" t="s">
        <v>322</v>
      </c>
    </row>
    <row r="85" spans="1:4" x14ac:dyDescent="0.45">
      <c r="A85" s="37" t="s">
        <v>68</v>
      </c>
      <c r="B85" s="37"/>
      <c r="C85" s="37"/>
      <c r="D85" s="37"/>
    </row>
    <row r="86" spans="1:4" ht="32" x14ac:dyDescent="0.45">
      <c r="A86" s="10" t="s">
        <v>71</v>
      </c>
      <c r="B86" s="18">
        <f>((17.32%+17.16%+17.2%)/3)/((86.65%+86.9%+89.65%+92.4%+93.69%)/5)</f>
        <v>0.19170988300058611</v>
      </c>
      <c r="C86" s="19" t="s">
        <v>72</v>
      </c>
    </row>
    <row r="87" spans="1:4" ht="32" x14ac:dyDescent="0.45">
      <c r="A87" s="10" t="s">
        <v>73</v>
      </c>
      <c r="B87" s="18">
        <f>17%*50%</f>
        <v>8.5000000000000006E-2</v>
      </c>
      <c r="C87" s="12" t="s">
        <v>323</v>
      </c>
      <c r="D87" t="s">
        <v>403</v>
      </c>
    </row>
    <row r="88" spans="1:4" x14ac:dyDescent="0.45">
      <c r="A88" s="10" t="s">
        <v>61</v>
      </c>
      <c r="B88" s="15">
        <f>(5.8%/(5.8%+8.2%+9.2%+4.8%+2.8%+3.1%+3.1%+1%+5.5%))/((86.65%+86.9%+89.65%+92.4%+93.69%)/5)</f>
        <v>0.14838226238435459</v>
      </c>
      <c r="C88" s="12" t="s">
        <v>62</v>
      </c>
      <c r="D88" s="4"/>
    </row>
    <row r="89" spans="1:4" x14ac:dyDescent="0.45">
      <c r="A89" s="10" t="s">
        <v>63</v>
      </c>
      <c r="B89" s="11">
        <f>((18%+5.2%)/(5.7%+2.7%+18%+5.7%+2.3%+5.2%+1.5%+3.3%))/((86.65%+86.9%+89.65%+92.4%+93.69%)/5)</f>
        <v>0.58149805529003806</v>
      </c>
      <c r="C89" s="12" t="s">
        <v>324</v>
      </c>
      <c r="D89" t="s">
        <v>404</v>
      </c>
    </row>
    <row r="90" spans="1:4" x14ac:dyDescent="0.45">
      <c r="A90" s="10" t="s">
        <v>64</v>
      </c>
      <c r="B90" s="15">
        <f>(5.5%/(5.8%+8.2%+9.2%+4.8%+2.8%+3.1%+3.1%+1%+5.5%))/((86.65%+86.9%+89.65%+92.4%+93.69%)/5)</f>
        <v>0.14070731777826728</v>
      </c>
      <c r="C90" s="12" t="s">
        <v>62</v>
      </c>
      <c r="D90" s="4"/>
    </row>
    <row r="91" spans="1:4" ht="32" x14ac:dyDescent="0.45">
      <c r="A91" s="10" t="s">
        <v>147</v>
      </c>
      <c r="B91" s="4">
        <v>9.2749999999999999E-2</v>
      </c>
      <c r="C91" s="12" t="s">
        <v>325</v>
      </c>
    </row>
    <row r="92" spans="1:4" ht="32" x14ac:dyDescent="0.45">
      <c r="A92" s="10" t="s">
        <v>152</v>
      </c>
      <c r="B92" s="4">
        <v>0.09</v>
      </c>
      <c r="C92" s="12" t="s">
        <v>326</v>
      </c>
      <c r="D92" t="s">
        <v>405</v>
      </c>
    </row>
    <row r="93" spans="1:4" ht="32" x14ac:dyDescent="0.45">
      <c r="A93" s="10" t="s">
        <v>221</v>
      </c>
      <c r="B93" s="4">
        <v>6.4000000000000001E-2</v>
      </c>
      <c r="C93" s="12" t="s">
        <v>326</v>
      </c>
      <c r="D93" t="s">
        <v>405</v>
      </c>
    </row>
    <row r="94" spans="1:4" ht="32" x14ac:dyDescent="0.45">
      <c r="A94" s="10" t="s">
        <v>285</v>
      </c>
      <c r="B94" s="4">
        <f>8.7%</f>
        <v>8.6999999999999994E-2</v>
      </c>
      <c r="C94" s="12" t="s">
        <v>326</v>
      </c>
    </row>
    <row r="95" spans="1:4" ht="32" x14ac:dyDescent="0.45">
      <c r="A95" s="10" t="s">
        <v>149</v>
      </c>
      <c r="B95" s="7">
        <v>7.5499999999999998E-2</v>
      </c>
      <c r="C95" s="12" t="s">
        <v>327</v>
      </c>
    </row>
    <row r="96" spans="1:4" ht="32" x14ac:dyDescent="0.45">
      <c r="A96" s="10" t="s">
        <v>151</v>
      </c>
      <c r="B96" s="7">
        <v>2.5000000000000001E-2</v>
      </c>
      <c r="C96" s="12" t="s">
        <v>326</v>
      </c>
    </row>
    <row r="97" spans="1:4" ht="32" x14ac:dyDescent="0.45">
      <c r="A97" s="10" t="s">
        <v>150</v>
      </c>
      <c r="B97" s="7">
        <v>0.13600000000000001</v>
      </c>
      <c r="C97" s="12" t="s">
        <v>326</v>
      </c>
    </row>
    <row r="98" spans="1:4" ht="32" x14ac:dyDescent="0.45">
      <c r="A98" s="10" t="s">
        <v>148</v>
      </c>
      <c r="B98" s="4">
        <f>65%*3.3%+30%*3.63%</f>
        <v>3.2340000000000001E-2</v>
      </c>
      <c r="C98" s="12" t="s">
        <v>328</v>
      </c>
    </row>
    <row r="99" spans="1:4" x14ac:dyDescent="0.45">
      <c r="A99" s="37" t="s">
        <v>60</v>
      </c>
      <c r="B99" s="37"/>
      <c r="C99" s="37"/>
      <c r="D99" s="37"/>
    </row>
    <row r="100" spans="1:4" ht="32" x14ac:dyDescent="0.45">
      <c r="A100" s="10" t="s">
        <v>108</v>
      </c>
      <c r="B100" s="4">
        <v>1.099E-2</v>
      </c>
      <c r="C100" s="12" t="s">
        <v>325</v>
      </c>
      <c r="D100" t="s">
        <v>329</v>
      </c>
    </row>
    <row r="101" spans="1:4" x14ac:dyDescent="0.45">
      <c r="A101" s="10" t="s">
        <v>113</v>
      </c>
      <c r="B101" s="7">
        <v>2.9999999999999997E-4</v>
      </c>
      <c r="C101" s="12" t="s">
        <v>330</v>
      </c>
    </row>
    <row r="102" spans="1:4" s="16" customFormat="1" ht="32" x14ac:dyDescent="0.45">
      <c r="A102" s="10" t="s">
        <v>84</v>
      </c>
      <c r="B102" s="11">
        <v>4.0000000000000001E-3</v>
      </c>
      <c r="C102" s="12" t="s">
        <v>331</v>
      </c>
      <c r="D102" s="9"/>
    </row>
    <row r="103" spans="1:4" s="16" customFormat="1" ht="32" x14ac:dyDescent="0.45">
      <c r="A103" s="10" t="s">
        <v>160</v>
      </c>
      <c r="B103" s="28">
        <f>0.001%</f>
        <v>1.0000000000000001E-5</v>
      </c>
      <c r="C103" s="12" t="s">
        <v>332</v>
      </c>
      <c r="D103" s="9"/>
    </row>
    <row r="104" spans="1:4" ht="32" x14ac:dyDescent="0.45">
      <c r="A104" s="10" t="s">
        <v>109</v>
      </c>
      <c r="B104" s="4">
        <v>2.6460000000000001E-2</v>
      </c>
      <c r="C104" s="12" t="s">
        <v>325</v>
      </c>
    </row>
    <row r="105" spans="1:4" x14ac:dyDescent="0.45">
      <c r="A105" s="10" t="s">
        <v>76</v>
      </c>
      <c r="B105" s="7">
        <v>2.0999999999999999E-3</v>
      </c>
      <c r="C105" s="12" t="s">
        <v>330</v>
      </c>
    </row>
    <row r="106" spans="1:4" ht="32" x14ac:dyDescent="0.45">
      <c r="A106" s="10" t="s">
        <v>286</v>
      </c>
      <c r="B106" s="4">
        <f>51.8%*8.88%</f>
        <v>4.5998400000000002E-2</v>
      </c>
      <c r="C106" t="s">
        <v>333</v>
      </c>
    </row>
    <row r="107" spans="1:4" x14ac:dyDescent="0.45">
      <c r="A107" s="10" t="s">
        <v>157</v>
      </c>
      <c r="B107" s="20">
        <f>0.003%</f>
        <v>3.0000000000000001E-5</v>
      </c>
      <c r="C107" s="12" t="s">
        <v>332</v>
      </c>
    </row>
    <row r="108" spans="1:4" s="16" customFormat="1" ht="32" x14ac:dyDescent="0.45">
      <c r="A108" s="10" t="s">
        <v>65</v>
      </c>
      <c r="B108" s="11">
        <f>(86.65%+86.9%+89.65%+92.4%+93.69%)/5</f>
        <v>0.89857999999999993</v>
      </c>
      <c r="C108" s="17" t="s">
        <v>66</v>
      </c>
      <c r="D108" s="9"/>
    </row>
    <row r="109" spans="1:4" s="16" customFormat="1" ht="32" x14ac:dyDescent="0.45">
      <c r="A109" s="10" t="s">
        <v>85</v>
      </c>
      <c r="B109" s="11">
        <f>2%+6%</f>
        <v>0.08</v>
      </c>
      <c r="C109" s="12" t="s">
        <v>331</v>
      </c>
      <c r="D109" s="9"/>
    </row>
    <row r="110" spans="1:4" s="16" customFormat="1" ht="32" x14ac:dyDescent="0.45">
      <c r="A110" s="10" t="s">
        <v>156</v>
      </c>
      <c r="B110" s="11">
        <v>2.5300000000000001E-3</v>
      </c>
      <c r="C110" s="12" t="s">
        <v>332</v>
      </c>
      <c r="D110" s="9"/>
    </row>
    <row r="111" spans="1:4" ht="48" x14ac:dyDescent="0.45">
      <c r="A111" s="10" t="s">
        <v>86</v>
      </c>
      <c r="B111" s="11">
        <f>41%*1.92%</f>
        <v>7.8719999999999988E-3</v>
      </c>
      <c r="C111" s="1" t="s">
        <v>406</v>
      </c>
    </row>
    <row r="112" spans="1:4" x14ac:dyDescent="0.45">
      <c r="A112" s="10" t="s">
        <v>227</v>
      </c>
      <c r="B112" s="11">
        <f>(5%+20%)/2</f>
        <v>0.125</v>
      </c>
      <c r="C112" s="12" t="s">
        <v>334</v>
      </c>
    </row>
    <row r="113" spans="1:7" ht="32" x14ac:dyDescent="0.45">
      <c r="A113" s="10" t="s">
        <v>307</v>
      </c>
      <c r="B113" s="11">
        <f>7%</f>
        <v>7.0000000000000007E-2</v>
      </c>
      <c r="C113" s="1" t="s">
        <v>407</v>
      </c>
    </row>
    <row r="114" spans="1:7" x14ac:dyDescent="0.45">
      <c r="A114" s="10" t="s">
        <v>69</v>
      </c>
      <c r="B114" s="4">
        <f>(2.9%+1.5%)*(12%+13%+5%+23%+20%)</f>
        <v>3.2119999999999996E-2</v>
      </c>
      <c r="C114" s="12" t="s">
        <v>320</v>
      </c>
    </row>
    <row r="115" spans="1:7" x14ac:dyDescent="0.45">
      <c r="A115" s="10" t="s">
        <v>155</v>
      </c>
      <c r="B115" s="4">
        <f>4.41%</f>
        <v>4.41E-2</v>
      </c>
      <c r="C115" s="12" t="s">
        <v>332</v>
      </c>
    </row>
    <row r="116" spans="1:7" ht="32" x14ac:dyDescent="0.45">
      <c r="A116" s="10" t="s">
        <v>308</v>
      </c>
      <c r="B116" s="4">
        <v>7.0000000000000007E-2</v>
      </c>
      <c r="C116" s="1" t="s">
        <v>407</v>
      </c>
    </row>
    <row r="117" spans="1:7" ht="32" x14ac:dyDescent="0.45">
      <c r="A117" s="10" t="s">
        <v>287</v>
      </c>
      <c r="B117" s="11">
        <v>1.4999999999999999E-2</v>
      </c>
      <c r="C117" s="12" t="s">
        <v>335</v>
      </c>
    </row>
    <row r="118" spans="1:7" ht="32" x14ac:dyDescent="0.45">
      <c r="A118" s="10" t="s">
        <v>117</v>
      </c>
      <c r="B118" s="25">
        <f>3.3/300000</f>
        <v>1.1E-5</v>
      </c>
      <c r="C118" s="12" t="s">
        <v>336</v>
      </c>
      <c r="G118" s="4"/>
    </row>
    <row r="119" spans="1:7" ht="32" x14ac:dyDescent="0.45">
      <c r="A119" s="10" t="s">
        <v>122</v>
      </c>
      <c r="B119" s="26">
        <f>4.9/1800000</f>
        <v>2.7222222222222224E-6</v>
      </c>
      <c r="C119" s="12" t="s">
        <v>336</v>
      </c>
      <c r="G119" s="4"/>
    </row>
    <row r="120" spans="1:7" x14ac:dyDescent="0.45">
      <c r="A120" s="10" t="s">
        <v>158</v>
      </c>
      <c r="B120" s="4">
        <f>5.16%+12.1%+0.042%</f>
        <v>0.17302000000000001</v>
      </c>
      <c r="C120" s="12" t="s">
        <v>332</v>
      </c>
    </row>
    <row r="121" spans="1:7" ht="32" x14ac:dyDescent="0.45">
      <c r="A121" s="10" t="s">
        <v>163</v>
      </c>
      <c r="B121" s="4">
        <f>(2100+270+60+1.6+0.75+0.1+0.03)/2706000</f>
        <v>8.9892091648189211E-4</v>
      </c>
      <c r="C121" s="12" t="s">
        <v>336</v>
      </c>
      <c r="D121" t="s">
        <v>409</v>
      </c>
    </row>
    <row r="122" spans="1:7" ht="32" x14ac:dyDescent="0.45">
      <c r="A122" s="10" t="s">
        <v>118</v>
      </c>
      <c r="B122" s="7">
        <f>(16+1.2+1+0.68+0.096+0.34+0.019)/300000</f>
        <v>6.4449999999999994E-5</v>
      </c>
      <c r="C122" s="12" t="s">
        <v>336</v>
      </c>
      <c r="G122" s="4"/>
    </row>
    <row r="123" spans="1:7" ht="32" x14ac:dyDescent="0.45">
      <c r="A123" s="10" t="s">
        <v>119</v>
      </c>
      <c r="B123" s="25">
        <f>(3.2+0.06+0.2+1.5)/300000</f>
        <v>1.6533333333333337E-5</v>
      </c>
      <c r="C123" s="12" t="s">
        <v>336</v>
      </c>
      <c r="G123" s="4"/>
    </row>
    <row r="124" spans="1:7" x14ac:dyDescent="0.45">
      <c r="A124" s="10" t="s">
        <v>123</v>
      </c>
      <c r="B124" s="26">
        <f>(110+8.1+6.8+4.5+2.3+0.63+0.13)/1800000</f>
        <v>7.3588888888888874E-5</v>
      </c>
      <c r="C124" s="12" t="s">
        <v>336</v>
      </c>
      <c r="G124" s="4"/>
    </row>
    <row r="125" spans="1:7" x14ac:dyDescent="0.45">
      <c r="A125" s="10" t="s">
        <v>124</v>
      </c>
      <c r="B125" s="26">
        <f>(4.8+0.09+0.3+2.3)/1800000</f>
        <v>4.1611111111111104E-6</v>
      </c>
      <c r="C125" s="12" t="s">
        <v>336</v>
      </c>
      <c r="G125" s="4"/>
    </row>
    <row r="126" spans="1:7" ht="32" x14ac:dyDescent="0.45">
      <c r="A126" s="10" t="s">
        <v>103</v>
      </c>
      <c r="B126" s="4">
        <f>(24.1+1.4+4)/96</f>
        <v>0.30729166666666669</v>
      </c>
      <c r="C126" t="s">
        <v>337</v>
      </c>
    </row>
    <row r="127" spans="1:7" ht="32" x14ac:dyDescent="0.45">
      <c r="A127" s="10" t="s">
        <v>111</v>
      </c>
      <c r="B127" s="4">
        <v>6.1399999999999996E-3</v>
      </c>
      <c r="C127" s="12" t="s">
        <v>325</v>
      </c>
    </row>
    <row r="128" spans="1:7" ht="32" x14ac:dyDescent="0.45">
      <c r="A128" s="10" t="s">
        <v>127</v>
      </c>
      <c r="B128" s="27">
        <f>40/2706000</f>
        <v>1.4781966001478197E-5</v>
      </c>
      <c r="C128" s="12" t="s">
        <v>336</v>
      </c>
      <c r="D128" t="s">
        <v>408</v>
      </c>
    </row>
    <row r="129" spans="1:7" ht="32" x14ac:dyDescent="0.45">
      <c r="A129" s="10" t="s">
        <v>114</v>
      </c>
      <c r="B129" s="7">
        <v>2.9999999999999997E-4</v>
      </c>
      <c r="C129" t="s">
        <v>338</v>
      </c>
      <c r="G129" s="4"/>
    </row>
    <row r="130" spans="1:7" ht="32" x14ac:dyDescent="0.45">
      <c r="A130" s="10" t="s">
        <v>115</v>
      </c>
      <c r="B130" s="7">
        <f>82/300000</f>
        <v>2.7333333333333333E-4</v>
      </c>
      <c r="C130" s="12" t="s">
        <v>336</v>
      </c>
      <c r="G130" s="4"/>
    </row>
    <row r="131" spans="1:7" ht="32" x14ac:dyDescent="0.45">
      <c r="A131" s="10" t="s">
        <v>120</v>
      </c>
      <c r="B131" s="25">
        <f>260/1800000</f>
        <v>1.4444444444444444E-4</v>
      </c>
      <c r="C131" s="12" t="s">
        <v>336</v>
      </c>
      <c r="G131" s="4"/>
    </row>
    <row r="132" spans="1:7" ht="32" x14ac:dyDescent="0.45">
      <c r="A132" s="10" t="s">
        <v>305</v>
      </c>
      <c r="B132" s="15">
        <v>7.0000000000000007E-2</v>
      </c>
      <c r="C132" s="12" t="s">
        <v>339</v>
      </c>
    </row>
    <row r="133" spans="1:7" ht="32" x14ac:dyDescent="0.45">
      <c r="A133" s="10" t="s">
        <v>159</v>
      </c>
      <c r="B133" s="28">
        <f>0.001%</f>
        <v>1.0000000000000001E-5</v>
      </c>
      <c r="C133" s="12" t="s">
        <v>332</v>
      </c>
    </row>
    <row r="134" spans="1:7" ht="32" x14ac:dyDescent="0.45">
      <c r="A134" s="10" t="s">
        <v>75</v>
      </c>
      <c r="B134" s="7">
        <v>8.9999999999999993E-3</v>
      </c>
      <c r="C134" s="12" t="s">
        <v>327</v>
      </c>
    </row>
    <row r="135" spans="1:7" x14ac:dyDescent="0.45">
      <c r="A135" s="22" t="s">
        <v>291</v>
      </c>
      <c r="B135" s="4">
        <f>(0.45%+0.9%)/2</f>
        <v>6.7500000000000008E-3</v>
      </c>
      <c r="C135" s="12" t="s">
        <v>340</v>
      </c>
    </row>
    <row r="136" spans="1:7" ht="32" x14ac:dyDescent="0.45">
      <c r="A136" s="10" t="s">
        <v>306</v>
      </c>
      <c r="B136" s="15">
        <v>0.16</v>
      </c>
      <c r="C136" s="12" t="s">
        <v>339</v>
      </c>
    </row>
    <row r="137" spans="1:7" ht="32" x14ac:dyDescent="0.45">
      <c r="A137" s="10" t="s">
        <v>128</v>
      </c>
      <c r="B137" s="27">
        <f>44/2706000</f>
        <v>1.6260162601626015E-5</v>
      </c>
      <c r="C137" s="12" t="s">
        <v>336</v>
      </c>
      <c r="D137" t="s">
        <v>409</v>
      </c>
    </row>
    <row r="138" spans="1:7" ht="32" x14ac:dyDescent="0.45">
      <c r="A138" s="10" t="s">
        <v>116</v>
      </c>
      <c r="B138" s="35">
        <f>40/300000</f>
        <v>1.3333333333333334E-4</v>
      </c>
      <c r="C138" s="12" t="s">
        <v>336</v>
      </c>
      <c r="G138" s="4"/>
    </row>
    <row r="139" spans="1:7" ht="32" x14ac:dyDescent="0.45">
      <c r="A139" s="10" t="s">
        <v>121</v>
      </c>
      <c r="B139" s="35">
        <f>44/1800000</f>
        <v>2.4444444444444445E-5</v>
      </c>
      <c r="C139" s="12" t="s">
        <v>336</v>
      </c>
      <c r="G139" s="4"/>
    </row>
    <row r="140" spans="1:7" x14ac:dyDescent="0.45">
      <c r="A140" s="10" t="s">
        <v>129</v>
      </c>
      <c r="B140" s="20">
        <v>5.0000000000000002E-5</v>
      </c>
      <c r="C140" s="12" t="s">
        <v>331</v>
      </c>
    </row>
    <row r="141" spans="1:7" ht="32" x14ac:dyDescent="0.45">
      <c r="A141" s="10" t="s">
        <v>207</v>
      </c>
      <c r="B141" s="7">
        <v>5.0000000000000001E-4</v>
      </c>
      <c r="C141" s="12" t="s">
        <v>327</v>
      </c>
      <c r="D141" s="8"/>
    </row>
    <row r="142" spans="1:7" ht="32" x14ac:dyDescent="0.45">
      <c r="A142" s="10" t="s">
        <v>298</v>
      </c>
      <c r="B142" s="11">
        <v>3.0000000000000001E-3</v>
      </c>
      <c r="C142" s="12" t="s">
        <v>341</v>
      </c>
      <c r="D142" s="8"/>
    </row>
    <row r="143" spans="1:7" ht="32" x14ac:dyDescent="0.45">
      <c r="A143" s="10" t="s">
        <v>112</v>
      </c>
      <c r="B143" s="4">
        <v>0.35668</v>
      </c>
      <c r="C143" s="12" t="s">
        <v>325</v>
      </c>
    </row>
    <row r="144" spans="1:7" ht="32" x14ac:dyDescent="0.45">
      <c r="A144" s="10" t="s">
        <v>125</v>
      </c>
      <c r="B144" s="4">
        <v>6.9999999999999999E-4</v>
      </c>
      <c r="C144" s="12" t="s">
        <v>342</v>
      </c>
    </row>
    <row r="145" spans="1:4" x14ac:dyDescent="0.45">
      <c r="A145" s="10" t="s">
        <v>74</v>
      </c>
      <c r="B145" s="7">
        <v>0.254</v>
      </c>
      <c r="C145" s="12" t="s">
        <v>327</v>
      </c>
      <c r="D145" t="s">
        <v>78</v>
      </c>
    </row>
    <row r="146" spans="1:4" ht="32" x14ac:dyDescent="0.45">
      <c r="A146" s="10" t="s">
        <v>79</v>
      </c>
      <c r="B146" s="7">
        <f>65%*55.4%+30%*49.61%</f>
        <v>0.50892999999999999</v>
      </c>
      <c r="C146" s="12" t="s">
        <v>328</v>
      </c>
      <c r="D146" t="s">
        <v>343</v>
      </c>
    </row>
    <row r="147" spans="1:4" x14ac:dyDescent="0.45">
      <c r="A147" s="10" t="s">
        <v>87</v>
      </c>
      <c r="B147" s="4">
        <f>15%</f>
        <v>0.15</v>
      </c>
      <c r="C147" s="12" t="s">
        <v>331</v>
      </c>
    </row>
    <row r="148" spans="1:4" ht="32" x14ac:dyDescent="0.45">
      <c r="A148" s="10" t="s">
        <v>138</v>
      </c>
      <c r="B148" s="4">
        <f>99.1%*50%</f>
        <v>0.4955</v>
      </c>
      <c r="C148" s="12" t="s">
        <v>344</v>
      </c>
      <c r="D148" t="s">
        <v>137</v>
      </c>
    </row>
    <row r="149" spans="1:4" x14ac:dyDescent="0.45">
      <c r="A149" s="22" t="s">
        <v>300</v>
      </c>
      <c r="B149" s="4">
        <f>(0.2%+0.6%)/2</f>
        <v>4.0000000000000001E-3</v>
      </c>
      <c r="C149" s="12" t="s">
        <v>340</v>
      </c>
    </row>
    <row r="150" spans="1:4" ht="32" x14ac:dyDescent="0.45">
      <c r="A150" s="10" t="s">
        <v>126</v>
      </c>
      <c r="B150" s="4">
        <f>1.7/2706</f>
        <v>6.2823355506282335E-4</v>
      </c>
      <c r="C150" s="12" t="s">
        <v>336</v>
      </c>
      <c r="D150" t="s">
        <v>409</v>
      </c>
    </row>
    <row r="151" spans="1:4" ht="32" x14ac:dyDescent="0.45">
      <c r="A151" s="10" t="s">
        <v>88</v>
      </c>
      <c r="B151" s="11">
        <f>22%*10%*8.6%</f>
        <v>1.892E-3</v>
      </c>
      <c r="C151" s="1" t="s">
        <v>410</v>
      </c>
    </row>
    <row r="152" spans="1:4" ht="32" x14ac:dyDescent="0.45">
      <c r="A152" s="10" t="s">
        <v>161</v>
      </c>
      <c r="B152" s="11">
        <f>0.01%</f>
        <v>1E-4</v>
      </c>
      <c r="C152" s="12" t="s">
        <v>332</v>
      </c>
    </row>
    <row r="153" spans="1:4" x14ac:dyDescent="0.45">
      <c r="A153" s="10" t="s">
        <v>77</v>
      </c>
      <c r="B153" s="7">
        <v>1E-4</v>
      </c>
      <c r="C153" s="12" t="s">
        <v>330</v>
      </c>
    </row>
    <row r="154" spans="1:4" ht="32" x14ac:dyDescent="0.45">
      <c r="A154" s="10" t="s">
        <v>89</v>
      </c>
      <c r="B154" s="4">
        <v>0.03</v>
      </c>
      <c r="C154" s="12" t="s">
        <v>331</v>
      </c>
    </row>
    <row r="155" spans="1:4" x14ac:dyDescent="0.45">
      <c r="A155" s="22" t="s">
        <v>301</v>
      </c>
      <c r="B155" s="4">
        <f>(0%+0.85%+1.65%+1.64%)/4</f>
        <v>1.035E-2</v>
      </c>
      <c r="C155" s="12" t="s">
        <v>345</v>
      </c>
    </row>
    <row r="156" spans="1:4" ht="32" x14ac:dyDescent="0.45">
      <c r="A156" s="10" t="s">
        <v>162</v>
      </c>
      <c r="B156" s="20">
        <v>2.0000000000000002E-5</v>
      </c>
      <c r="C156" s="12" t="s">
        <v>332</v>
      </c>
    </row>
    <row r="157" spans="1:4" ht="32" x14ac:dyDescent="0.45">
      <c r="A157" s="10" t="s">
        <v>67</v>
      </c>
      <c r="B157" s="15">
        <f>B132</f>
        <v>7.0000000000000007E-2</v>
      </c>
      <c r="C157" s="1" t="s">
        <v>411</v>
      </c>
    </row>
    <row r="158" spans="1:4" ht="48" x14ac:dyDescent="0.45">
      <c r="A158" s="10" t="s">
        <v>131</v>
      </c>
      <c r="B158" s="11">
        <f>1100/135000*40%</f>
        <v>3.2592592592592591E-3</v>
      </c>
      <c r="C158" s="12" t="s">
        <v>346</v>
      </c>
      <c r="D158" t="s">
        <v>347</v>
      </c>
    </row>
    <row r="159" spans="1:4" ht="32" x14ac:dyDescent="0.45">
      <c r="A159" s="10" t="s">
        <v>164</v>
      </c>
      <c r="B159" s="11">
        <f>1100/135000*60%</f>
        <v>4.8888888888888879E-3</v>
      </c>
      <c r="C159" s="12" t="s">
        <v>346</v>
      </c>
      <c r="D159" t="s">
        <v>347</v>
      </c>
    </row>
    <row r="160" spans="1:4" ht="32" x14ac:dyDescent="0.45">
      <c r="A160" s="10" t="s">
        <v>130</v>
      </c>
      <c r="B160" s="11">
        <f>1100/117000*40%</f>
        <v>3.7606837606837607E-3</v>
      </c>
      <c r="C160" s="12" t="s">
        <v>346</v>
      </c>
      <c r="D160" t="s">
        <v>348</v>
      </c>
    </row>
    <row r="161" spans="1:4" ht="32" x14ac:dyDescent="0.45">
      <c r="A161" s="10" t="s">
        <v>165</v>
      </c>
      <c r="B161" s="11">
        <f>1100/117000*60%</f>
        <v>5.6410256410256406E-3</v>
      </c>
      <c r="C161" s="12" t="s">
        <v>346</v>
      </c>
      <c r="D161" t="s">
        <v>348</v>
      </c>
    </row>
    <row r="162" spans="1:4" ht="32" x14ac:dyDescent="0.45">
      <c r="A162" s="10" t="s">
        <v>132</v>
      </c>
      <c r="B162" s="11">
        <f>500/2706000</f>
        <v>1.8477457501847746E-4</v>
      </c>
      <c r="C162" s="12" t="s">
        <v>346</v>
      </c>
      <c r="D162" t="s">
        <v>409</v>
      </c>
    </row>
    <row r="163" spans="1:4" ht="32" x14ac:dyDescent="0.45">
      <c r="A163" s="10" t="s">
        <v>133</v>
      </c>
      <c r="B163" s="11">
        <f>800/8795000</f>
        <v>9.0960773166571913E-5</v>
      </c>
      <c r="C163" s="12" t="s">
        <v>346</v>
      </c>
      <c r="D163" t="s">
        <v>412</v>
      </c>
    </row>
    <row r="164" spans="1:4" ht="32" x14ac:dyDescent="0.45">
      <c r="A164" s="10" t="s">
        <v>134</v>
      </c>
      <c r="B164" s="11">
        <f>900/4711000</f>
        <v>1.91042241562301E-4</v>
      </c>
      <c r="C164" s="12" t="s">
        <v>346</v>
      </c>
      <c r="D164" t="s">
        <v>413</v>
      </c>
    </row>
    <row r="165" spans="1:4" ht="32" x14ac:dyDescent="0.45">
      <c r="A165" s="10" t="s">
        <v>135</v>
      </c>
      <c r="B165" s="11">
        <f>900/5167000</f>
        <v>1.7418231081865686E-4</v>
      </c>
      <c r="C165" s="12" t="s">
        <v>346</v>
      </c>
      <c r="D165" t="s">
        <v>414</v>
      </c>
    </row>
    <row r="166" spans="1:4" ht="32" x14ac:dyDescent="0.45">
      <c r="A166" s="10" t="s">
        <v>136</v>
      </c>
      <c r="B166" s="28">
        <f>900/20779000</f>
        <v>4.3312960200202126E-5</v>
      </c>
      <c r="C166" s="12" t="s">
        <v>346</v>
      </c>
      <c r="D166" t="s">
        <v>415</v>
      </c>
    </row>
    <row r="167" spans="1:4" ht="32" x14ac:dyDescent="0.45">
      <c r="A167" s="10" t="s">
        <v>256</v>
      </c>
      <c r="B167" s="20">
        <f>900/34094000</f>
        <v>2.6397606617000059E-5</v>
      </c>
      <c r="C167" s="12" t="s">
        <v>346</v>
      </c>
      <c r="D167" t="s">
        <v>416</v>
      </c>
    </row>
    <row r="168" spans="1:4" ht="32" x14ac:dyDescent="0.45">
      <c r="A168" s="10" t="s">
        <v>257</v>
      </c>
      <c r="B168" s="20">
        <f>900/15050000</f>
        <v>5.9800664451827242E-5</v>
      </c>
      <c r="C168" s="12" t="s">
        <v>346</v>
      </c>
      <c r="D168" t="s">
        <v>417</v>
      </c>
    </row>
    <row r="169" spans="1:4" ht="32" x14ac:dyDescent="0.45">
      <c r="A169" s="10" t="s">
        <v>302</v>
      </c>
      <c r="B169" s="4">
        <v>0.26066</v>
      </c>
      <c r="C169" s="12" t="s">
        <v>325</v>
      </c>
    </row>
    <row r="170" spans="1:4" ht="32" x14ac:dyDescent="0.45">
      <c r="A170" s="10" t="s">
        <v>303</v>
      </c>
      <c r="B170" s="7">
        <v>3.6999999999999998E-2</v>
      </c>
      <c r="C170" s="12" t="s">
        <v>327</v>
      </c>
    </row>
    <row r="171" spans="1:4" ht="32" x14ac:dyDescent="0.45">
      <c r="A171" s="10" t="s">
        <v>304</v>
      </c>
      <c r="B171" s="4">
        <f>65%*8.57%+30%*2.99%</f>
        <v>6.4674999999999996E-2</v>
      </c>
      <c r="C171" s="12" t="s">
        <v>349</v>
      </c>
    </row>
    <row r="172" spans="1:4" x14ac:dyDescent="0.45">
      <c r="A172" s="37" t="s">
        <v>168</v>
      </c>
      <c r="B172" s="37"/>
      <c r="C172" s="37"/>
      <c r="D172" s="37"/>
    </row>
    <row r="173" spans="1:4" ht="32" x14ac:dyDescent="0.45">
      <c r="A173" s="10" t="s">
        <v>169</v>
      </c>
      <c r="B173" s="5">
        <v>0.8</v>
      </c>
    </row>
    <row r="174" spans="1:4" ht="32" x14ac:dyDescent="0.45">
      <c r="A174" s="10" t="s">
        <v>170</v>
      </c>
      <c r="B174" s="5">
        <v>0.2</v>
      </c>
      <c r="C174" t="s">
        <v>186</v>
      </c>
    </row>
    <row r="175" spans="1:4" ht="32" x14ac:dyDescent="0.45">
      <c r="A175" s="10" t="s">
        <v>171</v>
      </c>
      <c r="B175" s="4">
        <v>0.65</v>
      </c>
    </row>
    <row r="176" spans="1:4" ht="32" x14ac:dyDescent="0.45">
      <c r="A176" s="10" t="s">
        <v>172</v>
      </c>
      <c r="B176" s="4">
        <v>0.35</v>
      </c>
      <c r="C176" t="s">
        <v>186</v>
      </c>
    </row>
    <row r="177" spans="1:4" ht="48" x14ac:dyDescent="0.45">
      <c r="A177" s="10" t="s">
        <v>173</v>
      </c>
      <c r="B177" s="4">
        <v>0.17499999999999999</v>
      </c>
      <c r="C177" t="s">
        <v>186</v>
      </c>
    </row>
    <row r="178" spans="1:4" ht="32" x14ac:dyDescent="0.45">
      <c r="A178" s="10" t="s">
        <v>174</v>
      </c>
      <c r="B178" s="4">
        <v>1</v>
      </c>
      <c r="C178" s="12"/>
    </row>
    <row r="179" spans="1:4" ht="32" x14ac:dyDescent="0.45">
      <c r="A179" s="3" t="s">
        <v>175</v>
      </c>
      <c r="B179" s="4">
        <f>100%-B180</f>
        <v>0.67999999999999994</v>
      </c>
    </row>
    <row r="180" spans="1:4" ht="32" x14ac:dyDescent="0.45">
      <c r="A180" s="3" t="s">
        <v>176</v>
      </c>
      <c r="B180" s="4">
        <v>0.32</v>
      </c>
      <c r="C180" t="s">
        <v>186</v>
      </c>
    </row>
    <row r="181" spans="1:4" ht="48" x14ac:dyDescent="0.45">
      <c r="A181" s="10" t="s">
        <v>177</v>
      </c>
      <c r="B181" s="4">
        <f>100%-B182</f>
        <v>0.66999999999999993</v>
      </c>
      <c r="C181" s="1"/>
    </row>
    <row r="182" spans="1:4" ht="48" x14ac:dyDescent="0.45">
      <c r="A182" s="10" t="s">
        <v>178</v>
      </c>
      <c r="B182" s="4">
        <v>0.33</v>
      </c>
      <c r="C182" t="s">
        <v>186</v>
      </c>
    </row>
    <row r="183" spans="1:4" ht="48" x14ac:dyDescent="0.45">
      <c r="A183" s="10" t="s">
        <v>179</v>
      </c>
      <c r="B183" s="4">
        <v>0.2</v>
      </c>
      <c r="C183" t="s">
        <v>186</v>
      </c>
    </row>
    <row r="184" spans="1:4" ht="32" x14ac:dyDescent="0.45">
      <c r="A184" s="10" t="s">
        <v>180</v>
      </c>
      <c r="B184" s="4">
        <f>100%-B185</f>
        <v>0.48</v>
      </c>
      <c r="C184" s="1"/>
    </row>
    <row r="185" spans="1:4" ht="32" x14ac:dyDescent="0.45">
      <c r="A185" s="10" t="s">
        <v>181</v>
      </c>
      <c r="B185" s="4">
        <v>0.52</v>
      </c>
      <c r="C185" t="s">
        <v>186</v>
      </c>
    </row>
    <row r="186" spans="1:4" ht="32" x14ac:dyDescent="0.45">
      <c r="A186" s="10" t="s">
        <v>182</v>
      </c>
      <c r="B186" s="4">
        <v>1</v>
      </c>
      <c r="C186" s="1"/>
    </row>
    <row r="187" spans="1:4" ht="48" x14ac:dyDescent="0.45">
      <c r="A187" s="10" t="s">
        <v>187</v>
      </c>
      <c r="B187" s="4">
        <v>0</v>
      </c>
      <c r="C187" t="s">
        <v>186</v>
      </c>
    </row>
    <row r="188" spans="1:4" ht="32" x14ac:dyDescent="0.45">
      <c r="A188" s="10" t="s">
        <v>183</v>
      </c>
      <c r="B188" s="4">
        <f>100%-B189</f>
        <v>0.54</v>
      </c>
    </row>
    <row r="189" spans="1:4" ht="48" x14ac:dyDescent="0.45">
      <c r="A189" s="10" t="s">
        <v>184</v>
      </c>
      <c r="B189" s="4">
        <v>0.46</v>
      </c>
      <c r="C189" t="s">
        <v>186</v>
      </c>
    </row>
    <row r="190" spans="1:4" x14ac:dyDescent="0.45">
      <c r="A190" s="10"/>
      <c r="B190" s="4"/>
    </row>
    <row r="191" spans="1:4" x14ac:dyDescent="0.45">
      <c r="A191" s="38" t="s">
        <v>188</v>
      </c>
      <c r="B191" s="38"/>
      <c r="C191" s="38"/>
      <c r="D191" s="38"/>
    </row>
    <row r="192" spans="1:4" ht="32" x14ac:dyDescent="0.45">
      <c r="A192" s="10" t="s">
        <v>189</v>
      </c>
      <c r="B192" s="4">
        <v>1</v>
      </c>
    </row>
    <row r="193" spans="1:4" ht="32" x14ac:dyDescent="0.45">
      <c r="A193" s="10" t="s">
        <v>190</v>
      </c>
      <c r="B193" s="4">
        <v>1</v>
      </c>
    </row>
    <row r="194" spans="1:4" ht="32" x14ac:dyDescent="0.45">
      <c r="A194" s="10" t="s">
        <v>191</v>
      </c>
      <c r="B194" s="4">
        <f>100%-B177</f>
        <v>0.82499999999999996</v>
      </c>
      <c r="C194" t="s">
        <v>186</v>
      </c>
      <c r="D194" s="1" t="s">
        <v>418</v>
      </c>
    </row>
    <row r="195" spans="1:4" ht="32" x14ac:dyDescent="0.45">
      <c r="A195" s="10" t="s">
        <v>192</v>
      </c>
      <c r="B195" s="4">
        <v>1</v>
      </c>
    </row>
    <row r="196" spans="1:4" ht="32" x14ac:dyDescent="0.45">
      <c r="A196" s="10" t="s">
        <v>193</v>
      </c>
      <c r="B196" s="4">
        <v>1</v>
      </c>
    </row>
    <row r="197" spans="1:4" ht="32" x14ac:dyDescent="0.45">
      <c r="A197" s="10" t="s">
        <v>194</v>
      </c>
      <c r="B197" s="4">
        <v>1</v>
      </c>
    </row>
    <row r="198" spans="1:4" ht="32" x14ac:dyDescent="0.45">
      <c r="A198" s="22" t="s">
        <v>203</v>
      </c>
      <c r="B198" s="4">
        <f>100%-37.5%</f>
        <v>0.625</v>
      </c>
      <c r="C198" t="s">
        <v>186</v>
      </c>
      <c r="D198" s="1" t="s">
        <v>419</v>
      </c>
    </row>
    <row r="199" spans="1:4" ht="48" x14ac:dyDescent="0.45">
      <c r="A199" s="10" t="s">
        <v>195</v>
      </c>
      <c r="B199" s="4">
        <v>0.95</v>
      </c>
      <c r="C199" t="s">
        <v>186</v>
      </c>
      <c r="D199" s="1" t="s">
        <v>420</v>
      </c>
    </row>
    <row r="200" spans="1:4" ht="32" x14ac:dyDescent="0.45">
      <c r="A200" s="22" t="s">
        <v>206</v>
      </c>
      <c r="B200" s="4">
        <f>100%-37.5%</f>
        <v>0.625</v>
      </c>
      <c r="C200" t="s">
        <v>186</v>
      </c>
      <c r="D200" s="1" t="s">
        <v>421</v>
      </c>
    </row>
    <row r="201" spans="1:4" ht="32" x14ac:dyDescent="0.45">
      <c r="A201" s="10" t="s">
        <v>196</v>
      </c>
      <c r="B201" s="4">
        <v>1</v>
      </c>
    </row>
    <row r="202" spans="1:4" ht="48" x14ac:dyDescent="0.45">
      <c r="A202" s="10" t="s">
        <v>197</v>
      </c>
      <c r="B202" s="4">
        <v>1</v>
      </c>
    </row>
    <row r="203" spans="1:4" ht="32" x14ac:dyDescent="0.45">
      <c r="A203" s="10" t="s">
        <v>198</v>
      </c>
      <c r="B203" s="4">
        <v>0.5</v>
      </c>
    </row>
    <row r="204" spans="1:4" ht="48" x14ac:dyDescent="0.45">
      <c r="A204" s="10" t="s">
        <v>208</v>
      </c>
      <c r="B204" s="4">
        <v>1</v>
      </c>
    </row>
    <row r="205" spans="1:4" ht="32" x14ac:dyDescent="0.45">
      <c r="A205" s="10" t="s">
        <v>199</v>
      </c>
      <c r="B205" s="4">
        <v>1</v>
      </c>
    </row>
    <row r="206" spans="1:4" ht="32" x14ac:dyDescent="0.45">
      <c r="A206" s="10" t="s">
        <v>299</v>
      </c>
      <c r="B206" s="4">
        <v>1</v>
      </c>
    </row>
    <row r="207" spans="1:4" ht="32" x14ac:dyDescent="0.45">
      <c r="A207" s="10" t="s">
        <v>200</v>
      </c>
      <c r="B207" s="4">
        <v>0.8</v>
      </c>
    </row>
    <row r="208" spans="1:4" ht="32" x14ac:dyDescent="0.45">
      <c r="A208" s="10" t="s">
        <v>201</v>
      </c>
      <c r="B208" s="4">
        <v>1</v>
      </c>
    </row>
    <row r="209" spans="1:2" ht="32" x14ac:dyDescent="0.45">
      <c r="A209" s="10" t="s">
        <v>202</v>
      </c>
      <c r="B209" s="4">
        <v>1</v>
      </c>
    </row>
    <row r="210" spans="1:2" ht="32" x14ac:dyDescent="0.45">
      <c r="A210" s="10" t="s">
        <v>204</v>
      </c>
      <c r="B210" s="4">
        <v>1</v>
      </c>
    </row>
    <row r="211" spans="1:2" ht="32" x14ac:dyDescent="0.45">
      <c r="A211" s="10" t="s">
        <v>205</v>
      </c>
      <c r="B211" s="4">
        <v>1</v>
      </c>
    </row>
    <row r="214" spans="1:2" x14ac:dyDescent="0.45">
      <c r="A214" s="36" t="s">
        <v>398</v>
      </c>
    </row>
    <row r="215" spans="1:2" x14ac:dyDescent="0.45">
      <c r="A215" t="s">
        <v>350</v>
      </c>
    </row>
    <row r="216" spans="1:2" x14ac:dyDescent="0.45">
      <c r="A216" t="s">
        <v>351</v>
      </c>
    </row>
    <row r="217" spans="1:2" x14ac:dyDescent="0.45">
      <c r="A217" t="s">
        <v>352</v>
      </c>
    </row>
    <row r="218" spans="1:2" x14ac:dyDescent="0.45">
      <c r="A218" t="s">
        <v>353</v>
      </c>
    </row>
    <row r="219" spans="1:2" x14ac:dyDescent="0.45">
      <c r="A219" t="s">
        <v>354</v>
      </c>
    </row>
    <row r="220" spans="1:2" x14ac:dyDescent="0.45">
      <c r="A220" t="s">
        <v>355</v>
      </c>
    </row>
    <row r="221" spans="1:2" x14ac:dyDescent="0.45">
      <c r="A221" t="s">
        <v>356</v>
      </c>
    </row>
    <row r="222" spans="1:2" x14ac:dyDescent="0.45">
      <c r="A222" t="s">
        <v>357</v>
      </c>
    </row>
    <row r="223" spans="1:2" x14ac:dyDescent="0.45">
      <c r="A223" t="s">
        <v>358</v>
      </c>
    </row>
    <row r="224" spans="1:2" x14ac:dyDescent="0.45">
      <c r="A224" t="s">
        <v>359</v>
      </c>
    </row>
    <row r="225" spans="1:1" x14ac:dyDescent="0.45">
      <c r="A225" t="s">
        <v>360</v>
      </c>
    </row>
    <row r="226" spans="1:1" x14ac:dyDescent="0.45">
      <c r="A226" t="s">
        <v>361</v>
      </c>
    </row>
    <row r="227" spans="1:1" x14ac:dyDescent="0.45">
      <c r="A227" t="s">
        <v>362</v>
      </c>
    </row>
    <row r="228" spans="1:1" x14ac:dyDescent="0.45">
      <c r="A228" t="s">
        <v>363</v>
      </c>
    </row>
    <row r="229" spans="1:1" x14ac:dyDescent="0.45">
      <c r="A229" t="s">
        <v>364</v>
      </c>
    </row>
    <row r="230" spans="1:1" x14ac:dyDescent="0.45">
      <c r="A230" t="s">
        <v>365</v>
      </c>
    </row>
    <row r="231" spans="1:1" x14ac:dyDescent="0.45">
      <c r="A231" t="s">
        <v>366</v>
      </c>
    </row>
    <row r="232" spans="1:1" x14ac:dyDescent="0.45">
      <c r="A232" t="s">
        <v>367</v>
      </c>
    </row>
    <row r="233" spans="1:1" x14ac:dyDescent="0.45">
      <c r="A233" t="s">
        <v>368</v>
      </c>
    </row>
    <row r="234" spans="1:1" x14ac:dyDescent="0.45">
      <c r="A234" t="s">
        <v>369</v>
      </c>
    </row>
    <row r="235" spans="1:1" x14ac:dyDescent="0.45">
      <c r="A235" t="s">
        <v>370</v>
      </c>
    </row>
    <row r="236" spans="1:1" x14ac:dyDescent="0.45">
      <c r="A236" t="s">
        <v>371</v>
      </c>
    </row>
    <row r="237" spans="1:1" x14ac:dyDescent="0.45">
      <c r="A237" t="s">
        <v>372</v>
      </c>
    </row>
    <row r="238" spans="1:1" x14ac:dyDescent="0.45">
      <c r="A238" t="s">
        <v>373</v>
      </c>
    </row>
    <row r="239" spans="1:1" x14ac:dyDescent="0.45">
      <c r="A239" t="s">
        <v>374</v>
      </c>
    </row>
    <row r="240" spans="1:1" x14ac:dyDescent="0.45">
      <c r="A240" t="s">
        <v>375</v>
      </c>
    </row>
    <row r="241" spans="1:1" x14ac:dyDescent="0.45">
      <c r="A241" t="s">
        <v>376</v>
      </c>
    </row>
    <row r="242" spans="1:1" x14ac:dyDescent="0.45">
      <c r="A242" t="s">
        <v>377</v>
      </c>
    </row>
    <row r="243" spans="1:1" x14ac:dyDescent="0.45">
      <c r="A243" t="s">
        <v>378</v>
      </c>
    </row>
    <row r="244" spans="1:1" x14ac:dyDescent="0.45">
      <c r="A244" t="s">
        <v>379</v>
      </c>
    </row>
    <row r="245" spans="1:1" x14ac:dyDescent="0.45">
      <c r="A245" t="s">
        <v>380</v>
      </c>
    </row>
    <row r="246" spans="1:1" x14ac:dyDescent="0.45">
      <c r="A246" t="s">
        <v>381</v>
      </c>
    </row>
    <row r="247" spans="1:1" x14ac:dyDescent="0.45">
      <c r="A247" t="s">
        <v>382</v>
      </c>
    </row>
    <row r="248" spans="1:1" x14ac:dyDescent="0.45">
      <c r="A248" t="s">
        <v>383</v>
      </c>
    </row>
    <row r="249" spans="1:1" x14ac:dyDescent="0.45">
      <c r="A249" t="s">
        <v>384</v>
      </c>
    </row>
    <row r="250" spans="1:1" x14ac:dyDescent="0.45">
      <c r="A250" t="s">
        <v>385</v>
      </c>
    </row>
    <row r="251" spans="1:1" x14ac:dyDescent="0.45">
      <c r="A251" t="s">
        <v>386</v>
      </c>
    </row>
    <row r="252" spans="1:1" x14ac:dyDescent="0.45">
      <c r="A252" t="s">
        <v>387</v>
      </c>
    </row>
    <row r="253" spans="1:1" x14ac:dyDescent="0.45">
      <c r="A253" t="s">
        <v>388</v>
      </c>
    </row>
    <row r="254" spans="1:1" x14ac:dyDescent="0.45">
      <c r="A254" t="s">
        <v>389</v>
      </c>
    </row>
    <row r="255" spans="1:1" x14ac:dyDescent="0.45">
      <c r="A255" t="s">
        <v>390</v>
      </c>
    </row>
    <row r="256" spans="1:1" x14ac:dyDescent="0.45">
      <c r="A256" t="s">
        <v>391</v>
      </c>
    </row>
    <row r="257" spans="1:1" x14ac:dyDescent="0.45">
      <c r="A257" t="s">
        <v>392</v>
      </c>
    </row>
    <row r="258" spans="1:1" x14ac:dyDescent="0.45">
      <c r="A258" t="s">
        <v>393</v>
      </c>
    </row>
    <row r="259" spans="1:1" x14ac:dyDescent="0.45">
      <c r="A259" t="s">
        <v>399</v>
      </c>
    </row>
    <row r="260" spans="1:1" x14ac:dyDescent="0.45">
      <c r="A260" t="s">
        <v>394</v>
      </c>
    </row>
    <row r="261" spans="1:1" x14ac:dyDescent="0.45">
      <c r="A261" t="s">
        <v>395</v>
      </c>
    </row>
    <row r="262" spans="1:1" x14ac:dyDescent="0.45">
      <c r="A262" t="s">
        <v>396</v>
      </c>
    </row>
    <row r="263" spans="1:1" x14ac:dyDescent="0.45">
      <c r="A263" t="s">
        <v>397</v>
      </c>
    </row>
  </sheetData>
  <mergeCells count="7">
    <mergeCell ref="A172:D172"/>
    <mergeCell ref="A191:D191"/>
    <mergeCell ref="A6:D6"/>
    <mergeCell ref="A21:D21"/>
    <mergeCell ref="A70:D70"/>
    <mergeCell ref="A99:D99"/>
    <mergeCell ref="A85:D85"/>
  </mergeCell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6"/>
  <sheetViews>
    <sheetView topLeftCell="E37" workbookViewId="0">
      <selection activeCell="N51" sqref="N51"/>
    </sheetView>
  </sheetViews>
  <sheetFormatPr baseColWidth="10" defaultRowHeight="16" x14ac:dyDescent="0.45"/>
  <cols>
    <col min="1" max="1" width="19.7265625" customWidth="1"/>
    <col min="2" max="2" width="19.54296875" customWidth="1"/>
    <col min="3" max="3" width="6.453125" customWidth="1"/>
    <col min="4" max="4" width="27" customWidth="1"/>
    <col min="5" max="5" width="18.81640625" customWidth="1"/>
    <col min="6" max="6" width="4.54296875" customWidth="1"/>
    <col min="7" max="7" width="26.453125" customWidth="1"/>
    <col min="8" max="8" width="21.26953125" customWidth="1"/>
    <col min="9" max="9" width="6" customWidth="1"/>
    <col min="10" max="10" width="18.7265625" customWidth="1"/>
    <col min="11" max="11" width="18.54296875" customWidth="1"/>
    <col min="12" max="12" width="5.453125" customWidth="1"/>
    <col min="13" max="13" width="18.54296875" customWidth="1"/>
    <col min="14" max="14" width="17.1796875" customWidth="1"/>
    <col min="15" max="15" width="5.54296875" customWidth="1"/>
    <col min="16" max="16" width="20.7265625" customWidth="1"/>
    <col min="17" max="17" width="16.26953125" customWidth="1"/>
    <col min="18" max="18" width="5.26953125" customWidth="1"/>
    <col min="19" max="19" width="23.1796875" customWidth="1"/>
    <col min="20" max="20" width="18.26953125" customWidth="1"/>
  </cols>
  <sheetData>
    <row r="1" spans="1:20" x14ac:dyDescent="0.45">
      <c r="A1" t="s">
        <v>90</v>
      </c>
    </row>
    <row r="3" spans="1:20" x14ac:dyDescent="0.45">
      <c r="A3" s="2" t="s">
        <v>0</v>
      </c>
      <c r="B3" s="2" t="s">
        <v>91</v>
      </c>
      <c r="D3" s="2" t="s">
        <v>0</v>
      </c>
      <c r="E3" s="21" t="s">
        <v>91</v>
      </c>
      <c r="G3" s="2" t="s">
        <v>0</v>
      </c>
      <c r="H3" s="21" t="s">
        <v>91</v>
      </c>
      <c r="J3" s="2" t="s">
        <v>0</v>
      </c>
      <c r="K3" s="29" t="s">
        <v>91</v>
      </c>
      <c r="M3" s="2" t="s">
        <v>0</v>
      </c>
      <c r="N3" s="29" t="s">
        <v>91</v>
      </c>
      <c r="P3" s="2" t="s">
        <v>0</v>
      </c>
      <c r="Q3" s="21" t="s">
        <v>91</v>
      </c>
      <c r="S3" s="2" t="s">
        <v>0</v>
      </c>
      <c r="T3" s="21" t="s">
        <v>91</v>
      </c>
    </row>
    <row r="4" spans="1:20" x14ac:dyDescent="0.45">
      <c r="A4" s="37" t="s">
        <v>5</v>
      </c>
      <c r="B4" s="37"/>
      <c r="D4" s="37" t="s">
        <v>10</v>
      </c>
      <c r="E4" s="37"/>
      <c r="G4" s="37" t="s">
        <v>14</v>
      </c>
      <c r="H4" s="37"/>
      <c r="J4" s="37" t="s">
        <v>68</v>
      </c>
      <c r="K4" s="37"/>
      <c r="M4" s="37" t="s">
        <v>60</v>
      </c>
      <c r="N4" s="37"/>
      <c r="P4" s="37" t="s">
        <v>168</v>
      </c>
      <c r="Q4" s="37"/>
      <c r="S4" s="37" t="s">
        <v>188</v>
      </c>
      <c r="T4" s="37"/>
    </row>
    <row r="5" spans="1:20" ht="64" x14ac:dyDescent="0.45">
      <c r="A5" s="3" t="s">
        <v>92</v>
      </c>
      <c r="B5">
        <f>SUM([2]Sheet1!$C$2:$IC$2)*'Weight%'!B7</f>
        <v>1146436</v>
      </c>
      <c r="D5" s="30" t="s">
        <v>11</v>
      </c>
      <c r="E5" s="31">
        <f>$B$5*'Weight%'!B22</f>
        <v>104285.34677119725</v>
      </c>
      <c r="G5" s="10" t="s">
        <v>54</v>
      </c>
      <c r="H5" s="31">
        <f>(E5+E15)*'Weight%'!B71</f>
        <v>555045.42621068598</v>
      </c>
      <c r="J5" s="10" t="s">
        <v>218</v>
      </c>
      <c r="K5" s="31">
        <f>E9*'Weight%'!B86</f>
        <v>2698.1504162732199</v>
      </c>
      <c r="M5" s="10" t="s">
        <v>108</v>
      </c>
      <c r="N5" s="31">
        <f>E10*'Weight%'!B100</f>
        <v>1223.1929635463077</v>
      </c>
      <c r="P5" s="10" t="s">
        <v>169</v>
      </c>
      <c r="Q5" s="31">
        <f>(N5+N6+N7+N8+N10+N11)*'Weight%'!B173</f>
        <v>8962.3022875282331</v>
      </c>
      <c r="S5" s="10" t="s">
        <v>189</v>
      </c>
      <c r="T5" s="31">
        <f>Q5*'Weight%'!B192</f>
        <v>8962.3022875282331</v>
      </c>
    </row>
    <row r="6" spans="1:20" ht="48" x14ac:dyDescent="0.45">
      <c r="A6" t="s">
        <v>93</v>
      </c>
      <c r="B6">
        <f>SUM([3]Sheet1!$C$2:$IC$2)*'Weight%'!B10</f>
        <v>4612686</v>
      </c>
      <c r="D6" s="30" t="s">
        <v>12</v>
      </c>
      <c r="E6" s="31">
        <f>$B$5*'Weight%'!B23</f>
        <v>71920.928807722259</v>
      </c>
      <c r="G6" s="10" t="s">
        <v>55</v>
      </c>
      <c r="H6" s="31">
        <f>(E5+E15)*'Weight%'!B72</f>
        <v>195015.9605605113</v>
      </c>
      <c r="J6" s="10" t="s">
        <v>73</v>
      </c>
      <c r="K6" s="31">
        <f>E13*'Weight%'!B87</f>
        <v>47351.559244553224</v>
      </c>
      <c r="M6" s="10" t="s">
        <v>259</v>
      </c>
      <c r="N6" s="31">
        <f>(E16)*'Weight%'!B101</f>
        <v>138.38058000000001</v>
      </c>
      <c r="P6" s="10" t="s">
        <v>170</v>
      </c>
      <c r="Q6" s="31">
        <f>(N5+N6+N7+N8+N10+N11)*'Weight%'!B174</f>
        <v>2240.5755718820583</v>
      </c>
      <c r="S6" s="10" t="s">
        <v>190</v>
      </c>
      <c r="T6" s="31">
        <f>Q7*'Weight%'!B193</f>
        <v>1866023.3362659267</v>
      </c>
    </row>
    <row r="7" spans="1:20" ht="48" x14ac:dyDescent="0.45">
      <c r="A7" t="s">
        <v>8</v>
      </c>
      <c r="B7">
        <f>SUM([4]Sheet1!$C$2:$IC$2)*'Weight%'!B11</f>
        <v>1726256</v>
      </c>
      <c r="D7" s="30" t="s">
        <v>13</v>
      </c>
      <c r="E7" s="31">
        <f>$B$5*'Weight%'!B24</f>
        <v>75516.975248108356</v>
      </c>
      <c r="G7" s="10" t="s">
        <v>56</v>
      </c>
      <c r="H7" s="31">
        <f>E6*'Weight%'!B73</f>
        <v>52502.278029637251</v>
      </c>
      <c r="J7" s="10" t="s">
        <v>219</v>
      </c>
      <c r="K7" s="31">
        <f>K5+K6</f>
        <v>50049.70966082644</v>
      </c>
      <c r="M7" s="10" t="s">
        <v>260</v>
      </c>
      <c r="N7" s="31">
        <f>(E26)*'Weight%'!B101</f>
        <v>229.3151877</v>
      </c>
      <c r="P7" s="10" t="s">
        <v>171</v>
      </c>
      <c r="Q7" s="31">
        <f>(N19+N20+N21+N22)*'Weight%'!B175</f>
        <v>1866023.3362659267</v>
      </c>
      <c r="S7" s="10" t="s">
        <v>191</v>
      </c>
      <c r="T7" s="31">
        <f>N23*'Weight%'!B194</f>
        <v>15102.824400214038</v>
      </c>
    </row>
    <row r="8" spans="1:20" ht="32" x14ac:dyDescent="0.45">
      <c r="A8" t="s">
        <v>97</v>
      </c>
      <c r="B8">
        <f>SUM([5]Sheet1!$C$2:$IC$2)*'Weight%'!B12</f>
        <v>9436839</v>
      </c>
      <c r="D8" s="30" t="s">
        <v>209</v>
      </c>
      <c r="E8" s="31">
        <f>$B$5*'Weight%'!B25</f>
        <v>251723.25082702786</v>
      </c>
      <c r="G8" s="10" t="s">
        <v>57</v>
      </c>
      <c r="H8" s="31">
        <f>E6*'Weight%'!B74</f>
        <v>19418.650778085012</v>
      </c>
      <c r="J8" s="10" t="s">
        <v>61</v>
      </c>
      <c r="K8" s="31">
        <f>H5*'Weight%'!B88</f>
        <v>82358.896067229929</v>
      </c>
      <c r="M8" s="10" t="s">
        <v>261</v>
      </c>
      <c r="N8" s="31">
        <f>(E27)*'Weight%'!B101</f>
        <v>309.17409131736525</v>
      </c>
      <c r="P8" s="10" t="s">
        <v>172</v>
      </c>
      <c r="Q8" s="31">
        <f>(N19+N20+N21+N22)*'Weight%'!B176</f>
        <v>1004781.7964508835</v>
      </c>
      <c r="S8" s="10" t="s">
        <v>192</v>
      </c>
      <c r="T8" s="31">
        <f>(N12+N13+N14+N15+N17+N18)*'Weight%'!B195</f>
        <v>8753.2657348713856</v>
      </c>
    </row>
    <row r="9" spans="1:20" ht="48" x14ac:dyDescent="0.45">
      <c r="A9" t="s">
        <v>98</v>
      </c>
      <c r="B9">
        <f>SUM([6]Sheet1!$C$2:$IC$2)*'Weight%'!B15</f>
        <v>8979491</v>
      </c>
      <c r="D9" s="30" t="s">
        <v>19</v>
      </c>
      <c r="E9" s="31">
        <f>$B$5*'Weight%'!B26</f>
        <v>14074.133133057991</v>
      </c>
      <c r="G9" s="10" t="s">
        <v>58</v>
      </c>
      <c r="H9" s="31">
        <f>E7*'Weight%'!B75</f>
        <v>50596.373416232593</v>
      </c>
      <c r="J9" s="10" t="s">
        <v>63</v>
      </c>
      <c r="K9" s="31">
        <f>H6*'Weight%'!B89</f>
        <v>113401.40181645608</v>
      </c>
      <c r="M9" s="10" t="s">
        <v>224</v>
      </c>
      <c r="N9" s="31">
        <f>N5+N6</f>
        <v>1361.5735435463077</v>
      </c>
      <c r="P9" s="10" t="s">
        <v>173</v>
      </c>
      <c r="Q9" s="31">
        <f>N23*'Weight%'!B177</f>
        <v>3203.6294182272204</v>
      </c>
      <c r="S9" s="10" t="s">
        <v>193</v>
      </c>
      <c r="T9" s="31">
        <f>Q10*'Weight%'!B196</f>
        <v>295941.67575313681</v>
      </c>
    </row>
    <row r="10" spans="1:20" ht="48" x14ac:dyDescent="0.45">
      <c r="A10" t="s">
        <v>94</v>
      </c>
      <c r="B10">
        <f>SUM([7]Sheet1!$C$2:$IC$2)*'Weight%'!B18</f>
        <v>23216</v>
      </c>
      <c r="D10" s="30" t="s">
        <v>20</v>
      </c>
      <c r="E10" s="31">
        <f>$B$5*'Weight%'!B27</f>
        <v>111300.54263387696</v>
      </c>
      <c r="G10" s="10" t="s">
        <v>59</v>
      </c>
      <c r="H10" s="31">
        <f>E7*'Weight%'!B76</f>
        <v>24920.60183187576</v>
      </c>
      <c r="J10" s="10" t="s">
        <v>64</v>
      </c>
      <c r="K10" s="31">
        <f>H5*'Weight%'!B90</f>
        <v>78098.953167200802</v>
      </c>
      <c r="M10" s="10" t="s">
        <v>84</v>
      </c>
      <c r="N10" s="31">
        <f>H24*'Weight%'!B102</f>
        <v>9302.0598670941363</v>
      </c>
      <c r="P10" s="10" t="s">
        <v>174</v>
      </c>
      <c r="Q10" s="31">
        <f>(N24+N25+N26+N27)*'Weight%'!B178</f>
        <v>295941.67575313681</v>
      </c>
      <c r="S10" s="10" t="s">
        <v>194</v>
      </c>
      <c r="T10" s="31">
        <f>Q11*'Weight%'!B197</f>
        <v>39114.258819861388</v>
      </c>
    </row>
    <row r="11" spans="1:20" ht="48" x14ac:dyDescent="0.45">
      <c r="A11" s="33" t="s">
        <v>290</v>
      </c>
      <c r="B11" s="34">
        <f>SUM(B5:B10)</f>
        <v>25924924</v>
      </c>
      <c r="D11" s="30" t="s">
        <v>15</v>
      </c>
      <c r="E11" s="31">
        <f>$B$5*'Weight%'!B28</f>
        <v>194740.04620843503</v>
      </c>
      <c r="G11" s="30" t="s">
        <v>210</v>
      </c>
      <c r="H11" s="31">
        <f>B6*'Weight%'!B77</f>
        <v>184507.44</v>
      </c>
      <c r="J11" s="10" t="s">
        <v>284</v>
      </c>
      <c r="K11" s="31">
        <f>'Weight%'!B91*'Flow amounts'!E10</f>
        <v>10323.125329292088</v>
      </c>
      <c r="M11" s="10" t="s">
        <v>255</v>
      </c>
      <c r="N11" s="31">
        <f>E7*'Weight%'!B103</f>
        <v>0.75516975248108364</v>
      </c>
      <c r="P11" s="3" t="s">
        <v>175</v>
      </c>
      <c r="Q11" s="31">
        <f>(N28+N29+N30+N31)*'Weight%'!B179</f>
        <v>39114.258819861388</v>
      </c>
      <c r="S11" s="22" t="s">
        <v>203</v>
      </c>
      <c r="T11" s="31">
        <f>(N34+N35)*'Weight%'!B198</f>
        <v>3.8228495984312434</v>
      </c>
    </row>
    <row r="12" spans="1:20" ht="48" x14ac:dyDescent="0.45">
      <c r="D12" s="30" t="s">
        <v>17</v>
      </c>
      <c r="E12" s="31">
        <f>$B$5*'Weight%'!B29</f>
        <v>17377.246011224663</v>
      </c>
      <c r="G12" s="30" t="s">
        <v>211</v>
      </c>
      <c r="H12" s="31">
        <f>B6*'Weight%'!B78</f>
        <v>461268.6</v>
      </c>
      <c r="J12" s="10" t="s">
        <v>152</v>
      </c>
      <c r="K12" s="31">
        <f>B6*'Weight%'!B92</f>
        <v>415141.74</v>
      </c>
      <c r="M12" s="10" t="s">
        <v>109</v>
      </c>
      <c r="N12" s="31">
        <f>E10*'Weight%'!B104</f>
        <v>2945.0123580923846</v>
      </c>
      <c r="P12" s="3" t="s">
        <v>176</v>
      </c>
      <c r="Q12" s="31">
        <f>(N28+N29+N30+N31)*'Weight%'!B180</f>
        <v>18406.710032875952</v>
      </c>
      <c r="S12" s="10" t="s">
        <v>195</v>
      </c>
      <c r="T12" s="31">
        <f>(N37+N38+N39+N40+N41+N42+N44)*'Weight%'!B199</f>
        <v>72139.430721147786</v>
      </c>
    </row>
    <row r="13" spans="1:20" ht="48" x14ac:dyDescent="0.45">
      <c r="D13" s="30" t="s">
        <v>27</v>
      </c>
      <c r="E13" s="31">
        <f>$B$5*'Weight%'!B30</f>
        <v>557077.16758297908</v>
      </c>
      <c r="G13" s="30" t="s">
        <v>215</v>
      </c>
      <c r="H13" s="31">
        <f>$B$7*'Weight%'!B79</f>
        <v>179960.10862899694</v>
      </c>
      <c r="J13" s="10" t="s">
        <v>221</v>
      </c>
      <c r="K13" s="31">
        <f>B6*'Weight%'!B93</f>
        <v>295211.90399999998</v>
      </c>
      <c r="M13" s="10" t="s">
        <v>262</v>
      </c>
      <c r="N13" s="31">
        <f>(E16)*'Weight%'!B105</f>
        <v>968.66406000000006</v>
      </c>
      <c r="P13" s="10" t="s">
        <v>177</v>
      </c>
      <c r="Q13" s="31">
        <f>(N52+N53+N54+N55+N56+N57)*'Weight%'!B181</f>
        <v>27434.826418858185</v>
      </c>
      <c r="S13" s="22" t="s">
        <v>206</v>
      </c>
      <c r="T13" s="31">
        <f>(N45+N46+N47+N48+N49)*'Weight%'!B200</f>
        <v>699.14273405735355</v>
      </c>
    </row>
    <row r="14" spans="1:20" ht="48" x14ac:dyDescent="0.45">
      <c r="D14" s="30" t="s">
        <v>80</v>
      </c>
      <c r="E14" s="31">
        <f>$B$5*'Weight%'!B32</f>
        <v>2982.3758305765741</v>
      </c>
      <c r="G14" s="30" t="s">
        <v>216</v>
      </c>
      <c r="H14" s="31">
        <f>H11+H13</f>
        <v>364467.54862899694</v>
      </c>
      <c r="J14" s="10" t="s">
        <v>220</v>
      </c>
      <c r="K14" s="31">
        <f>B7*'Weight%'!B94</f>
        <v>150184.272</v>
      </c>
      <c r="M14" s="10" t="s">
        <v>263</v>
      </c>
      <c r="N14" s="31">
        <f>(E26)*'Weight%'!B105</f>
        <v>1605.2063138999999</v>
      </c>
      <c r="P14" s="10" t="s">
        <v>178</v>
      </c>
      <c r="Q14" s="31">
        <f>(N52+N53+N54+N55+N56+N57)*'Weight%'!B182</f>
        <v>13512.6756988406</v>
      </c>
      <c r="S14" s="10" t="s">
        <v>196</v>
      </c>
      <c r="T14" s="31">
        <f>N51*'Weight%'!B201</f>
        <v>52504.29707398382</v>
      </c>
    </row>
    <row r="15" spans="1:20" ht="48" x14ac:dyDescent="0.45">
      <c r="D15" s="30" t="s">
        <v>16</v>
      </c>
      <c r="E15" s="31">
        <f>$B$6*'Weight%'!B34</f>
        <v>645776.04</v>
      </c>
      <c r="G15" s="30" t="s">
        <v>70</v>
      </c>
      <c r="H15" s="31">
        <f>E9*'Weight%'!B80</f>
        <v>1787.4149078983648</v>
      </c>
      <c r="J15" s="10" t="s">
        <v>250</v>
      </c>
      <c r="K15" s="31">
        <f>B8*'Weight%'!B13*'Weight%'!B95</f>
        <v>323855.15659090906</v>
      </c>
      <c r="M15" s="10" t="s">
        <v>264</v>
      </c>
      <c r="N15" s="31">
        <f>(E27)*'Weight%'!B105</f>
        <v>2164.2186392215567</v>
      </c>
      <c r="P15" s="10" t="s">
        <v>179</v>
      </c>
      <c r="Q15" s="31">
        <f>(N78+N79)*'Weight%'!B183</f>
        <v>2381.0535922911054</v>
      </c>
      <c r="S15" s="10" t="s">
        <v>197</v>
      </c>
      <c r="T15" s="31">
        <f>Q13*'Weight%'!B202</f>
        <v>27434.826418858185</v>
      </c>
    </row>
    <row r="16" spans="1:20" ht="48" x14ac:dyDescent="0.45">
      <c r="D16" s="30" t="s">
        <v>21</v>
      </c>
      <c r="E16" s="31">
        <f>$B$6*'Weight%'!B35</f>
        <v>461268.60000000003</v>
      </c>
      <c r="G16" s="30" t="s">
        <v>100</v>
      </c>
      <c r="H16" s="31">
        <f>B6*'Weight%'!B81</f>
        <v>115317.15000000001</v>
      </c>
      <c r="J16" s="10" t="s">
        <v>251</v>
      </c>
      <c r="K16" s="31">
        <f>B9*'Weight%'!B16*'Weight%'!B96</f>
        <v>102039.67045454546</v>
      </c>
      <c r="M16" s="10" t="s">
        <v>76</v>
      </c>
      <c r="N16" s="31">
        <f>N12+N13+N14+N15</f>
        <v>7683.1013712139411</v>
      </c>
      <c r="P16" s="10" t="s">
        <v>180</v>
      </c>
      <c r="Q16" s="31">
        <f>(N81+N82+N83+N84+N85+N86)*'Weight%'!B184</f>
        <v>14571.530890479367</v>
      </c>
      <c r="S16" s="10" t="s">
        <v>306</v>
      </c>
      <c r="T16" s="31">
        <f>(H5+H6)*'Weight%'!B136</f>
        <v>120009.82188339157</v>
      </c>
    </row>
    <row r="17" spans="4:20" ht="48" x14ac:dyDescent="0.45">
      <c r="D17" s="30" t="s">
        <v>25</v>
      </c>
      <c r="E17" s="31">
        <f>$B$6*'Weight%'!B36</f>
        <v>184507.44</v>
      </c>
      <c r="G17" s="30" t="s">
        <v>101</v>
      </c>
      <c r="H17" s="31">
        <f>B7*'Weight%'!B82</f>
        <v>45745.784</v>
      </c>
      <c r="J17" s="10" t="s">
        <v>252</v>
      </c>
      <c r="K17" s="31">
        <f>B8*'Weight%'!B14*'Weight%'!B97</f>
        <v>700041.87490909081</v>
      </c>
      <c r="M17" s="10" t="s">
        <v>286</v>
      </c>
      <c r="N17" s="31">
        <f>B10*'Weight%'!B106</f>
        <v>1067.8988544000001</v>
      </c>
      <c r="P17" s="10" t="s">
        <v>89</v>
      </c>
      <c r="Q17" s="31">
        <f>H24*'Weight%'!B154</f>
        <v>69765.449003206028</v>
      </c>
      <c r="S17" s="10" t="s">
        <v>198</v>
      </c>
      <c r="T17" s="31">
        <f>(N58+N59+N60+N61)*'Weight%'!B203</f>
        <v>159.1942984625752</v>
      </c>
    </row>
    <row r="18" spans="4:20" ht="48" x14ac:dyDescent="0.45">
      <c r="D18" s="30" t="s">
        <v>28</v>
      </c>
      <c r="E18" s="31">
        <f>$B$6*'Weight%'!B37</f>
        <v>784156.61999999988</v>
      </c>
      <c r="G18" s="30" t="s">
        <v>217</v>
      </c>
      <c r="H18" s="31">
        <f>H16+H17</f>
        <v>161062.93400000001</v>
      </c>
      <c r="J18" s="10" t="s">
        <v>253</v>
      </c>
      <c r="K18" s="31">
        <f>B9*'Weight%'!B17*'Weight%'!B97</f>
        <v>666114.9687272727</v>
      </c>
      <c r="M18" s="10" t="s">
        <v>157</v>
      </c>
      <c r="N18" s="31">
        <f>(H9+H10)*'Weight%'!B107</f>
        <v>2.2655092574432509</v>
      </c>
      <c r="P18" s="10" t="s">
        <v>181</v>
      </c>
      <c r="Q18" s="31">
        <f>(N81+N82+N83+N84+N85+N86)*'Weight%'!B185</f>
        <v>15785.825131352649</v>
      </c>
      <c r="S18" s="10" t="s">
        <v>208</v>
      </c>
      <c r="T18" s="31">
        <f>(N64+N65+N66+N67)*'Weight%'!B204</f>
        <v>1183.7667030125472</v>
      </c>
    </row>
    <row r="19" spans="4:20" ht="48" x14ac:dyDescent="0.45">
      <c r="D19" s="30" t="s">
        <v>29</v>
      </c>
      <c r="E19" s="31">
        <f>$B$6*'Weight%'!B39</f>
        <v>230634.30000000002</v>
      </c>
      <c r="G19" s="30" t="s">
        <v>46</v>
      </c>
      <c r="H19" s="31">
        <f>B9*'Weight%'!B83</f>
        <v>8620.3113599999997</v>
      </c>
      <c r="J19" s="10" t="s">
        <v>254</v>
      </c>
      <c r="K19" s="31">
        <f>B10*'Weight%'!B98</f>
        <v>750.80543999999998</v>
      </c>
      <c r="M19" s="10" t="s">
        <v>225</v>
      </c>
      <c r="N19" s="31">
        <f>(K24)*'Weight%'!B108</f>
        <v>2614394.7200905667</v>
      </c>
      <c r="P19" s="10" t="s">
        <v>182</v>
      </c>
      <c r="Q19" s="31">
        <f>(N87+N88)*'Weight%'!B186</f>
        <v>38854.690174252981</v>
      </c>
      <c r="S19" s="10" t="s">
        <v>299</v>
      </c>
      <c r="T19" s="31">
        <f>N68*'Weight%'!B206</f>
        <v>8728.4205749868688</v>
      </c>
    </row>
    <row r="20" spans="4:20" ht="48" x14ac:dyDescent="0.45">
      <c r="D20" s="30" t="s">
        <v>32</v>
      </c>
      <c r="E20" s="31">
        <f>$B$6*'Weight%'!B41</f>
        <v>1383805.8</v>
      </c>
      <c r="G20" s="30" t="s">
        <v>53</v>
      </c>
      <c r="H20" s="31">
        <f>B8*'Weight%'!B84</f>
        <v>2038.3572240000001</v>
      </c>
      <c r="J20" s="10" t="s">
        <v>222</v>
      </c>
      <c r="K20" s="31">
        <f>K15+K17</f>
        <v>1023897.0314999998</v>
      </c>
      <c r="M20" s="10" t="s">
        <v>226</v>
      </c>
      <c r="N20" s="31">
        <f>(K25)*'Weight%'!B108</f>
        <v>70178.157336983291</v>
      </c>
      <c r="P20" s="10" t="s">
        <v>183</v>
      </c>
      <c r="Q20" s="31">
        <f>(N89+N90+N91+N92+N93+N94+N95+N96+N97+N98+N99)*'Weight%'!B188</f>
        <v>7126.2625097238351</v>
      </c>
      <c r="S20" s="10" t="s">
        <v>199</v>
      </c>
      <c r="T20" s="31">
        <f>(N69+N70+N71+N72+N73+N75+N76+N77)*'Weight%'!B205</f>
        <v>871490.17410436855</v>
      </c>
    </row>
    <row r="21" spans="4:20" ht="48" x14ac:dyDescent="0.45">
      <c r="D21" s="30" t="s">
        <v>82</v>
      </c>
      <c r="E21" s="31">
        <f>$B$6*'Weight%'!B43</f>
        <v>3409.2283813747226</v>
      </c>
      <c r="H21" s="31"/>
      <c r="J21" s="10" t="s">
        <v>223</v>
      </c>
      <c r="K21" s="31">
        <f>K16+K18</f>
        <v>768154.63918181811</v>
      </c>
      <c r="M21" s="10" t="s">
        <v>85</v>
      </c>
      <c r="N21" s="31">
        <f>H24*'Weight%'!B109</f>
        <v>186041.19734188274</v>
      </c>
      <c r="P21" s="10" t="s">
        <v>184</v>
      </c>
      <c r="Q21" s="31">
        <f>(N89+N90+N91+N92+N93+N94+N95+N96+N97+N98)*'Weight%'!B189</f>
        <v>6069.9264538240459</v>
      </c>
      <c r="S21" s="10" t="s">
        <v>200</v>
      </c>
      <c r="T21" s="31">
        <f>(N78+N79)*'Weight%'!B207</f>
        <v>9524.2143691644214</v>
      </c>
    </row>
    <row r="22" spans="4:20" ht="48" x14ac:dyDescent="0.45">
      <c r="D22" s="30" t="s">
        <v>35</v>
      </c>
      <c r="E22" s="31">
        <f>$B$7*'Weight%'!B45</f>
        <v>162569.00569426198</v>
      </c>
      <c r="G22" s="10" t="s">
        <v>145</v>
      </c>
      <c r="H22" s="31">
        <f>H5+H7+H9</f>
        <v>658144.07765655592</v>
      </c>
      <c r="J22" s="10"/>
      <c r="K22" s="31"/>
      <c r="M22" s="10" t="s">
        <v>156</v>
      </c>
      <c r="N22" s="31">
        <f>E7*'Weight%'!B110</f>
        <v>191.05794737771416</v>
      </c>
      <c r="P22" s="10" t="s">
        <v>185</v>
      </c>
      <c r="Q22" s="31">
        <f>(N102+N103+N104+N105)*'Weight%'!B190</f>
        <v>0</v>
      </c>
      <c r="S22" s="10" t="s">
        <v>201</v>
      </c>
      <c r="T22" s="31">
        <f>(Q16+Q17)*'Weight%'!B208</f>
        <v>84336.979893685391</v>
      </c>
    </row>
    <row r="23" spans="4:20" ht="64" x14ac:dyDescent="0.45">
      <c r="D23" s="30" t="s">
        <v>141</v>
      </c>
      <c r="E23" s="31">
        <f>$B$7*'Weight%'!B46</f>
        <v>179960.10862899694</v>
      </c>
      <c r="G23" s="10" t="s">
        <v>146</v>
      </c>
      <c r="H23" s="31">
        <f>H6+H8+H10</f>
        <v>239355.2131704721</v>
      </c>
      <c r="J23" s="10"/>
      <c r="K23" s="31"/>
      <c r="M23" s="10" t="s">
        <v>86</v>
      </c>
      <c r="N23" s="31">
        <f>H24*'Weight%'!B111</f>
        <v>18306.45381844126</v>
      </c>
      <c r="S23" s="10" t="s">
        <v>202</v>
      </c>
      <c r="T23" s="31">
        <f>Q19*'Weight%'!B209</f>
        <v>38854.690174252981</v>
      </c>
    </row>
    <row r="24" spans="4:20" ht="48" x14ac:dyDescent="0.45">
      <c r="D24" s="16" t="s">
        <v>34</v>
      </c>
      <c r="E24" s="31">
        <f>$B$7*'Weight%'!B47</f>
        <v>1058588.8742882174</v>
      </c>
      <c r="G24" s="3" t="s">
        <v>139</v>
      </c>
      <c r="H24" s="31">
        <f>E11+H11+H12+H13+E30+E31+E35</f>
        <v>2325514.9667735342</v>
      </c>
      <c r="J24" s="10" t="s">
        <v>153</v>
      </c>
      <c r="K24" s="31">
        <f>K5+K6+K11+K8+K9+K12+K13+K14+K15+K16+K17+K18+K19</f>
        <v>2909473.5249956227</v>
      </c>
      <c r="M24" s="10" t="s">
        <v>265</v>
      </c>
      <c r="N24" s="31">
        <f>(E10)*'Weight%'!B112</f>
        <v>13912.56782923462</v>
      </c>
      <c r="S24" s="10" t="s">
        <v>204</v>
      </c>
      <c r="T24" s="31">
        <f>Q20*'Weight%'!B210</f>
        <v>7126.2625097238351</v>
      </c>
    </row>
    <row r="25" spans="4:20" ht="32" x14ac:dyDescent="0.45">
      <c r="D25" s="30" t="s">
        <v>81</v>
      </c>
      <c r="E25" s="31">
        <f>$B$7*'Weight%'!B49</f>
        <v>392.55395110858439</v>
      </c>
      <c r="G25" s="3" t="s">
        <v>140</v>
      </c>
      <c r="H25" s="31">
        <f>E12+H15+H16+H17+H19+H20</f>
        <v>190886.26350312305</v>
      </c>
      <c r="J25" s="10" t="s">
        <v>154</v>
      </c>
      <c r="K25" s="31">
        <f>K10</f>
        <v>78098.953167200802</v>
      </c>
      <c r="M25" s="10" t="s">
        <v>266</v>
      </c>
      <c r="N25" s="31">
        <f>(E16)*'Weight%'!B112</f>
        <v>57658.575000000004</v>
      </c>
      <c r="S25" s="10" t="s">
        <v>205</v>
      </c>
      <c r="T25" s="31">
        <f>Q22*'Weight%'!B211</f>
        <v>0</v>
      </c>
    </row>
    <row r="26" spans="4:20" ht="32" x14ac:dyDescent="0.45">
      <c r="D26" s="30" t="s">
        <v>38</v>
      </c>
      <c r="E26" s="31">
        <f>B8*'Weight%'!B52</f>
        <v>764383.95900000003</v>
      </c>
      <c r="G26" s="3"/>
      <c r="H26" s="31"/>
      <c r="M26" s="10" t="s">
        <v>267</v>
      </c>
      <c r="N26" s="31">
        <f>(E26)*'Weight%'!B112</f>
        <v>95547.994875000004</v>
      </c>
    </row>
    <row r="27" spans="4:20" ht="32" x14ac:dyDescent="0.45">
      <c r="D27" s="30" t="s">
        <v>37</v>
      </c>
      <c r="E27" s="31">
        <f>B9*'Weight%'!B51</f>
        <v>1030580.3043912175</v>
      </c>
      <c r="M27" s="10" t="s">
        <v>268</v>
      </c>
      <c r="N27" s="31">
        <f>(E27)*'Weight%'!B112</f>
        <v>128822.53804890219</v>
      </c>
    </row>
    <row r="28" spans="4:20" ht="64" x14ac:dyDescent="0.45">
      <c r="D28" s="30" t="s">
        <v>49</v>
      </c>
      <c r="E28" s="31">
        <f>B9*'Weight%'!B56</f>
        <v>7070677.0449101804</v>
      </c>
      <c r="M28" s="10" t="s">
        <v>307</v>
      </c>
      <c r="N28" s="31">
        <f>E5*'Weight%'!B113</f>
        <v>7299.9742739838084</v>
      </c>
    </row>
    <row r="29" spans="4:20" ht="64" x14ac:dyDescent="0.45">
      <c r="D29" s="30" t="s">
        <v>50</v>
      </c>
      <c r="E29" s="31">
        <f>B8*'Weight%'!B57</f>
        <v>7908071.0819999995</v>
      </c>
      <c r="M29" s="10" t="s">
        <v>69</v>
      </c>
      <c r="N29" s="31">
        <f>H7*'Weight%'!B114</f>
        <v>1686.3731703119483</v>
      </c>
    </row>
    <row r="30" spans="4:20" ht="32" x14ac:dyDescent="0.45">
      <c r="D30" s="30" t="s">
        <v>51</v>
      </c>
      <c r="E30" s="31">
        <f>B9*'Weight%'!B58</f>
        <v>690040.72554890218</v>
      </c>
      <c r="M30" s="10" t="s">
        <v>155</v>
      </c>
      <c r="N30" s="31">
        <f>E7*'Weight%'!B115</f>
        <v>3330.2986084415784</v>
      </c>
    </row>
    <row r="31" spans="4:20" ht="48" x14ac:dyDescent="0.45">
      <c r="D31" s="30" t="s">
        <v>52</v>
      </c>
      <c r="E31" s="31">
        <f>B8*'Weight%'!B59</f>
        <v>613394.53500000003</v>
      </c>
      <c r="M31" s="10" t="s">
        <v>309</v>
      </c>
      <c r="N31" s="31">
        <f>E15*'Weight%'!B116</f>
        <v>45204.322800000009</v>
      </c>
    </row>
    <row r="32" spans="4:20" ht="32" x14ac:dyDescent="0.45">
      <c r="D32" s="30" t="s">
        <v>83</v>
      </c>
      <c r="E32" s="31">
        <f>B9*'Weight%'!B60</f>
        <v>864.28519178016268</v>
      </c>
      <c r="M32" s="10" t="s">
        <v>228</v>
      </c>
      <c r="N32" s="31">
        <f>SUM(N28:N31)</f>
        <v>57520.968852737344</v>
      </c>
    </row>
    <row r="33" spans="4:14" ht="32" x14ac:dyDescent="0.45">
      <c r="D33" s="3" t="s">
        <v>244</v>
      </c>
      <c r="E33" s="31">
        <f>B10*'Weight%'!B19*'Weight%'!B62+'Flow amounts'!B10*'Weight%'!B20*'Weight%'!B63</f>
        <v>510.40568530575734</v>
      </c>
      <c r="M33" s="10" t="s">
        <v>287</v>
      </c>
      <c r="N33" s="31">
        <f>H25*'Weight%'!B117</f>
        <v>2863.2939525468455</v>
      </c>
    </row>
    <row r="34" spans="4:14" ht="32" x14ac:dyDescent="0.45">
      <c r="D34" s="3" t="s">
        <v>248</v>
      </c>
      <c r="E34" s="31">
        <f>B10*'Weight%'!B19*'Weight%'!B64+B10*'Weight%'!B20*'Weight%'!B65</f>
        <v>21102.082927494215</v>
      </c>
      <c r="M34" s="10" t="s">
        <v>117</v>
      </c>
      <c r="N34" s="31">
        <f>E26*'Weight%'!B14*'Weight%'!B118</f>
        <v>4.5863037539999993</v>
      </c>
    </row>
    <row r="35" spans="4:14" ht="32" x14ac:dyDescent="0.45">
      <c r="D35" s="3" t="s">
        <v>249</v>
      </c>
      <c r="E35" s="31">
        <f>B10*'Weight%'!B19*'Weight%'!B68+B10*'Weight%'!B20*'Weight%'!B69</f>
        <v>1603.5113872000247</v>
      </c>
      <c r="M35" s="10" t="s">
        <v>122</v>
      </c>
      <c r="N35" s="31">
        <f>E27*'Weight%'!B17*'Weight%'!B119</f>
        <v>1.5302556034899897</v>
      </c>
    </row>
    <row r="36" spans="4:14" ht="32" x14ac:dyDescent="0.45">
      <c r="M36" s="10" t="s">
        <v>229</v>
      </c>
      <c r="N36" s="31">
        <f>N34+N35</f>
        <v>6.1165593574899892</v>
      </c>
    </row>
    <row r="37" spans="4:14" ht="32" x14ac:dyDescent="0.45">
      <c r="D37" s="3" t="s">
        <v>243</v>
      </c>
      <c r="E37" s="31">
        <f>E5+E15</f>
        <v>750061.38677119731</v>
      </c>
      <c r="M37" s="10" t="s">
        <v>158</v>
      </c>
      <c r="N37" s="31">
        <f>E7*'Weight%'!B120</f>
        <v>13065.947057427707</v>
      </c>
    </row>
    <row r="38" spans="4:14" ht="48" x14ac:dyDescent="0.45">
      <c r="D38" s="3" t="s">
        <v>99</v>
      </c>
      <c r="E38" s="31">
        <f>E10+E16+E27+E26</f>
        <v>2367533.4060250949</v>
      </c>
      <c r="M38" s="10" t="s">
        <v>163</v>
      </c>
      <c r="N38" s="31">
        <f>B6*'Weight%'!B121</f>
        <v>4146.4399265631928</v>
      </c>
    </row>
    <row r="39" spans="4:14" ht="32" x14ac:dyDescent="0.45">
      <c r="D39" s="3" t="s">
        <v>142</v>
      </c>
      <c r="E39" s="31">
        <f>E17+E23</f>
        <v>364467.54862899694</v>
      </c>
      <c r="M39" s="10" t="s">
        <v>118</v>
      </c>
      <c r="N39" s="31">
        <f>E26*'Weight%'!B13*'Weight%'!B122</f>
        <v>22.392975526159088</v>
      </c>
    </row>
    <row r="40" spans="4:14" ht="32" x14ac:dyDescent="0.45">
      <c r="D40" s="3" t="s">
        <v>143</v>
      </c>
      <c r="E40" s="31">
        <f>E18+E22</f>
        <v>946725.62569426186</v>
      </c>
      <c r="M40" s="10" t="s">
        <v>119</v>
      </c>
      <c r="N40" s="31">
        <f>E26*'Weight%'!B14*'Weight%'!B123</f>
        <v>6.893353521163637</v>
      </c>
    </row>
    <row r="41" spans="4:14" ht="64" x14ac:dyDescent="0.45">
      <c r="D41" s="3" t="s">
        <v>144</v>
      </c>
      <c r="E41" s="31">
        <f>E14+E21+E25+E32</f>
        <v>7648.4433548400439</v>
      </c>
      <c r="M41" s="10" t="s">
        <v>123</v>
      </c>
      <c r="N41" s="31">
        <f>E27*'Weight%'!B16*'Weight%'!B124</f>
        <v>34.472390686782987</v>
      </c>
    </row>
    <row r="42" spans="4:14" ht="32" x14ac:dyDescent="0.45">
      <c r="D42" s="3" t="s">
        <v>241</v>
      </c>
      <c r="E42" s="31">
        <f>E9+E13+E11</f>
        <v>765891.34692447213</v>
      </c>
      <c r="M42" s="10" t="s">
        <v>124</v>
      </c>
      <c r="N42" s="31">
        <f>E27*'Weight%'!B17*'Weight%'!B125</f>
        <v>2.3391049939061266</v>
      </c>
    </row>
    <row r="43" spans="4:14" x14ac:dyDescent="0.45">
      <c r="D43" s="3" t="s">
        <v>34</v>
      </c>
      <c r="E43" s="31">
        <f>E24</f>
        <v>1058588.8742882174</v>
      </c>
      <c r="M43" s="10" t="s">
        <v>230</v>
      </c>
      <c r="N43" s="31">
        <f>SUM(N39:N42)</f>
        <v>66.097824728011844</v>
      </c>
    </row>
    <row r="44" spans="4:14" ht="64" x14ac:dyDescent="0.45">
      <c r="D44" s="3" t="s">
        <v>240</v>
      </c>
      <c r="E44" s="31">
        <f>E28+E29</f>
        <v>14978748.12691018</v>
      </c>
      <c r="M44" s="10" t="s">
        <v>103</v>
      </c>
      <c r="N44" s="31">
        <f>H25*'Weight%'!B126</f>
        <v>58657.758055647188</v>
      </c>
    </row>
    <row r="45" spans="4:14" ht="48" x14ac:dyDescent="0.45">
      <c r="M45" s="10" t="s">
        <v>111</v>
      </c>
      <c r="N45" s="31">
        <f>E10*'Weight%'!B127</f>
        <v>683.38533177200452</v>
      </c>
    </row>
    <row r="46" spans="4:14" ht="32" x14ac:dyDescent="0.45">
      <c r="M46" s="10" t="s">
        <v>127</v>
      </c>
      <c r="N46" s="31">
        <f>B6*'Weight%'!B128</f>
        <v>68.184567627494459</v>
      </c>
    </row>
    <row r="47" spans="4:14" ht="32" x14ac:dyDescent="0.45">
      <c r="M47" s="10" t="s">
        <v>114</v>
      </c>
      <c r="N47" s="31">
        <f>E26*'Weight%'!B13*'Weight%'!B129</f>
        <v>104.23417622727271</v>
      </c>
    </row>
    <row r="48" spans="4:14" ht="32" x14ac:dyDescent="0.45">
      <c r="M48" s="10" t="s">
        <v>115</v>
      </c>
      <c r="N48" s="31">
        <f>E26*'Weight%'!B14*'Weight%'!B130</f>
        <v>113.96269934181817</v>
      </c>
    </row>
    <row r="49" spans="13:14" ht="32" x14ac:dyDescent="0.45">
      <c r="M49" s="10" t="s">
        <v>120</v>
      </c>
      <c r="N49" s="31">
        <f>E27*'Weight%'!B131</f>
        <v>148.86159952317587</v>
      </c>
    </row>
    <row r="50" spans="13:14" ht="32" x14ac:dyDescent="0.45">
      <c r="M50" s="10" t="s">
        <v>231</v>
      </c>
      <c r="N50" s="31">
        <f>SUM(N45:N49)</f>
        <v>1118.6283744917657</v>
      </c>
    </row>
    <row r="51" spans="13:14" ht="48" x14ac:dyDescent="0.45">
      <c r="M51" s="10" t="s">
        <v>305</v>
      </c>
      <c r="N51" s="31">
        <f>(H5+H6)*'Weight%'!B132</f>
        <v>52504.29707398382</v>
      </c>
    </row>
    <row r="52" spans="13:14" ht="32" x14ac:dyDescent="0.45">
      <c r="M52" s="10" t="s">
        <v>292</v>
      </c>
      <c r="N52" s="31">
        <f>E7*'Weight%'!B133</f>
        <v>0.75516975248108364</v>
      </c>
    </row>
    <row r="53" spans="13:14" ht="48" x14ac:dyDescent="0.45">
      <c r="M53" s="10" t="s">
        <v>293</v>
      </c>
      <c r="N53" s="31">
        <f>(E10)*'Weight%'!B134</f>
        <v>1001.7048837048926</v>
      </c>
    </row>
    <row r="54" spans="13:14" ht="48" x14ac:dyDescent="0.45">
      <c r="M54" s="10" t="s">
        <v>294</v>
      </c>
      <c r="N54" s="31">
        <f>(E16)*'Weight%'!B134</f>
        <v>4151.4174000000003</v>
      </c>
    </row>
    <row r="55" spans="13:14" ht="48" x14ac:dyDescent="0.45">
      <c r="M55" s="10" t="s">
        <v>295</v>
      </c>
      <c r="N55" s="31">
        <f>(E26)*'Weight%'!B134</f>
        <v>6879.4556309999998</v>
      </c>
    </row>
    <row r="56" spans="13:14" ht="48" x14ac:dyDescent="0.45">
      <c r="M56" s="10" t="s">
        <v>296</v>
      </c>
      <c r="N56" s="31">
        <f>(E27)*'Weight%'!B134</f>
        <v>9275.2227395209575</v>
      </c>
    </row>
    <row r="57" spans="13:14" ht="32" x14ac:dyDescent="0.45">
      <c r="M57" s="10" t="s">
        <v>297</v>
      </c>
      <c r="N57" s="31">
        <f>K24*'Weight%'!B135</f>
        <v>19638.946293720455</v>
      </c>
    </row>
    <row r="58" spans="13:14" ht="32" x14ac:dyDescent="0.45">
      <c r="M58" s="10" t="s">
        <v>128</v>
      </c>
      <c r="N58" s="31">
        <f>B6*'Weight%'!B137</f>
        <v>75.003024390243894</v>
      </c>
    </row>
    <row r="59" spans="13:14" ht="32" x14ac:dyDescent="0.45">
      <c r="M59" s="10" t="s">
        <v>116</v>
      </c>
      <c r="N59" s="31">
        <f>E26*'Weight%'!B138</f>
        <v>101.9178612</v>
      </c>
    </row>
    <row r="60" spans="13:14" ht="32" x14ac:dyDescent="0.45">
      <c r="M60" s="10" t="s">
        <v>121</v>
      </c>
      <c r="N60" s="31">
        <f>E27*'Weight%'!B139</f>
        <v>25.191962996229762</v>
      </c>
    </row>
    <row r="61" spans="13:14" ht="32" x14ac:dyDescent="0.45">
      <c r="M61" s="10" t="s">
        <v>129</v>
      </c>
      <c r="N61" s="31">
        <f>H24*'Weight%'!B140</f>
        <v>116.27574833867672</v>
      </c>
    </row>
    <row r="62" spans="13:14" ht="48" x14ac:dyDescent="0.45">
      <c r="M62" s="10" t="s">
        <v>232</v>
      </c>
      <c r="N62" s="31">
        <f>N58+N61</f>
        <v>191.27877272892061</v>
      </c>
    </row>
    <row r="63" spans="13:14" ht="32" x14ac:dyDescent="0.45">
      <c r="M63" s="10" t="s">
        <v>233</v>
      </c>
      <c r="N63" s="31">
        <f>N59+N60</f>
        <v>127.10982419622977</v>
      </c>
    </row>
    <row r="64" spans="13:14" ht="48" x14ac:dyDescent="0.45">
      <c r="M64" s="10" t="s">
        <v>269</v>
      </c>
      <c r="N64" s="31">
        <f>(E10)*'Weight%'!B141</f>
        <v>55.650271316938479</v>
      </c>
    </row>
    <row r="65" spans="13:14" ht="48" x14ac:dyDescent="0.45">
      <c r="M65" s="10" t="s">
        <v>270</v>
      </c>
      <c r="N65" s="31">
        <f>(E16)*'Weight%'!B141</f>
        <v>230.63430000000002</v>
      </c>
    </row>
    <row r="66" spans="13:14" ht="48" x14ac:dyDescent="0.45">
      <c r="M66" s="10" t="s">
        <v>271</v>
      </c>
      <c r="N66" s="31">
        <f>(E26)*'Weight%'!B141</f>
        <v>382.1919795</v>
      </c>
    </row>
    <row r="67" spans="13:14" ht="32" x14ac:dyDescent="0.45">
      <c r="M67" s="10" t="s">
        <v>272</v>
      </c>
      <c r="N67" s="31">
        <f>(E27)*'Weight%'!B141</f>
        <v>515.29015219560881</v>
      </c>
    </row>
    <row r="68" spans="13:14" ht="32" x14ac:dyDescent="0.45">
      <c r="M68" s="10" t="s">
        <v>298</v>
      </c>
      <c r="N68" s="31">
        <f>K24*'Weight%'!B142</f>
        <v>8728.4205749868688</v>
      </c>
    </row>
    <row r="69" spans="13:14" ht="48" x14ac:dyDescent="0.45">
      <c r="M69" s="10" t="s">
        <v>112</v>
      </c>
      <c r="N69" s="31">
        <f>E10*'Weight%'!B143</f>
        <v>39698.677546651234</v>
      </c>
    </row>
    <row r="70" spans="13:14" ht="32" x14ac:dyDescent="0.45">
      <c r="M70" s="10" t="s">
        <v>125</v>
      </c>
      <c r="N70" s="31">
        <f>B6*'Weight%'!B144</f>
        <v>3228.8802000000001</v>
      </c>
    </row>
    <row r="71" spans="13:14" ht="32" x14ac:dyDescent="0.45">
      <c r="M71" s="10" t="s">
        <v>273</v>
      </c>
      <c r="N71" s="31">
        <f>(E26)*'Weight%'!B145</f>
        <v>194153.525586</v>
      </c>
    </row>
    <row r="72" spans="13:14" ht="32" x14ac:dyDescent="0.45">
      <c r="M72" s="10" t="s">
        <v>274</v>
      </c>
      <c r="N72" s="31">
        <f>(E27)*'Weight%'!B145</f>
        <v>261767.39731536925</v>
      </c>
    </row>
    <row r="73" spans="13:14" ht="32" x14ac:dyDescent="0.45">
      <c r="M73" s="10" t="s">
        <v>79</v>
      </c>
      <c r="N73" s="31">
        <f>'Weight%'!B146*('Weight%'!B66*'Weight%'!B19+'Weight%'!B20*'Weight%'!B67)*B10</f>
        <v>8386.7506580122972</v>
      </c>
    </row>
    <row r="74" spans="13:14" x14ac:dyDescent="0.45">
      <c r="M74" s="10" t="s">
        <v>234</v>
      </c>
      <c r="N74" s="31">
        <f>N69+N70+N71+N72</f>
        <v>498848.48064802052</v>
      </c>
    </row>
    <row r="75" spans="13:14" ht="32" x14ac:dyDescent="0.45">
      <c r="M75" s="10" t="s">
        <v>87</v>
      </c>
      <c r="N75" s="31">
        <f>H24*'Weight%'!B147</f>
        <v>348827.24501603009</v>
      </c>
    </row>
    <row r="76" spans="13:14" ht="32" x14ac:dyDescent="0.45">
      <c r="M76" s="10" t="s">
        <v>138</v>
      </c>
      <c r="N76" s="31">
        <f>E41*'Weight%'!B148</f>
        <v>3789.8036823232419</v>
      </c>
    </row>
    <row r="77" spans="13:14" ht="32" x14ac:dyDescent="0.45">
      <c r="M77" s="10" t="s">
        <v>300</v>
      </c>
      <c r="N77" s="31">
        <f>K24*'Weight%'!B149</f>
        <v>11637.894099982492</v>
      </c>
    </row>
    <row r="78" spans="13:14" ht="32" x14ac:dyDescent="0.45">
      <c r="M78" s="10" t="s">
        <v>126</v>
      </c>
      <c r="N78" s="31">
        <f>B6*'Weight%'!B151</f>
        <v>8727.2019120000004</v>
      </c>
    </row>
    <row r="79" spans="13:14" ht="32" x14ac:dyDescent="0.45">
      <c r="M79" s="10" t="s">
        <v>88</v>
      </c>
      <c r="N79" s="31">
        <f>(E11+E30+E31+H13+E35)*'Weight%'!B151</f>
        <v>3178.0660494555273</v>
      </c>
    </row>
    <row r="80" spans="13:14" ht="64" x14ac:dyDescent="0.45">
      <c r="M80" s="10" t="s">
        <v>236</v>
      </c>
      <c r="N80" s="31">
        <f>N78+N79</f>
        <v>11905.267961455527</v>
      </c>
    </row>
    <row r="81" spans="13:14" ht="32" x14ac:dyDescent="0.45">
      <c r="M81" s="10" t="s">
        <v>161</v>
      </c>
      <c r="N81" s="31">
        <f>E7*'Weight%'!B152</f>
        <v>7.5516975248108356</v>
      </c>
    </row>
    <row r="82" spans="13:14" ht="48" x14ac:dyDescent="0.45">
      <c r="M82" s="10" t="s">
        <v>275</v>
      </c>
      <c r="N82" s="31">
        <f>(E10)*'Weight%'!B153</f>
        <v>11.130054263387697</v>
      </c>
    </row>
    <row r="83" spans="13:14" ht="32" x14ac:dyDescent="0.45">
      <c r="M83" s="10" t="s">
        <v>276</v>
      </c>
      <c r="N83" s="31">
        <f>(E16)*'Weight%'!B153</f>
        <v>46.126860000000008</v>
      </c>
    </row>
    <row r="84" spans="13:14" ht="32" x14ac:dyDescent="0.45">
      <c r="M84" s="10" t="s">
        <v>277</v>
      </c>
      <c r="N84" s="31">
        <f>(E26)*'Weight%'!B153</f>
        <v>76.438395900000003</v>
      </c>
    </row>
    <row r="85" spans="13:14" ht="32" x14ac:dyDescent="0.45">
      <c r="M85" s="10" t="s">
        <v>278</v>
      </c>
      <c r="N85" s="31">
        <f>(E27)*'Weight%'!B153</f>
        <v>103.05803043912177</v>
      </c>
    </row>
    <row r="86" spans="13:14" ht="32" x14ac:dyDescent="0.45">
      <c r="M86" s="22" t="s">
        <v>301</v>
      </c>
      <c r="N86" s="31">
        <f>K24*'Weight%'!B155</f>
        <v>30113.050983704696</v>
      </c>
    </row>
    <row r="87" spans="13:14" ht="32" x14ac:dyDescent="0.45">
      <c r="M87" s="10" t="s">
        <v>162</v>
      </c>
      <c r="N87" s="31">
        <f>E7*'Weight%'!B156</f>
        <v>1.5103395049621673</v>
      </c>
    </row>
    <row r="88" spans="13:14" ht="32" x14ac:dyDescent="0.45">
      <c r="M88" s="10" t="s">
        <v>67</v>
      </c>
      <c r="N88" s="31">
        <f>H5*'Weight%'!B157</f>
        <v>38853.179834748022</v>
      </c>
    </row>
    <row r="89" spans="13:14" ht="48" x14ac:dyDescent="0.45">
      <c r="M89" s="10" t="s">
        <v>131</v>
      </c>
      <c r="N89" s="31">
        <f>B5*'Weight%'!B8*'Weight%'!B158</f>
        <v>3479.4734254254249</v>
      </c>
    </row>
    <row r="90" spans="13:14" ht="48" x14ac:dyDescent="0.45">
      <c r="M90" s="10" t="s">
        <v>164</v>
      </c>
      <c r="N90" s="31">
        <f>B5*'Weight%'!B8*'Weight%'!B159</f>
        <v>5219.2101381381362</v>
      </c>
    </row>
    <row r="91" spans="13:14" ht="48" x14ac:dyDescent="0.45">
      <c r="M91" s="10" t="s">
        <v>130</v>
      </c>
      <c r="N91" s="31">
        <f>B5*'Weight%'!B9*'Weight%'!B160</f>
        <v>296.60621852621847</v>
      </c>
    </row>
    <row r="92" spans="13:14" ht="48" x14ac:dyDescent="0.45">
      <c r="M92" s="10" t="s">
        <v>165</v>
      </c>
      <c r="N92" s="31">
        <f>B5*'Weight%'!B9*'Weight%'!B161</f>
        <v>444.90932778932768</v>
      </c>
    </row>
    <row r="93" spans="13:14" ht="32" x14ac:dyDescent="0.45">
      <c r="M93" s="10" t="s">
        <v>132</v>
      </c>
      <c r="N93" s="31">
        <f>B6*'Weight%'!B162</f>
        <v>852.30709534368066</v>
      </c>
    </row>
    <row r="94" spans="13:14" ht="48" x14ac:dyDescent="0.45">
      <c r="M94" s="10" t="s">
        <v>133</v>
      </c>
      <c r="N94" s="31">
        <f>B7*'Weight%'!B163</f>
        <v>157.02158044343378</v>
      </c>
    </row>
    <row r="95" spans="13:14" ht="32" x14ac:dyDescent="0.45">
      <c r="M95" s="10" t="s">
        <v>134</v>
      </c>
      <c r="N95" s="31">
        <f>B8*'Weight%'!B13*'Weight%'!B164</f>
        <v>819.47039810115587</v>
      </c>
    </row>
    <row r="96" spans="13:14" ht="32" x14ac:dyDescent="0.45">
      <c r="M96" s="10" t="s">
        <v>166</v>
      </c>
      <c r="N96" s="31">
        <f>B8*'Weight%'!B14*'Weight%'!B165</f>
        <v>896.58023118743063</v>
      </c>
    </row>
    <row r="97" spans="13:14" ht="32" x14ac:dyDescent="0.45">
      <c r="M97" s="10" t="s">
        <v>167</v>
      </c>
      <c r="N97" s="31">
        <f>B9*'Weight%'!B17*'Weight%'!B165</f>
        <v>853.12826855745368</v>
      </c>
    </row>
    <row r="98" spans="13:14" ht="32" x14ac:dyDescent="0.45">
      <c r="M98" s="10" t="s">
        <v>136</v>
      </c>
      <c r="N98" s="31">
        <f>B9*'Weight%'!B16*'Weight%'!B166</f>
        <v>176.78560740957872</v>
      </c>
    </row>
    <row r="99" spans="13:14" ht="48" x14ac:dyDescent="0.45">
      <c r="M99" s="10" t="s">
        <v>258</v>
      </c>
      <c r="N99" s="31">
        <f>B10*'Weight%'!B19*'Weight%'!B167+B10*'Weight%'!B20*'Weight%'!B168</f>
        <v>1.290134492669867</v>
      </c>
    </row>
    <row r="100" spans="13:14" ht="32" x14ac:dyDescent="0.45">
      <c r="M100" s="10" t="s">
        <v>237</v>
      </c>
      <c r="N100" s="31">
        <f>N89+N91</f>
        <v>3776.0796439516434</v>
      </c>
    </row>
    <row r="101" spans="13:14" ht="32" x14ac:dyDescent="0.45">
      <c r="M101" s="10" t="s">
        <v>238</v>
      </c>
      <c r="N101" s="31">
        <f>N90+N92+N93+N94+N95+N96+N97+N98+N99</f>
        <v>9420.7027814628673</v>
      </c>
    </row>
    <row r="102" spans="13:14" ht="48" x14ac:dyDescent="0.45">
      <c r="M102" s="10" t="s">
        <v>110</v>
      </c>
      <c r="N102" s="31">
        <f>E10*'Weight%'!B169</f>
        <v>29011.599442946368</v>
      </c>
    </row>
    <row r="103" spans="13:14" ht="48" x14ac:dyDescent="0.45">
      <c r="M103" s="10" t="s">
        <v>279</v>
      </c>
      <c r="N103" s="31">
        <f>(E16)*'Weight%'!B170</f>
        <v>17066.938200000001</v>
      </c>
    </row>
    <row r="104" spans="13:14" ht="48" x14ac:dyDescent="0.45">
      <c r="M104" s="10" t="s">
        <v>280</v>
      </c>
      <c r="N104" s="31">
        <f>(E26)*'Weight%'!B170</f>
        <v>28282.206482999998</v>
      </c>
    </row>
    <row r="105" spans="13:14" ht="32" x14ac:dyDescent="0.45">
      <c r="M105" s="10" t="s">
        <v>281</v>
      </c>
      <c r="N105" s="31">
        <f>(E27)*'Weight%'!B170</f>
        <v>38131.471262475046</v>
      </c>
    </row>
    <row r="106" spans="13:14" ht="32" x14ac:dyDescent="0.45">
      <c r="M106" s="10" t="s">
        <v>239</v>
      </c>
      <c r="N106" s="31">
        <f>N102+N103+N104+N105</f>
        <v>112492.21538842141</v>
      </c>
    </row>
  </sheetData>
  <mergeCells count="7">
    <mergeCell ref="S4:T4"/>
    <mergeCell ref="P4:Q4"/>
    <mergeCell ref="A4:B4"/>
    <mergeCell ref="D4:E4"/>
    <mergeCell ref="G4:H4"/>
    <mergeCell ref="J4:K4"/>
    <mergeCell ref="M4:N4"/>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1</vt:i4>
      </vt:variant>
    </vt:vector>
  </HeadingPairs>
  <TitlesOfParts>
    <vt:vector size="3" baseType="lpstr">
      <vt:lpstr>Weight%</vt:lpstr>
      <vt:lpstr>Flow amounts</vt:lpstr>
      <vt:lpstr>'Weight%'!_GoBack</vt:lpstr>
    </vt:vector>
  </TitlesOfParts>
  <Company>Empa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Berr, Marcus</dc:creator>
  <cp:lastModifiedBy>Berr, Marcus</cp:lastModifiedBy>
  <dcterms:created xsi:type="dcterms:W3CDTF">2022-06-21T09:46:02Z</dcterms:created>
  <dcterms:modified xsi:type="dcterms:W3CDTF">2023-05-15T17:43:23Z</dcterms:modified>
</cp:coreProperties>
</file>