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bma\Desktop\BW2 3. Paper\Flowchart\"/>
    </mc:Choice>
  </mc:AlternateContent>
  <bookViews>
    <workbookView xWindow="0" yWindow="0" windowWidth="18570" windowHeight="6710"/>
  </bookViews>
  <sheets>
    <sheet name="Weight%" sheetId="13" r:id="rId1"/>
    <sheet name="Flow_amounts" sheetId="15" r:id="rId2"/>
    <sheet name="Weight% of vehicle components" sheetId="16" r:id="rId3"/>
  </sheets>
  <externalReferences>
    <externalReference r:id="rId4"/>
    <externalReference r:id="rId5"/>
    <externalReference r:id="rId6"/>
    <externalReference r:id="rId7"/>
    <externalReference r:id="rId8"/>
    <externalReference r:id="rId9"/>
    <externalReference r:id="rId10"/>
    <externalReference r:id="rId11"/>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64" i="13" l="1"/>
  <c r="C43" i="16" l="1"/>
  <c r="D43" i="16"/>
  <c r="E43" i="16"/>
  <c r="F43" i="16"/>
  <c r="G43" i="16"/>
  <c r="H43" i="16"/>
  <c r="I43" i="16"/>
  <c r="B43" i="16"/>
  <c r="C42" i="16"/>
  <c r="D42" i="16"/>
  <c r="E42" i="16"/>
  <c r="F42" i="16"/>
  <c r="G42" i="16"/>
  <c r="H42" i="16"/>
  <c r="I42" i="16"/>
  <c r="B42" i="16"/>
  <c r="C52" i="16"/>
  <c r="I51" i="16"/>
  <c r="H51" i="16"/>
  <c r="E51" i="16"/>
  <c r="D51" i="16"/>
  <c r="C51" i="16"/>
  <c r="G51" i="16" s="1"/>
  <c r="B51" i="16"/>
  <c r="C103" i="13"/>
  <c r="F50" i="16"/>
  <c r="B50" i="16"/>
  <c r="B56" i="13"/>
  <c r="B57" i="13"/>
  <c r="B53" i="13"/>
  <c r="B54" i="13" s="1"/>
  <c r="B52" i="13"/>
  <c r="B50" i="13"/>
  <c r="B51" i="13"/>
  <c r="E49" i="16"/>
  <c r="H49" i="16"/>
  <c r="I49" i="16"/>
  <c r="E47" i="16"/>
  <c r="H47" i="16"/>
  <c r="I47" i="16"/>
  <c r="F48" i="16"/>
  <c r="I48" i="16"/>
  <c r="D38" i="16"/>
  <c r="B18" i="13"/>
  <c r="F51" i="16" l="1"/>
  <c r="I54" i="16" l="1"/>
  <c r="B48" i="16"/>
  <c r="H40" i="16"/>
  <c r="G40" i="16" s="1"/>
  <c r="H35" i="16"/>
  <c r="H34" i="16"/>
  <c r="H27" i="16"/>
  <c r="H32" i="16"/>
  <c r="F32" i="16"/>
  <c r="G32" i="16" s="1"/>
  <c r="F40" i="16" l="1"/>
  <c r="H48" i="16"/>
  <c r="C30" i="16" l="1"/>
  <c r="B30" i="16" s="1"/>
  <c r="D30" i="16"/>
  <c r="E30" i="16"/>
  <c r="I30" i="16" s="1"/>
  <c r="I29" i="16"/>
  <c r="H29" i="16"/>
  <c r="D29" i="16"/>
  <c r="D50" i="16" s="1"/>
  <c r="C29" i="16"/>
  <c r="C50" i="16" s="1"/>
  <c r="E29" i="16"/>
  <c r="E50" i="16" s="1"/>
  <c r="I39" i="16"/>
  <c r="I60" i="16" s="1"/>
  <c r="F39" i="16"/>
  <c r="G39" i="16"/>
  <c r="H39" i="16"/>
  <c r="C39" i="16"/>
  <c r="D39" i="16"/>
  <c r="E39" i="16"/>
  <c r="E60" i="16" s="1"/>
  <c r="H38" i="16"/>
  <c r="C38" i="16"/>
  <c r="E38" i="16"/>
  <c r="E59" i="16" s="1"/>
  <c r="G37" i="16"/>
  <c r="G36" i="16"/>
  <c r="F37" i="16"/>
  <c r="F36" i="16"/>
  <c r="I37" i="16"/>
  <c r="I58" i="16" s="1"/>
  <c r="I36" i="16"/>
  <c r="I57" i="16" s="1"/>
  <c r="C37" i="16"/>
  <c r="D37" i="16"/>
  <c r="C36" i="16"/>
  <c r="D36" i="16"/>
  <c r="E37" i="16"/>
  <c r="E58" i="16" s="1"/>
  <c r="E36" i="16"/>
  <c r="E57" i="16" s="1"/>
  <c r="G35" i="16"/>
  <c r="F35" i="16"/>
  <c r="D35" i="16"/>
  <c r="C35" i="16"/>
  <c r="E35" i="16"/>
  <c r="E56" i="16" s="1"/>
  <c r="G27" i="16"/>
  <c r="G48" i="16" s="1"/>
  <c r="D27" i="16"/>
  <c r="D48" i="16" s="1"/>
  <c r="C27" i="16"/>
  <c r="C48" i="16" s="1"/>
  <c r="E27" i="16"/>
  <c r="F28" i="16"/>
  <c r="F49" i="16" s="1"/>
  <c r="D28" i="16"/>
  <c r="D49" i="16" s="1"/>
  <c r="B28" i="16"/>
  <c r="B49" i="16" s="1"/>
  <c r="C28" i="16"/>
  <c r="C49" i="16" s="1"/>
  <c r="E34" i="16"/>
  <c r="F34" i="16"/>
  <c r="G34" i="16"/>
  <c r="I34" i="16"/>
  <c r="D34" i="16"/>
  <c r="C34" i="16"/>
  <c r="B34" i="16"/>
  <c r="B55" i="16" s="1"/>
  <c r="H33" i="16"/>
  <c r="D33" i="16"/>
  <c r="C33" i="16"/>
  <c r="E33" i="16"/>
  <c r="E54" i="16" s="1"/>
  <c r="D32" i="16"/>
  <c r="I32" i="16"/>
  <c r="I53" i="16" s="1"/>
  <c r="C32" i="16"/>
  <c r="E32" i="16"/>
  <c r="I31" i="16"/>
  <c r="H31" i="16"/>
  <c r="G31" i="16"/>
  <c r="F31" i="16"/>
  <c r="E31" i="16"/>
  <c r="D31" i="16"/>
  <c r="C31" i="16"/>
  <c r="B31" i="16"/>
  <c r="G26" i="16"/>
  <c r="F26" i="16"/>
  <c r="C26" i="16"/>
  <c r="D26" i="16"/>
  <c r="B26" i="16"/>
  <c r="H50" i="16" l="1"/>
  <c r="I50" i="16"/>
  <c r="B35" i="16"/>
  <c r="B56" i="16" s="1"/>
  <c r="B36" i="16"/>
  <c r="B57" i="16" s="1"/>
  <c r="I35" i="16"/>
  <c r="I56" i="16" s="1"/>
  <c r="B37" i="16"/>
  <c r="B58" i="16" s="1"/>
  <c r="I52" i="16"/>
  <c r="I38" i="16"/>
  <c r="I59" i="16" s="1"/>
  <c r="E52" i="16"/>
  <c r="G28" i="16"/>
  <c r="F47" i="16"/>
  <c r="G47" i="16"/>
  <c r="B39" i="16"/>
  <c r="B60" i="16" s="1"/>
  <c r="F30" i="16"/>
  <c r="D47" i="16"/>
  <c r="B33" i="16"/>
  <c r="B54" i="16" s="1"/>
  <c r="B32" i="16"/>
  <c r="B53" i="16" s="1"/>
  <c r="E53" i="16"/>
  <c r="G30" i="16"/>
  <c r="C47" i="16"/>
  <c r="E48" i="16"/>
  <c r="F33" i="16"/>
  <c r="G33" i="16"/>
  <c r="B38" i="16"/>
  <c r="B59" i="16" s="1"/>
  <c r="G29" i="16"/>
  <c r="G50" i="16" s="1"/>
  <c r="B52" i="16"/>
  <c r="B47" i="16"/>
  <c r="G38" i="16"/>
  <c r="F38" i="16"/>
  <c r="H30" i="16"/>
  <c r="I55" i="16"/>
  <c r="E55" i="16"/>
  <c r="E40" i="16"/>
  <c r="C19" i="16"/>
  <c r="B19" i="16"/>
  <c r="B18" i="16"/>
  <c r="C18" i="16" s="1"/>
  <c r="B17" i="16"/>
  <c r="C17" i="16" s="1"/>
  <c r="B16" i="16"/>
  <c r="C16" i="16" s="1"/>
  <c r="B15" i="16"/>
  <c r="C15" i="16" s="1"/>
  <c r="B14" i="16"/>
  <c r="C14" i="16" s="1"/>
  <c r="B13" i="16"/>
  <c r="C13" i="16" s="1"/>
  <c r="B12" i="16"/>
  <c r="C12" i="16" s="1"/>
  <c r="B11" i="16"/>
  <c r="C11" i="16" s="1"/>
  <c r="B10" i="16"/>
  <c r="C10" i="16" s="1"/>
  <c r="B9" i="16"/>
  <c r="C9" i="16" s="1"/>
  <c r="B8" i="16"/>
  <c r="C8" i="16" s="1"/>
  <c r="B7" i="16"/>
  <c r="C7" i="16" s="1"/>
  <c r="B6" i="16"/>
  <c r="C6" i="16" s="1"/>
  <c r="B5" i="16"/>
  <c r="C5" i="16" s="1"/>
  <c r="G49" i="16" l="1"/>
  <c r="I40" i="16"/>
  <c r="I61" i="16" s="1"/>
  <c r="I62" i="16" s="1"/>
  <c r="G53" i="16"/>
  <c r="B34" i="13" s="1"/>
  <c r="C34" i="13" s="1"/>
  <c r="F54" i="16"/>
  <c r="B43" i="13" s="1"/>
  <c r="G58" i="16"/>
  <c r="F41" i="16"/>
  <c r="H58" i="16"/>
  <c r="H57" i="16"/>
  <c r="B77" i="13" s="1"/>
  <c r="H61" i="16"/>
  <c r="H53" i="16"/>
  <c r="B32" i="13" s="1"/>
  <c r="H55" i="16"/>
  <c r="B49" i="13" s="1"/>
  <c r="H56" i="16"/>
  <c r="B64" i="13" s="1"/>
  <c r="H52" i="16"/>
  <c r="G57" i="16"/>
  <c r="B79" i="13" s="1"/>
  <c r="B105" i="13"/>
  <c r="E41" i="16"/>
  <c r="G41" i="16"/>
  <c r="G52" i="16"/>
  <c r="B26" i="13" s="1"/>
  <c r="I41" i="16"/>
  <c r="H59" i="16"/>
  <c r="B84" i="13" s="1"/>
  <c r="H41" i="16"/>
  <c r="H60" i="16"/>
  <c r="B92" i="13" s="1"/>
  <c r="H54" i="16"/>
  <c r="B40" i="13" s="1"/>
  <c r="B40" i="16"/>
  <c r="D40" i="16"/>
  <c r="C40" i="16"/>
  <c r="E61" i="16"/>
  <c r="E62" i="16" s="1"/>
  <c r="C49" i="13" l="1"/>
  <c r="C26" i="13"/>
  <c r="G54" i="16"/>
  <c r="B42" i="13" s="1"/>
  <c r="G60" i="16"/>
  <c r="B93" i="13" s="1"/>
  <c r="B108" i="13"/>
  <c r="G56" i="16"/>
  <c r="B66" i="13" s="1"/>
  <c r="G59" i="16"/>
  <c r="B85" i="13" s="1"/>
  <c r="G61" i="16"/>
  <c r="F59" i="16"/>
  <c r="B86" i="13" s="1"/>
  <c r="G55" i="16"/>
  <c r="B48" i="13" s="1"/>
  <c r="B27" i="13"/>
  <c r="H62" i="16"/>
  <c r="B61" i="16"/>
  <c r="B62" i="16" s="1"/>
  <c r="B41" i="16"/>
  <c r="F53" i="16"/>
  <c r="B33" i="13" s="1"/>
  <c r="F61" i="16"/>
  <c r="F52" i="16"/>
  <c r="F60" i="16"/>
  <c r="B94" i="13" s="1"/>
  <c r="F57" i="16"/>
  <c r="B78" i="13" s="1"/>
  <c r="F55" i="16"/>
  <c r="B47" i="13" s="1"/>
  <c r="F56" i="16"/>
  <c r="B65" i="13" s="1"/>
  <c r="F58" i="16"/>
  <c r="B107" i="13"/>
  <c r="D41" i="16"/>
  <c r="C41" i="16"/>
  <c r="B173" i="13"/>
  <c r="B168" i="13"/>
  <c r="C48" i="13" l="1"/>
  <c r="C27" i="13"/>
  <c r="C47" i="13"/>
  <c r="G62" i="16"/>
  <c r="B24" i="13"/>
  <c r="C53" i="16"/>
  <c r="C57" i="16"/>
  <c r="B71" i="13" s="1"/>
  <c r="B103" i="13"/>
  <c r="C54" i="16"/>
  <c r="B38" i="13" s="1"/>
  <c r="C56" i="16"/>
  <c r="B62" i="13" s="1"/>
  <c r="C60" i="16"/>
  <c r="B90" i="13" s="1"/>
  <c r="C59" i="16"/>
  <c r="B82" i="13" s="1"/>
  <c r="C82" i="13" s="1"/>
  <c r="C58" i="16"/>
  <c r="B73" i="13" s="1"/>
  <c r="C55" i="16"/>
  <c r="B46" i="13" s="1"/>
  <c r="B25" i="13"/>
  <c r="F62" i="16"/>
  <c r="D59" i="16"/>
  <c r="B81" i="13" s="1"/>
  <c r="D55" i="16"/>
  <c r="B45" i="13" s="1"/>
  <c r="D57" i="16"/>
  <c r="B70" i="13" s="1"/>
  <c r="D58" i="16"/>
  <c r="B72" i="13" s="1"/>
  <c r="C72" i="13" s="1"/>
  <c r="D52" i="16"/>
  <c r="D53" i="16"/>
  <c r="B29" i="13" s="1"/>
  <c r="D54" i="16"/>
  <c r="B37" i="13" s="1"/>
  <c r="D60" i="16"/>
  <c r="B89" i="13" s="1"/>
  <c r="D56" i="16"/>
  <c r="B61" i="13" s="1"/>
  <c r="B102" i="13"/>
  <c r="D61" i="16"/>
  <c r="C61" i="16"/>
  <c r="B159" i="13"/>
  <c r="C62" i="16" l="1"/>
  <c r="C24" i="13"/>
  <c r="C90" i="13"/>
  <c r="C45" i="13"/>
  <c r="C73" i="13"/>
  <c r="C25" i="13"/>
  <c r="C71" i="13"/>
  <c r="C62" i="13"/>
  <c r="C38" i="13"/>
  <c r="C46" i="13"/>
  <c r="B30" i="13"/>
  <c r="B23" i="13"/>
  <c r="D62" i="16"/>
  <c r="B148" i="13"/>
  <c r="C23" i="13" l="1"/>
  <c r="C30" i="13"/>
  <c r="C41" i="13"/>
  <c r="C58" i="13"/>
  <c r="C77" i="13"/>
  <c r="C101" i="13"/>
  <c r="C106" i="13" s="1"/>
  <c r="C102" i="13"/>
  <c r="C107" i="13" s="1"/>
  <c r="C105" i="13"/>
  <c r="C104" i="13" l="1"/>
  <c r="C108" i="13"/>
  <c r="B128" i="13" l="1"/>
  <c r="B11" i="15" l="1"/>
  <c r="E54" i="15" l="1"/>
  <c r="E46" i="15"/>
  <c r="B5" i="15"/>
  <c r="B9" i="15"/>
  <c r="E52" i="15" l="1"/>
  <c r="E44" i="15"/>
  <c r="B12" i="15"/>
  <c r="B10" i="15"/>
  <c r="B8" i="15"/>
  <c r="B7" i="15"/>
  <c r="B6" i="15"/>
  <c r="E49" i="15" l="1"/>
  <c r="E41" i="15"/>
  <c r="E45" i="15"/>
  <c r="E53" i="15"/>
  <c r="E68" i="15"/>
  <c r="E26" i="15"/>
  <c r="E113" i="15"/>
  <c r="E69" i="15"/>
  <c r="E58" i="15"/>
  <c r="E42" i="15"/>
  <c r="E50" i="15"/>
  <c r="E97" i="15"/>
  <c r="E18" i="15"/>
  <c r="B101" i="13"/>
  <c r="B125" i="13" l="1"/>
  <c r="B123" i="13"/>
  <c r="B13" i="15" l="1"/>
  <c r="B9" i="13" s="1"/>
  <c r="B11" i="13" l="1"/>
  <c r="B14" i="13"/>
  <c r="B10" i="13"/>
  <c r="B13" i="13"/>
  <c r="B8" i="13"/>
  <c r="B12" i="13"/>
  <c r="B15" i="13"/>
  <c r="B21" i="13"/>
  <c r="B20" i="13"/>
  <c r="B19" i="13"/>
  <c r="C21" i="13" l="1"/>
  <c r="C19" i="13"/>
  <c r="C20" i="13"/>
  <c r="B146" i="13"/>
  <c r="B141" i="13"/>
  <c r="B167" i="13" l="1"/>
  <c r="B120" i="13"/>
  <c r="B197" i="13" l="1"/>
  <c r="B205" i="13"/>
  <c r="B127" i="13" l="1"/>
  <c r="B111" i="13"/>
  <c r="B139" i="13"/>
  <c r="B133" i="13"/>
  <c r="B126" i="13"/>
  <c r="B124" i="13"/>
  <c r="B131" i="13" l="1"/>
  <c r="B130" i="13"/>
  <c r="B189" i="13" l="1"/>
  <c r="B186" i="13"/>
  <c r="B183" i="13"/>
  <c r="B174" i="13"/>
  <c r="B169" i="13"/>
  <c r="B153" i="13" l="1"/>
  <c r="B55" i="13"/>
  <c r="B154" i="13"/>
  <c r="B152" i="13"/>
  <c r="B150" i="13"/>
  <c r="C55" i="13" l="1"/>
  <c r="C56" i="13"/>
  <c r="B121" i="13"/>
  <c r="B158" i="13"/>
  <c r="B171" i="13"/>
  <c r="B106" i="13" l="1"/>
  <c r="B104" i="13"/>
  <c r="B145" i="13"/>
  <c r="B80" i="13"/>
  <c r="B22" i="13"/>
  <c r="C22" i="13" s="1"/>
  <c r="B144" i="13"/>
  <c r="B142" i="13"/>
  <c r="B36" i="13"/>
  <c r="B83" i="13" l="1"/>
  <c r="C36" i="13"/>
  <c r="C50" i="13"/>
  <c r="C52" i="13"/>
  <c r="C84" i="13"/>
  <c r="C81" i="13"/>
  <c r="B122" i="13"/>
  <c r="C80" i="13"/>
  <c r="B119" i="13"/>
  <c r="B39" i="13"/>
  <c r="C29" i="13" l="1"/>
  <c r="C39" i="13"/>
  <c r="E118" i="15"/>
  <c r="E117" i="15"/>
  <c r="E116" i="15"/>
  <c r="E115" i="15"/>
  <c r="E114" i="15"/>
  <c r="E112" i="15"/>
  <c r="E111" i="15"/>
  <c r="N14" i="15" l="1"/>
  <c r="E74" i="15"/>
  <c r="E109" i="15"/>
  <c r="E89" i="15"/>
  <c r="E92" i="15"/>
  <c r="E63" i="15"/>
  <c r="E43" i="15"/>
  <c r="E47" i="15"/>
  <c r="E40" i="15"/>
  <c r="Q18" i="15" l="1"/>
  <c r="N31" i="15"/>
  <c r="N10" i="15"/>
  <c r="N29" i="15"/>
  <c r="N6" i="15"/>
  <c r="N33" i="15"/>
  <c r="N13" i="15"/>
  <c r="B116" i="13"/>
  <c r="B100" i="13"/>
  <c r="E7" i="15"/>
  <c r="B98" i="13"/>
  <c r="B97" i="13"/>
  <c r="B96" i="13"/>
  <c r="T22" i="15" l="1"/>
  <c r="C97" i="13"/>
  <c r="C98" i="13"/>
  <c r="C96" i="13"/>
  <c r="C100" i="13"/>
  <c r="E12" i="15"/>
  <c r="E14" i="15"/>
  <c r="E15" i="15"/>
  <c r="T8" i="15"/>
  <c r="Q9" i="15"/>
  <c r="Q16" i="15"/>
  <c r="B99" i="13"/>
  <c r="E11" i="15"/>
  <c r="E10" i="15"/>
  <c r="B134" i="13"/>
  <c r="C99" i="13" l="1"/>
  <c r="E13" i="15"/>
  <c r="B95" i="13"/>
  <c r="B88" i="13"/>
  <c r="B87" i="13"/>
  <c r="B69" i="13"/>
  <c r="H9" i="15" l="1"/>
  <c r="E73" i="15"/>
  <c r="C79" i="13"/>
  <c r="C92" i="13"/>
  <c r="C86" i="13"/>
  <c r="C87" i="13"/>
  <c r="C88" i="13"/>
  <c r="C69" i="13"/>
  <c r="C93" i="13"/>
  <c r="C94" i="13"/>
  <c r="C85" i="13"/>
  <c r="C95" i="13"/>
  <c r="C78" i="13"/>
  <c r="C89" i="13"/>
  <c r="E72" i="15"/>
  <c r="N5" i="15"/>
  <c r="H8" i="15"/>
  <c r="E100" i="15"/>
  <c r="E107" i="15"/>
  <c r="E101" i="15"/>
  <c r="E99" i="15"/>
  <c r="E110" i="15"/>
  <c r="E108" i="15"/>
  <c r="E102" i="15"/>
  <c r="B91" i="13"/>
  <c r="E98" i="15"/>
  <c r="E106" i="15"/>
  <c r="E105" i="15"/>
  <c r="E104" i="15"/>
  <c r="B75" i="13"/>
  <c r="E71" i="15"/>
  <c r="E96" i="15"/>
  <c r="E67" i="15"/>
  <c r="B59" i="13"/>
  <c r="B76" i="13"/>
  <c r="C70" i="13"/>
  <c r="B68" i="13"/>
  <c r="B60" i="13"/>
  <c r="E59" i="15"/>
  <c r="E86" i="15"/>
  <c r="H10" i="15" l="1"/>
  <c r="Q5" i="15"/>
  <c r="T5" i="15" s="1"/>
  <c r="C76" i="13"/>
  <c r="C75" i="13"/>
  <c r="C59" i="13"/>
  <c r="C60" i="13"/>
  <c r="C61" i="13"/>
  <c r="C57" i="13"/>
  <c r="C37" i="13"/>
  <c r="C83" i="13"/>
  <c r="C64" i="13"/>
  <c r="B157" i="13"/>
  <c r="C68" i="13"/>
  <c r="C91" i="13"/>
  <c r="C40" i="13"/>
  <c r="B170" i="13"/>
  <c r="E65" i="15"/>
  <c r="Q6" i="15"/>
  <c r="E103" i="15"/>
  <c r="E95" i="15"/>
  <c r="B143" i="13"/>
  <c r="E88" i="15"/>
  <c r="E75" i="15"/>
  <c r="E83" i="15" s="1"/>
  <c r="E87" i="15"/>
  <c r="N20" i="15"/>
  <c r="E85" i="15"/>
  <c r="E84" i="15"/>
  <c r="E66" i="15"/>
  <c r="E57" i="15"/>
  <c r="E62" i="15"/>
  <c r="E82" i="15" s="1"/>
  <c r="B67" i="13"/>
  <c r="E27" i="15"/>
  <c r="E30" i="15"/>
  <c r="E25" i="15"/>
  <c r="B74" i="13"/>
  <c r="E70" i="15"/>
  <c r="E79" i="15" s="1"/>
  <c r="B63" i="13"/>
  <c r="E91" i="15"/>
  <c r="B44" i="13"/>
  <c r="B28" i="13"/>
  <c r="B35" i="13"/>
  <c r="B135" i="13" l="1"/>
  <c r="B20" i="16"/>
  <c r="K21" i="15"/>
  <c r="K13" i="15"/>
  <c r="N36" i="15"/>
  <c r="E64" i="15"/>
  <c r="K10" i="15" s="1"/>
  <c r="C74" i="13"/>
  <c r="C51" i="13"/>
  <c r="C42" i="13"/>
  <c r="C66" i="13"/>
  <c r="C44" i="13"/>
  <c r="C53" i="13"/>
  <c r="C35" i="13"/>
  <c r="C63" i="13"/>
  <c r="C65" i="13"/>
  <c r="C67" i="13"/>
  <c r="C43" i="13"/>
  <c r="C32" i="13"/>
  <c r="B118" i="13"/>
  <c r="C28" i="13"/>
  <c r="T16" i="15"/>
  <c r="K15" i="15"/>
  <c r="N19" i="15"/>
  <c r="N23" i="15"/>
  <c r="N28" i="15"/>
  <c r="T17" i="15"/>
  <c r="E61" i="15"/>
  <c r="E81" i="15" s="1"/>
  <c r="E23" i="15"/>
  <c r="E24" i="15"/>
  <c r="E28" i="15"/>
  <c r="E31" i="15"/>
  <c r="E56" i="15"/>
  <c r="N17" i="15"/>
  <c r="E29" i="15"/>
  <c r="E60" i="15"/>
  <c r="E80" i="15" s="1"/>
  <c r="E90" i="15"/>
  <c r="E78" i="15"/>
  <c r="E77" i="15"/>
  <c r="E93" i="15"/>
  <c r="H11" i="15"/>
  <c r="E51" i="15"/>
  <c r="E48" i="15"/>
  <c r="E55" i="15"/>
  <c r="E22" i="15"/>
  <c r="E38" i="15" s="1"/>
  <c r="E19" i="15"/>
  <c r="E35" i="15" s="1"/>
  <c r="B31" i="13"/>
  <c r="E17" i="15"/>
  <c r="E33" i="15" s="1"/>
  <c r="E34" i="15"/>
  <c r="E9" i="15"/>
  <c r="E8" i="15"/>
  <c r="B17" i="13"/>
  <c r="H12" i="15" l="1"/>
  <c r="B21" i="16"/>
  <c r="B22" i="16"/>
  <c r="E76" i="15"/>
  <c r="T19" i="15"/>
  <c r="Q13" i="15"/>
  <c r="T11" i="15" s="1"/>
  <c r="C17" i="13"/>
  <c r="C18" i="13"/>
  <c r="C33" i="13"/>
  <c r="C54" i="13"/>
  <c r="C31" i="13"/>
  <c r="N11" i="15"/>
  <c r="K18" i="15"/>
  <c r="H13" i="15"/>
  <c r="N35" i="15"/>
  <c r="K20" i="15"/>
  <c r="E39" i="15"/>
  <c r="K23" i="15"/>
  <c r="K9" i="15"/>
  <c r="K11" i="15" s="1"/>
  <c r="E16" i="15"/>
  <c r="E5" i="15"/>
  <c r="E6" i="15"/>
  <c r="E20" i="15"/>
  <c r="E36" i="15" s="1"/>
  <c r="E94" i="15"/>
  <c r="E21" i="15"/>
  <c r="E37" i="15" s="1"/>
  <c r="K14" i="15"/>
  <c r="N25" i="15"/>
  <c r="N24" i="15" l="1"/>
  <c r="N39" i="15"/>
  <c r="N9" i="15"/>
  <c r="K19" i="15"/>
  <c r="E32" i="15"/>
  <c r="K17" i="15"/>
  <c r="N15" i="15"/>
  <c r="N34" i="15"/>
  <c r="H6" i="15"/>
  <c r="K8" i="15"/>
  <c r="K22" i="15"/>
  <c r="N12" i="15"/>
  <c r="H5" i="15"/>
  <c r="K12" i="15"/>
  <c r="N27" i="15" l="1"/>
  <c r="K5" i="15"/>
  <c r="N18" i="15"/>
  <c r="T7" i="15"/>
  <c r="T15" i="15"/>
  <c r="N22" i="15"/>
  <c r="N16" i="15"/>
  <c r="Q10" i="15"/>
  <c r="T9" i="15" s="1"/>
  <c r="H7" i="15"/>
  <c r="N21" i="15"/>
  <c r="K16" i="15"/>
  <c r="N38" i="15"/>
  <c r="K6" i="15"/>
  <c r="N7" i="15" l="1"/>
  <c r="T18" i="15"/>
  <c r="Q20" i="15"/>
  <c r="T24" i="15" s="1"/>
  <c r="N8" i="15"/>
  <c r="Q11" i="15"/>
  <c r="T10" i="15" s="1"/>
  <c r="N37" i="15"/>
  <c r="N30" i="15"/>
  <c r="N32" i="15"/>
  <c r="N26" i="15"/>
  <c r="T12" i="15"/>
  <c r="T13" i="15"/>
  <c r="K7" i="15"/>
  <c r="Q12" i="15"/>
  <c r="Q7" i="15" l="1"/>
  <c r="T6" i="15" s="1"/>
  <c r="Q8" i="15"/>
  <c r="Q19" i="15"/>
  <c r="Q17" i="15"/>
  <c r="T23" i="15" s="1"/>
  <c r="T21" i="15"/>
  <c r="T20" i="15"/>
  <c r="Q14" i="15"/>
  <c r="T14" i="15" s="1"/>
  <c r="Q15" i="15"/>
</calcChain>
</file>

<file path=xl/sharedStrings.xml><?xml version="1.0" encoding="utf-8"?>
<sst xmlns="http://schemas.openxmlformats.org/spreadsheetml/2006/main" count="830" uniqueCount="561">
  <si>
    <t>Source</t>
  </si>
  <si>
    <t>(Cerdas Marin et al. 2018)</t>
  </si>
  <si>
    <t>the source states that the weight of the cells make between 60 and 65% of the LIB weight</t>
  </si>
  <si>
    <t>Comment</t>
  </si>
  <si>
    <t>Weight ratios of components and materials of vehicles</t>
  </si>
  <si>
    <t>Material/product</t>
  </si>
  <si>
    <t>Weight ratio (in w%)</t>
  </si>
  <si>
    <t>Final products (1. Tier supply chain)</t>
  </si>
  <si>
    <t>Intermediate products (2. Tier supply chain)</t>
  </si>
  <si>
    <t>Lithium-ion battery (LIB) in BEC</t>
  </si>
  <si>
    <t>LIB in PHEC</t>
  </si>
  <si>
    <t>(Shiau et al. 2009), (Pesaran 2007), (Nelson et al. 2007), (Axsen et al. 2008)</t>
  </si>
  <si>
    <t>LIB in BEB</t>
  </si>
  <si>
    <t>Battery electric car (BEC)</t>
  </si>
  <si>
    <t>Plug-in hybrid car (PHEC)</t>
  </si>
  <si>
    <t>Hybrid electric car (HEC)</t>
  </si>
  <si>
    <t>Internal combustion engine car (ICEC)</t>
  </si>
  <si>
    <t>Battery electric bus (BEB)</t>
  </si>
  <si>
    <t>Hybrid electric bus (HEB)</t>
  </si>
  <si>
    <t>LIB in HEB</t>
  </si>
  <si>
    <t>Bodies of ICEC</t>
  </si>
  <si>
    <t>Bodies of HEC and PHEC</t>
  </si>
  <si>
    <t>Bodies of BEB</t>
  </si>
  <si>
    <t>Bodies of HEB</t>
  </si>
  <si>
    <t>Internal combustion engine bus (ICEB)</t>
  </si>
  <si>
    <t>Internal combustion engine bus (ICET)</t>
  </si>
  <si>
    <t>Bodies of ICEB</t>
  </si>
  <si>
    <t>Bodies of ICET</t>
  </si>
  <si>
    <t>Chassis of ICEC</t>
  </si>
  <si>
    <t>Chassis of HEC and PHEC</t>
  </si>
  <si>
    <t>Chassis of BEC</t>
  </si>
  <si>
    <t>assumed that the body of the BEB weighs the same as the body of the ICEB</t>
  </si>
  <si>
    <t>assumed that the body of the HEB weighs the same as the body of the ICEB</t>
  </si>
  <si>
    <t>Electric motor of BEC</t>
  </si>
  <si>
    <t>Wiring in cars, trucks and buses</t>
  </si>
  <si>
    <t>Electric motor of HEC</t>
  </si>
  <si>
    <t>Electric motor of PHEC</t>
  </si>
  <si>
    <t>Electric motor of BEB</t>
  </si>
  <si>
    <t>Electric motor of HEB</t>
  </si>
  <si>
    <t>Internal combustion engine of ICEC</t>
  </si>
  <si>
    <t>Internal combustion engine of HEC and PHEC</t>
  </si>
  <si>
    <t>Internal combustion engine of ICEB</t>
  </si>
  <si>
    <t>Glass of BEC</t>
  </si>
  <si>
    <t>Glass of ICEC</t>
  </si>
  <si>
    <t>Glass of HEC and PHEC</t>
  </si>
  <si>
    <t>assumed that the glass of the BEC weighs the same as the glass of the ICEC</t>
  </si>
  <si>
    <t>Glass of ICEB</t>
  </si>
  <si>
    <t>assumed that the glass of an ICET weighs the same as the glass of an ICEC</t>
  </si>
  <si>
    <t>Wheels of ICEC</t>
  </si>
  <si>
    <t>Wheels of HEC and PHEC</t>
  </si>
  <si>
    <t>Chassis of ICEB</t>
  </si>
  <si>
    <t>Chassis of ICET</t>
  </si>
  <si>
    <t>Chassis of BEB</t>
  </si>
  <si>
    <t>Internal combustion engine of ICET</t>
  </si>
  <si>
    <t>Internal combustion engine of HEB</t>
  </si>
  <si>
    <t>Glass of BEB</t>
  </si>
  <si>
    <t>Glass of HEB</t>
  </si>
  <si>
    <t>assumed that the chassis of the BEC weighs the same as the chassis of the ICEC</t>
  </si>
  <si>
    <t>assumed that the glass in the BEB weighs the same as the glass in the ICEB</t>
  </si>
  <si>
    <t>assumed that the glass in the BEB weighs the same as the glass in the HEB</t>
  </si>
  <si>
    <t>Chassis of HEB</t>
  </si>
  <si>
    <t>assumed that the chassis of the HEB weighs the same as the chassis of the ICEB</t>
  </si>
  <si>
    <t>assumed that the chassis of the BEB weighs the same as the chassis of the ICEB</t>
  </si>
  <si>
    <t>Wheels/Tires of ICET</t>
  </si>
  <si>
    <t>Wheels/Tires of ICEB</t>
  </si>
  <si>
    <t>Wheels/Tires of BEB</t>
  </si>
  <si>
    <t>Wheels/Tires of HEB</t>
  </si>
  <si>
    <t>assumed that the wheels/tires of the BEB weighs the same as the wheels/tires of the ICEB</t>
  </si>
  <si>
    <t>assumed that the wheels/tires of the HEB weighs the same as the wheels/tires of the ICEB</t>
  </si>
  <si>
    <t>Glass of ICET</t>
  </si>
  <si>
    <t>Tires of HEC and PHEC</t>
  </si>
  <si>
    <t>Exhaust of ICEC</t>
  </si>
  <si>
    <t>Exhaust of HEC and PHEC</t>
  </si>
  <si>
    <t>Exhaust of BEC</t>
  </si>
  <si>
    <t>assumed that the exhaust of the BEC weighs the same as the exhaust of the ICEC</t>
  </si>
  <si>
    <t>Exhaust of ICEB</t>
  </si>
  <si>
    <t>Exhaust of HEB</t>
  </si>
  <si>
    <t>Exhaust of BEB</t>
  </si>
  <si>
    <t>Exhaust of ICET</t>
  </si>
  <si>
    <t>Intermediate products (3. Tier supply chain)</t>
  </si>
  <si>
    <t>Internal combustion engine equipment in internal combustion engine</t>
  </si>
  <si>
    <t>assumed that 100% of the equipment of the internal combustion engines is covered by the considered HS codes</t>
  </si>
  <si>
    <t>Lead-acid batteries of ICEC</t>
  </si>
  <si>
    <t>Lead-acid batteries of HEC and PHEC</t>
  </si>
  <si>
    <t>Lead-acid batteries of ICEB</t>
  </si>
  <si>
    <t>Lead-acid batteries of ICET</t>
  </si>
  <si>
    <t>LIB in HEC</t>
  </si>
  <si>
    <t>Lead-acid batteries of HEB</t>
  </si>
  <si>
    <t>assumed that the weight percentage of the lead-acid battery in the HEC is equal to the weight percentage of the lead-acid battery in the HEB</t>
  </si>
  <si>
    <t>Safety glass in glass of vehicles</t>
  </si>
  <si>
    <t>Aluminium plates in LIB cases</t>
  </si>
  <si>
    <t>(Diekmann et al. 2016)</t>
  </si>
  <si>
    <t>Aluminium plates in bodies</t>
  </si>
  <si>
    <t>Aluminium plates in electric motors</t>
  </si>
  <si>
    <t>(Drive Aluminium 2014)</t>
  </si>
  <si>
    <t>(Rassõlkin et al. 2018)</t>
  </si>
  <si>
    <t>(Vijayakumar et al. 2021), (Mehdi et al. 2015)</t>
  </si>
  <si>
    <t>Aluminium plates in chassis</t>
  </si>
  <si>
    <t>Aluminium plates in wheels</t>
  </si>
  <si>
    <t>Intermediate products (4. Tier supply chain)</t>
  </si>
  <si>
    <t>Raw materials</t>
  </si>
  <si>
    <t>Aluminium plates in LIB cells</t>
  </si>
  <si>
    <t>Aluminium foil in LIB cells</t>
  </si>
  <si>
    <t>Permanent magnets in electric motors</t>
  </si>
  <si>
    <t>Antimony powders in lead-acid batteries</t>
  </si>
  <si>
    <t>Al unwrought in Al plates/Al foil</t>
  </si>
  <si>
    <t>Al unwrought in Al wire</t>
  </si>
  <si>
    <t>(Grand View Research 2019), (Furukawa Automotive systems 2012)</t>
  </si>
  <si>
    <t>Aluminium (Al) wire used in wiring</t>
  </si>
  <si>
    <t>Amount (in kg)</t>
  </si>
  <si>
    <t>Flow amounts along the Swiss mobility supply chain</t>
  </si>
  <si>
    <t>Bodies of PHEC</t>
  </si>
  <si>
    <t>Bodies of HEC</t>
  </si>
  <si>
    <t>Bodies of BEC</t>
  </si>
  <si>
    <t>assumed that the body of the BEC weighs the same as the body of the ICEC</t>
  </si>
  <si>
    <t>Chassis of PHEC</t>
  </si>
  <si>
    <t>Chassis of HEC</t>
  </si>
  <si>
    <t>Wiring of BEC</t>
  </si>
  <si>
    <t>Wiring of PHEC</t>
  </si>
  <si>
    <t>Wiring of HEC</t>
  </si>
  <si>
    <t>Wiring of ICEC</t>
  </si>
  <si>
    <t>Wiring of BEB</t>
  </si>
  <si>
    <t>Wiring of HEB</t>
  </si>
  <si>
    <t>Wiring of ICEB</t>
  </si>
  <si>
    <t>Wiring of ICET</t>
  </si>
  <si>
    <t>Internal combustion engine of PHEC</t>
  </si>
  <si>
    <t>Internal combustion engine of HEC</t>
  </si>
  <si>
    <t>Glass of PHEC</t>
  </si>
  <si>
    <t>Glass of HEC</t>
  </si>
  <si>
    <t>Tires of ICEC</t>
  </si>
  <si>
    <t>Wheels of BEC</t>
  </si>
  <si>
    <t>assumed that the wheels of the BEC weigh the same as the wheels of the ICEC</t>
  </si>
  <si>
    <t>assumed that the tires of the BEC weigh the same as the tires of the ICEC</t>
  </si>
  <si>
    <t>Tires of BEC</t>
  </si>
  <si>
    <t>Wheels of PHEC</t>
  </si>
  <si>
    <t>Tires of PHEC</t>
  </si>
  <si>
    <t>Wheels of HEC</t>
  </si>
  <si>
    <t>Tires of HEC</t>
  </si>
  <si>
    <t>Exhaust of PHEC</t>
  </si>
  <si>
    <t>Exhaust of HEC</t>
  </si>
  <si>
    <t>Lead-acid batteries of PHEC</t>
  </si>
  <si>
    <t>Lead-acid batteries of HEC</t>
  </si>
  <si>
    <t>Al plates used in LIB cells</t>
  </si>
  <si>
    <t>Al plates used in bodies</t>
  </si>
  <si>
    <t>Al plates used in chassis</t>
  </si>
  <si>
    <t>Al plates used in electric motors</t>
  </si>
  <si>
    <t>Al plates used in wheels</t>
  </si>
  <si>
    <t>Al foil used in LIB cells</t>
  </si>
  <si>
    <t>Al unwrought used in Al plates</t>
  </si>
  <si>
    <t>Al unwrought used in Al foil</t>
  </si>
  <si>
    <t>Al unwrought used in Al wire</t>
  </si>
  <si>
    <t>Baryte used in brake fluids within the car chassis</t>
  </si>
  <si>
    <t>Baryte used in brake fluids within the bus chassis</t>
  </si>
  <si>
    <t>Baryte used in brake fluids within the truck chassis</t>
  </si>
  <si>
    <t>Interior and exterior electronics in cars, trucks and buses</t>
  </si>
  <si>
    <t>assumed that the electric motor of HEB weighs 50% of the electric motor of a BEB</t>
  </si>
  <si>
    <t>Electronics in BEC</t>
  </si>
  <si>
    <t>Electronics in PHEC</t>
  </si>
  <si>
    <t>Electronics in HEC</t>
  </si>
  <si>
    <t>Electronics in ICEC</t>
  </si>
  <si>
    <t>Electronics in BEB</t>
  </si>
  <si>
    <t>Electronics in HEB</t>
  </si>
  <si>
    <t>Electronics in ICEB</t>
  </si>
  <si>
    <t>Electronics in ICET</t>
  </si>
  <si>
    <t>Beryllium powders used in form of copper alloys in electronics</t>
  </si>
  <si>
    <t>Instrumental panel and Heating, ventilation and air conditioning of ICEC</t>
  </si>
  <si>
    <t>Instrumental panel and Heating, ventilation and air conditioning of HEC and PHEC</t>
  </si>
  <si>
    <t>Instrumental panel and Heating, ventilation and air conditioning of BEC</t>
  </si>
  <si>
    <t>Instrumental panel and Heating, ventilation and air conditioning of ICEB</t>
  </si>
  <si>
    <t>Instrumental panel and Heating, ventilation and air conditioning of HEB</t>
  </si>
  <si>
    <t>Instrumental panel and Heating, ventilation and air conditioning of BEB</t>
  </si>
  <si>
    <t>Instrumental panel and Heating, ventilation and air conditioning of ICET</t>
  </si>
  <si>
    <t>assumed that the Instrumental panel and HVAC in the HEB weighs the same as the Instrumental panel and HVAC in the ICEB</t>
  </si>
  <si>
    <t>assumed that the Instrumental panel and HVAC in the BEB weighs the same as the Instrumental panel and HVAC in the ICEB</t>
  </si>
  <si>
    <t>assumed that the Instrumental panel and HVAC in the ICET weighs the same as the Instrumental panel and HVAC in the ICEC</t>
  </si>
  <si>
    <t>Instrumental panel and HVAC of BEC</t>
  </si>
  <si>
    <t>Instrumental panel and HVAC of PHEC</t>
  </si>
  <si>
    <t>Instrumental panel and HVAC of HEC</t>
  </si>
  <si>
    <t>Instrumental panel and HVAC of ICEC</t>
  </si>
  <si>
    <t>Instrumental panel and HVAC of BEB</t>
  </si>
  <si>
    <t>Instrumental panel and HVAC of HEB</t>
  </si>
  <si>
    <t>Instrumental panel and HVAC of ICEB</t>
  </si>
  <si>
    <t>Instrumental panel and HVAC of ICET</t>
  </si>
  <si>
    <t>Barytes used as soundproofing material in the vehicles body</t>
  </si>
  <si>
    <t>Barytes used as soundproofing material in bodies</t>
  </si>
  <si>
    <t>Beryllium powder used in electronics</t>
  </si>
  <si>
    <t>Fluids in ICEC</t>
  </si>
  <si>
    <t>Fluids in HEC and PHEC</t>
  </si>
  <si>
    <t>Fluids in BEC</t>
  </si>
  <si>
    <t>assumed that the amount of fluids in BECs is equal to the amount of fluids in HECs</t>
  </si>
  <si>
    <t>Fluids in ICEB</t>
  </si>
  <si>
    <t>Fluids in ICET</t>
  </si>
  <si>
    <t>Fluids in BEB</t>
  </si>
  <si>
    <t>Fluids in HEB</t>
  </si>
  <si>
    <t>assumed that the amount of fluids in ICEBs is equal to the amount of fluids in ICECs</t>
  </si>
  <si>
    <t>assumed that the amount of fluids in ICETs is equal to the amount of fluids in ICECs</t>
  </si>
  <si>
    <t>assumed that the amount of fluids in BEBs is equal to the amount of fluids in HECs</t>
  </si>
  <si>
    <t>assumed that the amount of fluids in HEBs is equal to the amount of fluids in HECs</t>
  </si>
  <si>
    <t>Fluids of BEC</t>
  </si>
  <si>
    <t>Fluids of PHEC</t>
  </si>
  <si>
    <t>Fluids of HEC</t>
  </si>
  <si>
    <t>Fluids of ICEC</t>
  </si>
  <si>
    <t>Fluids of BEB</t>
  </si>
  <si>
    <t>Fluids of HEB</t>
  </si>
  <si>
    <t>Fluids of ICEB</t>
  </si>
  <si>
    <t>Fluids of ICET</t>
  </si>
  <si>
    <t>Borates used in fluids</t>
  </si>
  <si>
    <t>Borates used in glass</t>
  </si>
  <si>
    <t>Cobalt used in Tires</t>
  </si>
  <si>
    <t>Fluorocarbon used in air conditioning</t>
  </si>
  <si>
    <t>Fluorocarbons used in air conditioning</t>
  </si>
  <si>
    <t>Rare Earth elements used in magnets</t>
  </si>
  <si>
    <t xml:space="preserve">Rare Earth elements used in the exhaust </t>
  </si>
  <si>
    <t>Aluminium plates in engine parts</t>
  </si>
  <si>
    <t>Al plates used in engine parts</t>
  </si>
  <si>
    <t>Magnesium used in instrumental panel</t>
  </si>
  <si>
    <t>Magnesium used in chassis</t>
  </si>
  <si>
    <t>Magnesium used in engine parts</t>
  </si>
  <si>
    <t>Natural rubber used in tires</t>
  </si>
  <si>
    <t>Niobium used in bodies</t>
  </si>
  <si>
    <t>Al plates used in exhaust</t>
  </si>
  <si>
    <t>Scandium used in the Al plates</t>
  </si>
  <si>
    <t>Tantalum used in electronics</t>
  </si>
  <si>
    <t>Titanium used in the chassis</t>
  </si>
  <si>
    <t>Titanium used in the engine parts</t>
  </si>
  <si>
    <t>Intermediate raw materials</t>
  </si>
  <si>
    <t>(UNEP 2011)</t>
  </si>
  <si>
    <t xml:space="preserve">Antimony oxides (primary) used to antimony powder </t>
  </si>
  <si>
    <t xml:space="preserve">Antimony waste &amp; scrap used to antimony powder </t>
  </si>
  <si>
    <t>Al oxide (primary) used to produce Al unwrought</t>
  </si>
  <si>
    <t>Al waste &amp; scrap used to produce Al unwrought</t>
  </si>
  <si>
    <t>Beryllium waste &amp; scrap used to produce Beryllium powder</t>
  </si>
  <si>
    <t>Boric acid used to produce borates</t>
  </si>
  <si>
    <t>Co intermediates used to produce cobalt powder</t>
  </si>
  <si>
    <t>Co waste &amp; scrap used to produce cobalt powder</t>
  </si>
  <si>
    <t>Fluoride used to produce Fluorocarbon</t>
  </si>
  <si>
    <t>Magnesium unwrought used to produce magnesium powder</t>
  </si>
  <si>
    <t>Magnesium waste &amp; scrap used to produce magnesium powder</t>
  </si>
  <si>
    <t>Niobium alloys used in vehicle bodies</t>
  </si>
  <si>
    <t>Niobium unwrought/powders used in niobium alloys</t>
  </si>
  <si>
    <t>Vanadium alloys used in chassis</t>
  </si>
  <si>
    <t>Vanadium powder used in LIB cells</t>
  </si>
  <si>
    <t>Vanadium powder used in vanadium alloys</t>
  </si>
  <si>
    <t>Tantalum waste &amp; scrap used to produce Tantalum powder</t>
  </si>
  <si>
    <t>Titanium oxides used to produce titanium powder</t>
  </si>
  <si>
    <t>Vanadium powder used in Vanadium alloys</t>
  </si>
  <si>
    <t>Titanium waste &amp; scrap used to produce titanium powder</t>
  </si>
  <si>
    <t>Vanadium oxides used to produce Vanadium powder</t>
  </si>
  <si>
    <t>Vanadium waste &amp; scrap used to produce Vanadium powder</t>
  </si>
  <si>
    <t>Minerals</t>
  </si>
  <si>
    <t>Antimony ores used to produce antimony oxides</t>
  </si>
  <si>
    <t>Bauxite ores used to produce Al oxides</t>
  </si>
  <si>
    <t>Antimony ores</t>
  </si>
  <si>
    <t>Bauxite ores</t>
  </si>
  <si>
    <t>Baryte ores</t>
  </si>
  <si>
    <t>Beryllium ores</t>
  </si>
  <si>
    <t>Borates natural</t>
  </si>
  <si>
    <t>Fluorspar</t>
  </si>
  <si>
    <t>Magnesium carbonate</t>
  </si>
  <si>
    <t>Niobium ores</t>
  </si>
  <si>
    <t>Lithium ores</t>
  </si>
  <si>
    <t>PGM ores</t>
  </si>
  <si>
    <t>Cobalt ores</t>
  </si>
  <si>
    <t>Tantalum ores</t>
  </si>
  <si>
    <t>Titanium ores</t>
  </si>
  <si>
    <t>Vanadium ores</t>
  </si>
  <si>
    <t>Rare Earth element compounds</t>
  </si>
  <si>
    <t>Scandium ores</t>
  </si>
  <si>
    <t>Bodies + Glass of BEC</t>
  </si>
  <si>
    <t>Bodies + Glass of PHEC</t>
  </si>
  <si>
    <t>Bodies + Glass of HEC</t>
  </si>
  <si>
    <t>Bodies + Glass of ICEC</t>
  </si>
  <si>
    <t>Bodies + Glass of BEB</t>
  </si>
  <si>
    <t>Bodies + Glass of HEB</t>
  </si>
  <si>
    <t>Bodies + Glass of ICEB</t>
  </si>
  <si>
    <t>Bodies + Glass of ICET</t>
  </si>
  <si>
    <t>Chassis+Wheels+Tires of BEC</t>
  </si>
  <si>
    <t>Chassis+Wheels+Tires of PHEC</t>
  </si>
  <si>
    <t>Chassis+Wheels+Tires of HEC</t>
  </si>
  <si>
    <t>Chassis+Wheels+Tires of ICEC</t>
  </si>
  <si>
    <t>Chassis+Wheels+Tires of BEB</t>
  </si>
  <si>
    <t>Chassis+Wheels+Tires of HEB</t>
  </si>
  <si>
    <t>Chassis+Wheels+Tires of ICEB</t>
  </si>
  <si>
    <t>Chassis+Wheels+Tires of ICET</t>
  </si>
  <si>
    <t>Safety glass used in Bodies</t>
  </si>
  <si>
    <t>Al plates used in chassis+wheels</t>
  </si>
  <si>
    <t>Barytes used in brakes (chassis)</t>
  </si>
  <si>
    <t>Cobalt used in tires (chassis)</t>
  </si>
  <si>
    <t>Natural rubber used in Panel &amp; HVAC</t>
  </si>
  <si>
    <t>Natural rubber used in Panel and HVAC</t>
  </si>
  <si>
    <t>Aluminium plates in panels HVAC in cars and trucks</t>
  </si>
  <si>
    <t>Aluminium plates in panels HVAC in buses</t>
  </si>
  <si>
    <t>Al plates used in Panel &amp; HVAC</t>
  </si>
  <si>
    <t>Battery cases of LIBs</t>
  </si>
  <si>
    <t>Battery cells (Cells) of LIBs</t>
  </si>
  <si>
    <t>Al plates used in LIB cases</t>
  </si>
  <si>
    <t>Battery cells (Cells) of PbAcBs</t>
  </si>
  <si>
    <t>Battery cases of PbAcBs</t>
  </si>
  <si>
    <t>Cells used in LIBs</t>
  </si>
  <si>
    <t>Cases used in LIBs</t>
  </si>
  <si>
    <t>Cells used in PbAcBs</t>
  </si>
  <si>
    <t>Cases used in PbAcBs</t>
  </si>
  <si>
    <t>Beryllium ores used to produce Beryllium powders</t>
  </si>
  <si>
    <t>Barium sulphate used to produce Barytes</t>
  </si>
  <si>
    <t>Cobalt ores used to produce Cobalt intermediates</t>
  </si>
  <si>
    <t>Fluorspar used to produce fluoride</t>
  </si>
  <si>
    <t>Rare Earth element ores used to produce Rare Earth elements</t>
  </si>
  <si>
    <t>Lithium ores used to produce lithium carbonate</t>
  </si>
  <si>
    <t>Magnesium cabonate used to produce magnesium unwrought</t>
  </si>
  <si>
    <t>Niobium ore used to produce niobium powder</t>
  </si>
  <si>
    <t>PGM ore used to produce PGM</t>
  </si>
  <si>
    <t>Scandium ore used to produce Scandium</t>
  </si>
  <si>
    <t>Tantalum ore used to produce tantalum powder</t>
  </si>
  <si>
    <t>Titanium ore used to produce titanium oxides</t>
  </si>
  <si>
    <t>Vanadium ore used to produce Vanadium oxide</t>
  </si>
  <si>
    <t>Cobalt used in permanent magnets</t>
  </si>
  <si>
    <t>Tantalum powder used in electronics</t>
  </si>
  <si>
    <t>Al unwrought used in electronics</t>
  </si>
  <si>
    <t>Antimony powders used in electronics</t>
  </si>
  <si>
    <t>Platinum group metals used in electronics</t>
  </si>
  <si>
    <t>Silicon used in electronics</t>
  </si>
  <si>
    <t>Titanium oxides used in electronics</t>
  </si>
  <si>
    <t>Antimony powder used in electronics</t>
  </si>
  <si>
    <t>Titanium oxide used in electronics</t>
  </si>
  <si>
    <t>Silicon ores</t>
  </si>
  <si>
    <t>Silicon ore used to produce Silicon</t>
  </si>
  <si>
    <t xml:space="preserve">Aluminium plates used in exhaust </t>
  </si>
  <si>
    <t>Mobility supply chain</t>
  </si>
  <si>
    <t>Mobility</t>
  </si>
  <si>
    <t>Total amount of vehicles in Swiss mobility sector</t>
  </si>
  <si>
    <t>Permanent magnets used in ICE equipment</t>
  </si>
  <si>
    <t>Permanent magnets used in instrumental panel and HVAC</t>
  </si>
  <si>
    <t>Magnesium powder used in instrumental panel, heating, ventilation and air conditioning</t>
  </si>
  <si>
    <t>Magnesium powder used in chassis, wheels and tires</t>
  </si>
  <si>
    <t>Platinum group metals used in internal combustion engine equipment</t>
  </si>
  <si>
    <t>Titanium powder used in internal combustion engine equipment</t>
  </si>
  <si>
    <t>Titanium powder used in exhaust</t>
  </si>
  <si>
    <t>Titanium powder used in the chassis, wheels and tires</t>
  </si>
  <si>
    <t>Magnesium powder used in internal combustion engine equipment</t>
  </si>
  <si>
    <t>Borate mineral used to produce boric acid</t>
  </si>
  <si>
    <t>Internal combustion engine equipment used in internal combustion engine</t>
  </si>
  <si>
    <t>Cells and cases used in LIBs</t>
  </si>
  <si>
    <t>Cells and cases used in PbAcBs</t>
  </si>
  <si>
    <t>Al plates used in LIB cells and cases</t>
  </si>
  <si>
    <t>Niobium unwrought/ powders used in niobium alloys</t>
  </si>
  <si>
    <t>Platinum group metals used in internal combustion engine parts</t>
  </si>
  <si>
    <t>Permanent magnets used in body of vehicles</t>
  </si>
  <si>
    <t>Permanent magnets used in chassis of vehicles</t>
  </si>
  <si>
    <t>Antimony powder used in Lead-acid battery cells and cases</t>
  </si>
  <si>
    <t>Magnesium used in Al plates</t>
  </si>
  <si>
    <t>Silicon used in Al plates</t>
  </si>
  <si>
    <t>Titanium powder used in Al plates</t>
  </si>
  <si>
    <t>Titanium used in Al plates</t>
  </si>
  <si>
    <t>Lithium used in LIB cells and cases</t>
  </si>
  <si>
    <t>Cobalt used in LIB cells and cases</t>
  </si>
  <si>
    <t>Natural graphite used in LIB cells and cases</t>
  </si>
  <si>
    <t>Lithium carbonate used in LIB cells and cases</t>
  </si>
  <si>
    <t>Temporal relevance (i.e. weight ratio multiplied with the number of times that the material/product is used over the considered time horizon)</t>
  </si>
  <si>
    <t>References:</t>
  </si>
  <si>
    <t>Shiau, C.-S.N., Samaras, C., Hauffe, R., Michalek, J.J., 2009. Impact of battery weight and charging patterns on the economic and environmental benefits of plug-in hybrid vehicles. Energy Policy. 37 (7), 2653-63. https://doi.org/10.1016/j.enpol.2009.02.040.</t>
  </si>
  <si>
    <t xml:space="preserve">Berjoza, D., Jurgena, I., 2017a. Effects of change in the weight of electric vehicles on their performance characteristics. Agronomy Research. 15, 952-63. </t>
  </si>
  <si>
    <t>Berjoza, D., Jurgena, I., 2017b. Influence of batteries weight on electric automobile performance. https://doi.org/10.22616/ERDev2017.16.N316.</t>
  </si>
  <si>
    <t>Weight of 1600 kg according to Shiau et al. (2009)</t>
  </si>
  <si>
    <t>Weight of 1600 kg according to Reynolds and Kandlikar (2007)</t>
  </si>
  <si>
    <t>Reynolds, C., Kandlikar, M., 2007. How hybrid-electric vehicles are different from conventional vehicles: The effect of weight and power on fuel consumption. Environ. Res. Lett. 2. 10.1088/1748-9326/2/1/014003.</t>
  </si>
  <si>
    <t>Weight of 1500 according to Burnham et al. (2006)</t>
  </si>
  <si>
    <t>Weight of 18000 kg according to Lehner et al. (2015)</t>
  </si>
  <si>
    <t>Weight of 14000 kg according to Intercity Transit (2012)</t>
  </si>
  <si>
    <t>Weight of 13000 kg estimated based on (MORR Transportation Consulting Ltd. 2014)</t>
  </si>
  <si>
    <t>(Berjoza and Jurgena 2017a), (Berjoza and Jurgena 2017b), (Que et al. 2015)</t>
  </si>
  <si>
    <t>(Burnham et al. 2006)</t>
  </si>
  <si>
    <t>(Zhao et al. 2021)</t>
  </si>
  <si>
    <t>estimated based on the weight of electronics in an ICEC described by Burnham et al. (2006). Assumed that this weight percentage of electronics is proportional to the weight of the other types of vehicles</t>
  </si>
  <si>
    <t>(Richa et al. 2014)</t>
  </si>
  <si>
    <t>Weight of 8000 kg estimated based on (Heawley 2021), (Weight of Stuff 2020) and (U.S. Department of Energy 2010)</t>
  </si>
  <si>
    <t>(U.S. Department of Energy 2010)</t>
  </si>
  <si>
    <t>(Rambo 2019)</t>
  </si>
  <si>
    <t>(Teslarati 2013)</t>
  </si>
  <si>
    <t>estimated based on the electric motor overview provided by Alibaba.com (2022)</t>
  </si>
  <si>
    <t>(Cummins 2023) and (Sun et al. 2021)</t>
  </si>
  <si>
    <t>(Das and Warren 2012)</t>
  </si>
  <si>
    <t>(Commercial Vehicle safety Alliance 2010)</t>
  </si>
  <si>
    <t>(TradeIndia 2023)</t>
  </si>
  <si>
    <t>(Freight Viking 2023)</t>
  </si>
  <si>
    <t>(Frías et al. 2006)</t>
  </si>
  <si>
    <t xml:space="preserve">64% of the weight of the wiring harness is associated to the actual wire according to Furukawa Automotive systems (2012). 79% of the EV wiring consists of copper wires according to Grand View Research (2019). </t>
  </si>
  <si>
    <t>(Nguyen et al. 2019)</t>
  </si>
  <si>
    <t>(Menad and Seron 2016)</t>
  </si>
  <si>
    <t>The weight% of Al plates in bodies is estimated based on the "aluminium volume share of body and closure components" stated on page 16 in the source. The aluminium content of the alloys used for Al plates is determined based on the data reported by Vijayakumar et al. (2021) and Mehdi et al. (2015).</t>
  </si>
  <si>
    <t>(Aluminium Information Portal 2023)</t>
  </si>
  <si>
    <t>estimated based on (Burnham et al. 2006)</t>
  </si>
  <si>
    <t>(Punsalang 2021)</t>
  </si>
  <si>
    <t xml:space="preserve">around 85% steel is used in the vehicle bodies according to Drive Aluminium (2014) and the niobium content of this steel is between 0.03 and 0.004% according to Narita and Miyamoto (1964). </t>
  </si>
  <si>
    <t>(Jiménez-Lugos et al. 2022), (Liu and Qiu 2018)</t>
  </si>
  <si>
    <t>(Otunniyi and Vermaak 2009)</t>
  </si>
  <si>
    <t>(Borates Today 2021)</t>
  </si>
  <si>
    <t>(Hexion 2020)</t>
  </si>
  <si>
    <t>(BJMT/Ideal 2014)</t>
  </si>
  <si>
    <t>(Pagliaro and Meneguzzo 2019)</t>
  </si>
  <si>
    <t>(Kodikara and De Silva 2018)</t>
  </si>
  <si>
    <t>(Pagliaro and Meneguzzo 2019), (Engels et al. 2022)</t>
  </si>
  <si>
    <t>(Oponeo 2020)</t>
  </si>
  <si>
    <t>(Omrani et al. 2020)</t>
  </si>
  <si>
    <t>(AZO Materials 2014)</t>
  </si>
  <si>
    <t xml:space="preserve">22% of the tantalum electrical capacitors consists of tantalum powder according to Chen et al. (2022). Around 10% of the used capacitors are tantalum capacitors according to QV Research (2020). Capacitors account for 8.6% of the mass of printed circuit boards according to Stamate et al. (2019). </t>
  </si>
  <si>
    <t>8-10% of the total vehicle weight is magnesium and titanium according to Takebe and Takahashi (2019) and Takahashi et al. (2020). We assume that 50% of this weight is titanium. Furhermore, we assume that 50% of this titanium is used in the chassis components and 50% of this titanium is used in the engine parts.</t>
  </si>
  <si>
    <t>(Batool et al. 2018)</t>
  </si>
  <si>
    <t>Alibaba.com, 2022. Rawsuns electric motor for car conversion kit electric car ac motor electric motor PMSM 25kw 50kw for 2T Truck. https://rawsun.en.alibaba.com/product/1600195764858-818146099/Rawsuns_kit_conversion_auto_electrico_EV_allpy_to_2T_Truck.html (accessed 21/01/2023).</t>
  </si>
  <si>
    <t>Aluminium Information Portal, 2023. Aluminium Guide Understanding of Aluminium  - Scientifically. Technically. Plainly. https://aluminium-guide.com/en/alyuminievye-kolesnye-diski/ (accessed 22/01/2023).</t>
  </si>
  <si>
    <t>Atabaki, M., 2012. Characterization of Transient Liquid-Phase Bonded Joints in a Copper-Beryllium Alloy with Silver-base Interlayer. Journal of Materials Engineering and Performance - J MATER ENG PERFORM. 21, 1-6. 10.1007/s11665-011-9953-9.</t>
  </si>
  <si>
    <t>AZO Materials, 2014. An Overview Of Aluminium-Scandium (AlSc). https://www.azom.com/article.aspx?ArticleID=10670 (accessed 22/01/2023).</t>
  </si>
  <si>
    <t>Batool, S., Ahmad, A., Wadood, A., Mateen, A., Husain, S., 2018. Development of Lightweight Aluminum-Titanium Alloys for Aerospace Applications. Key Engineering Materials. 778, 22-27. 10.4028/www.scientific.net/KEM.778.22.</t>
  </si>
  <si>
    <t>Bian, Y., Guo, S., Jiang, L., Tang, K., Ding, W., 2015. Extraction of Rare Earth Elements from Permanent Magnet Scraps by FeO–B2O3 Flux Treatment. Journal of Sustainable Metallurgy. 1 (2), 151-60. 10.1007/s40831-015-0009-5.</t>
  </si>
  <si>
    <t>BJMT/Ideal, 2014. Samarium Cobalt vs Neodymium Magnets. https://idealmagnetsolutions.com/knowledge-base/samarium-cobalt-vs-neodymium-magnets/ (accessed 09/01/2023).</t>
  </si>
  <si>
    <t>Booten, C.W., Nicholson, S.R., Mann, M.K., Abdelaziz, O., 2020. Refrigerants: Market Trends and Supply Chain Assessment, (United States), Medium: ED; Size: 79 p. 10.2172/1599577.</t>
  </si>
  <si>
    <t>Borates Today, 2021. Boron Rewrites the Rules for the Automotive Industry - How is Boron Used In The Automotive Industry? https://borates.today/boron-automotive-industry/ (accessed 22/01/2023).</t>
  </si>
  <si>
    <t>Burnham, A., Wang, M.Q., Wu, Y., 2006. Development and applications of GREET 2.7 -- The Transportation Vehicle-CycleModel, (United States), Medium: ED. 10.2172/898530.</t>
  </si>
  <si>
    <t>Cerdas Marin, J.F., Titscher, P., von Drachenfels, N., Schmuch, R., Winter, M., Kwade, A., Herrmann, C., 2018. Exploring the Effect of Increased Energy Density on the Environmental Impacts of Traction Batteries: A Comparison of Energy Optimized Lithium-Ion and Lithium-Sulfur Batteries for Mobility Applications. Energies. 11, 150. https://doi.org/10.3390/en11010150.</t>
  </si>
  <si>
    <t>Chen, W.-S., Hsiao, C.-Y., Lee, C.-H., 2022. Recovery of Tantalum and Manganese from Epoxy-Coated Solid Electrolyte Tantalum Capacitors through Selective Leaching and Chlorination Processes, Materials, 15 (2). 10.3390/ma15020656</t>
  </si>
  <si>
    <t xml:space="preserve">Commercial Vehicle safety Alliance, 2010. Inspection of Vehicles Equipped with 2007 &amp; 2010 EPA Certified Engines, in North American Standard Inspection Program (ed.). </t>
  </si>
  <si>
    <t xml:space="preserve">Constantinides, S., 2013. Rare Earth Elements in Transportation, in Arnold Magnetic Technologies Corporation (ed.). </t>
  </si>
  <si>
    <t>ConverterGuys, 2019. Catalytic Converter Recycling—A Potential Market in United States. https://www.converterguys.com/catalytic-converter-recycling-a-potential-market-in-united-states/ (accessed 22/01/2023).</t>
  </si>
  <si>
    <t>Cummins, 2023. ISB6.7 for Euro Truck &amp; Bus. https://www.cummins.com/engines/isb67 (accessed 21/01/2023).</t>
  </si>
  <si>
    <t xml:space="preserve">Das, S., Warren, D., 2012. Technical Cost Modeling - Life Cycle Analysis Basis for Program Focus, in Oak Ridge National Laboratory (ed.). </t>
  </si>
  <si>
    <t>Diekmann, J., Hanisch, C., Froböse, L., Schälicke, G., Loellhoeffel, T., Fölster, A.-S., Kwade, A., 2016. Ecological Recycling of Lithium-Ion Batteries from Electric Vehicles with Focus on Mechanical Processes. Journal of The Electrochemical Society. 164 (1), A6184-A91. https://doi.org/10.1149/2.0271701jes.</t>
  </si>
  <si>
    <t xml:space="preserve">Drive Aluminium, 2014. 2015 North American Light Vehicle Aluminum Content Study, in Ducker Worldwide (ed.). </t>
  </si>
  <si>
    <t>Engels, P., Cerdas, F., Dettmer, T., Frey, C., Hentschel, J., Herrmann, C., Mirfabrikikar, T., Schueler, M., 2022. Life cycle assessment of natural graphite production for lithium-ion battery anodes based on industrial primary data. Journal of Cleaner Production. 336, 130474. https://doi.org/10.1016/j.jclepro.2022.130474.</t>
  </si>
  <si>
    <t>Freight Viking, 2023. How Much Does A Semi Truck Battery Weigh? (12 Cool Facts). https://freightviking.com/how-much-semi-truck-battery-weigh/ (accessed 21/01/2023).</t>
  </si>
  <si>
    <t xml:space="preserve">Frías, C., Ocaña, N., Díaz, G., Piper, T.C., Bulkowski, B., Chmielarz, A., Claisse, P.A., Hemmings, S., Abrantes, L.M., Jansen, H.R., Erkel, J.v., Franken, T., Kunicky, Z., Velea, T., 2006. A clean-lead factory is available for lead-acid batteries recycling by means of the "cleanlead process". </t>
  </si>
  <si>
    <t xml:space="preserve">Furukawa Automotive systems, 2012. Aluminum Wire Harness, in Furukawa Review (ed.). </t>
  </si>
  <si>
    <t>Google Patents, 2020. High-sound-insulation polypropylene composite material for automobile engine compartment and preparation method thereof. https://patents.google.com/patent/CN112724533A/en (accessed 22/01/2023).</t>
  </si>
  <si>
    <t>Grand View Research, 2019. Magnet Wire Market Size, Share &amp; Trends Analysis Report By Material, By Product, By End Use, By Region, And Segment Forecasts, 2019 - 2025. https://www.grandviewresearch.com/industry-analysis/magnet-wire-market (accessed 16/11/2021).</t>
  </si>
  <si>
    <t>Harper, B., Gervais, J.A., Buhl, K., Stone, D., 2012. Boric Acid Technical Fact Sheet. http://npic.orst.edu/factsheets/archive/borictech.html (accessed 22/01/2023).</t>
  </si>
  <si>
    <t>Heawley, D., 2021. How Much Does a Semi Truck Weigh? https://www.jdpower.com/cars/shopping-guides/how-much-does-a-semi-truck-weigh (accessed 21/01/2023).</t>
  </si>
  <si>
    <t xml:space="preserve">Hexion, 2020. Excellent Rubber Adhesion with Cobalt Salts of Versatic™ Acid 10. </t>
  </si>
  <si>
    <t>Hightpower Service Inc., 2018. How Much Refrigerant Is In A Home Air Conditioner. https://hightowerservice.com/how-much-refrigerant-is-in-a-home-air-conditioner/ (accessed).</t>
  </si>
  <si>
    <t>Intercity Transit, 2012. Hybrid Bus Fact Sheet. https://www.intercitytransit.com/sites/default/files/2016-07/HybridFactSheet20120802.pdf (accessed 21/01/2023).</t>
  </si>
  <si>
    <t>IspatGuru, 2020. Vanadium in Steels. https://www.ispatguru.com/vanadium-in-steels/ (accessed 22/01/2023).</t>
  </si>
  <si>
    <t>Jiménez-Lugos, J.C., Sánchez-Alvarado, R.G., Cruz, A., Romero-Serrano, J.A., Hernandez, A., Rivera-Salinas, J.E., 2022. Antimony recovery from recycled terminals of lead-acid batteries with Na2CO3 and SiC after the formation of Sb2O3. Journal of Mining and Metallurgy Section B Metallurgy. 58, 97-108. 10.2298/JMMB210616052J.</t>
  </si>
  <si>
    <t>Ko, G.S., Raza, W., Park, Y.C., 2021. Capacity control of a vehicle air-conditioning system using pulse width modulated duty cycle compressor. Case Studies in Thermal Engineering. 26, 100986. https://doi.org/10.1016/j.csite.2021.100986.</t>
  </si>
  <si>
    <t>Kodikara, N., De Silva, I., 2018. Study of the Effects of Magnesium Content on the Mechanical Properties of Aluminium 6063 Extrudates. Engineer: Journal of the Institution of Engineers, Sri Lanka. 51, 1. 10.4038/engineer.v51i2.7289.</t>
  </si>
  <si>
    <t>Lehner, S., Rogge, M., Becker, J., Sauer, D.U., 2015. Battery Design for Successful Electrification in Public Transport. Energies. 8, 6715-37. 10.3390/en8076715.</t>
  </si>
  <si>
    <t>Liu, T., Qiu, K., 2018. Removing antimony from waste lead storage batteries alloy by vacuum displacement reaction technology. J Hazard Mater. 347, 334-40. 10.1016/j.jhazmat.2018.01.017.</t>
  </si>
  <si>
    <t xml:space="preserve">Mehdi, D., Sharma, S., Anas, M., Sharma, N., 2015. The Influences of Variation of Copper Content on the Mechanical Properties of Aluminium Alloy. 03, 74-86. </t>
  </si>
  <si>
    <t xml:space="preserve">Menad, N.-E., Seron, A., 2016. CHARACTERISATION OF PERMANENT MAGNETS FROM WEEE, 6th International Conference on Engineering for Waste and Biomass Valorisation (Albi, France). </t>
  </si>
  <si>
    <t>Menapace, C., Leonardi, M., Matějka, V., Gialanella, S., Straffelini, G., 2018. Dry sliding behavior and friction layer formation in copper-free barite containing friction materials. Wear. 398-399, 191-200. https://doi.org/10.1016/j.wear.2017.12.008.</t>
  </si>
  <si>
    <t>Moravej, M., 2019. Borates in Glass Manufacturing: Unbreakable Benefits, Unbeatable Versatility. https://www.borax.com/news-events/october-2019/borates-in-glass-manufacturing (accessed 22/01/2023).</t>
  </si>
  <si>
    <t xml:space="preserve">MORR Transportation Consulting Ltd., 2014. AN ANALYSIS OF TRANSIT BUS AXLE WEIGHT ISSUES, in American Public Transportation Association (ed.). </t>
  </si>
  <si>
    <t>Nancharaiah, Y.V., Mohan, S.V., Lens, P.N.L., 2016. Biological and Bioelectrochemical Recovery of Critical and Scarce Metals. Trends in Biotechnology. 34 (2), 137-55. https://doi.org/10.1016/j.tibtech.2015.11.003.</t>
  </si>
  <si>
    <t>Narita, K., Miyamoto, A., 1964. Effects of Niobium on Steel</t>
  </si>
  <si>
    <t>Study of special chemical elements in steel-II. Tetsu-to-Hagane. 50 (2), 174-82. 10.2355/tetsutohagane1955.50.2_174.</t>
  </si>
  <si>
    <t>Next Source materials, 2017. About Vanadium. https://www.nextsourcematerials.com/vanadium/about-vanadium/ (accessed 22/01/2023).</t>
  </si>
  <si>
    <t>Nguyen, R.T., Imholte, D.D., Matthews, A.C., Swank, W.D., 2019. NdFeB content in ancillary motors of U.S. conventional passenger cars and light trucks: Results from the field. Waste Management. 83, 209-17. https://doi.org/10.1016/j.wasman.2018.11.017.</t>
  </si>
  <si>
    <t>Omrani, M., Goriaux, M., Liu, Y., Martinet, S., Jean-Soro, L., Ruban, V., 2020. Platinum group elements study in automobile catalysts and exhaust gas samples. Environmental Pollution. 257, 113477. https://doi.org/10.1016/j.envpol.2019.113477.</t>
  </si>
  <si>
    <t>Oponeo, 2020. What Are Tyres Made of? The Nature of Tyre Rubber. https://www.oponeo.co.uk/blog/what-are-tyres-made-of (accessed 22/01/2023).</t>
  </si>
  <si>
    <t>Otunniyi, I., Vermaak, M., 2009. Froth flotation for beneficiation of printed circuit boards comminution fines: An overview. Mineral Processing and Extractive Metallurgy Review - MINER PROCESS EXTR METALL REV. 30, 101-21. 10.1080/08827500802333123.</t>
  </si>
  <si>
    <t>Pagliaro, M., Meneguzzo, F., 2019. Lithium battery reusing and recycling: A circular economy insight. Heliyon. 5 (6), e01866. https://doi.org/10.1016/j.heliyon.2019.e01866.</t>
  </si>
  <si>
    <t>Punsalang, E., 2021. Slip-On Exhaust Market Expected To See Double-Digit Growth. https://www.rideapart.com/news/463837/slip-on-exhaust-industry-trends/ (accessed 22/01/2023).</t>
  </si>
  <si>
    <t>Que, Z., Wang, S., Li, W., 2015. Potential of Energy Saving and Emission Reduction of Battery Electric Vehicles with Two Type of Drivetrains in China. Energy Procedia. 75, 2892-97. 10.1016/j.egypro.2015.07.584.</t>
  </si>
  <si>
    <t>QV Research, 2020. Electric Capacitors Industry Research Report. https://zhuanlan.zhihu.com/p/123925890 (accessed 22/01/2023).</t>
  </si>
  <si>
    <t>Rambo, S., 2019. Shedding Pounds In Automotive Electronics. https://semiengineering.com/shedding-pounds-in-automotive-electronics/ (accessed 21/01/2023).</t>
  </si>
  <si>
    <t>Rassõlkin, A., Kallaste, A., Orlova, S., Gevorkov, L., Vaimann, T., Belahcen, A., 2018. Re-Use and Recycling of Different Electrical Machines. Latvian Journal of Physics and Technical Sciences. 55. 10.2478/lpts-2018-0025.</t>
  </si>
  <si>
    <t xml:space="preserve">Richa, J., M, V., Tandon, P., 2014. Optimization methodology for beam gauges of the bus body for weight reduction. Applied and Computational Mechanics. 8, 47-62. </t>
  </si>
  <si>
    <t>Stamate, C., Doroftei, I., Chirita, D., Burlacu, A., 2019. On designing an automated tool for capacitors removal from waste printed circuits boards. IOP Conference Series: Materials Science and Engineering. 591, 012082. 10.1088/1757-899X/591/1/012082.</t>
  </si>
  <si>
    <t>Sun, R., Chen, Y., Dubey, A., Pugliese, P., 2021. Hybrid electric buses fuel consumption prediction based on real-world driving data. Transportation Research Part D: Transport and Environment. 91, 102637. https://doi.org/10.1016/j.trd.2020.102637.</t>
  </si>
  <si>
    <t xml:space="preserve">Takahashi, K., Mori, K., Takebe, H., 2020. Application of Titanium and its Alloys for Automobile Parts. MATEC Web Conf. 321, 02003. </t>
  </si>
  <si>
    <t xml:space="preserve">Takebe, H., Takahashi, K., 2019. Applications of Titanium and Its Alloys for Weight Reduction of Automobile, in Nippon Steel (ed.). </t>
  </si>
  <si>
    <t>Teslarati, 2013. Tesla Model S Weight Distribution. https://www.teslarati.com/tesla-model-s-weight/ (accessed 21/01/2023).</t>
  </si>
  <si>
    <t>TradeIndia, 2023. Rechargeable 180 Ah 12 Volt Bus Hcv Automotive Sealed Lead Acid Battery Net Weight: 58.5 (Filled) Kilograms (Kg). https://www.tradeindia.com/products/rechargeable-180-ah-12-volt-bus-hcv-automotive-sealed-lead-acid-battery-7333006.html (accessed 21/01/2023).</t>
  </si>
  <si>
    <t xml:space="preserve">U.S. Department of Energy, 2010. Compendium of Transportation Facts of the Week posted on the Vehicle Technologies Office website in calendar year 2010. </t>
  </si>
  <si>
    <t xml:space="preserve">UNEP, 2011. Recycling Rates of Metals A Status Report. </t>
  </si>
  <si>
    <t>Vijayakumar, M.D., Dhinakaran, V., Sathish, T., Muthu, G., ram, P.M.B., 2021. Experimental study of chemical composition of aluminium alloys. Materials Today: Proceedings. 37, 1790-93. https://doi.org/10.1016/j.matpr.2020.07.391.</t>
  </si>
  <si>
    <t>Weight of Stuff, 2020. How Much Does a Truck Weigh? (All US Truck Classification Weights). (updated 21/01/2023) https://weightofstuff.com/how-much-does-a-truck-weigh/ (accessed).</t>
  </si>
  <si>
    <t>Woodall, B., 2012. GM tests magnesium sheet metal to make cars lighter. https://www.reuters.com/article/us-gm-magnesium-idUSBRE89M0UP20121023 (accessed 22/01/2023).</t>
  </si>
  <si>
    <t>Zhao, E., Walker, P., Surawski, N., 2021. Emissions life cycle assessment of diesel, hybrid and electric buses. Proceedings of the Institution of Mechanical Engineers, Part D: Journal of Automobile Engineering. 236, 095440702110343. 10.1177/09544070211034318.</t>
  </si>
  <si>
    <t>Zhao, Z., Qiu, Z., Yang, J., Ma, B., Li, Z., Lu, S., Xu, Y., Cao, L., Zhang, W., 2020. Recovery of Rare Earth Element Cerium from Spent Automotive Exhaust Catalysts Using a Novel Method. Waste and Biomass Valorization. 11 (9), 4967-76. 10.1007/s12649-019-00783-x.</t>
  </si>
  <si>
    <t>Weight%</t>
  </si>
  <si>
    <t>BEC</t>
  </si>
  <si>
    <t>ICEC</t>
  </si>
  <si>
    <t>Lithium-ion battery</t>
  </si>
  <si>
    <t>Internal combustion engine</t>
  </si>
  <si>
    <t>Electric motor of PHEC and HEC</t>
  </si>
  <si>
    <t>Sum of weight% for components of PHEC</t>
  </si>
  <si>
    <t>Sum of weight% for components of HEC</t>
  </si>
  <si>
    <t>Rest of PHEC and HEC (equal to Rest of ICEC)</t>
  </si>
  <si>
    <t>ICEB</t>
  </si>
  <si>
    <t>HEB</t>
  </si>
  <si>
    <t>HEC</t>
  </si>
  <si>
    <t>PHEC</t>
  </si>
  <si>
    <t>BEB</t>
  </si>
  <si>
    <t>ICET</t>
  </si>
  <si>
    <t>Interior and exterior electronics</t>
  </si>
  <si>
    <t>Bodies</t>
  </si>
  <si>
    <t>Chassis</t>
  </si>
  <si>
    <t>Wiring</t>
  </si>
  <si>
    <t>Electric motor</t>
  </si>
  <si>
    <t>Glass</t>
  </si>
  <si>
    <t>Wheels</t>
  </si>
  <si>
    <t>Tires</t>
  </si>
  <si>
    <t>Instrumental panel and Heating, ventilation and air conditioning</t>
  </si>
  <si>
    <t>Exhaust</t>
  </si>
  <si>
    <t>Lead-acid batteries</t>
  </si>
  <si>
    <t>Fluids</t>
  </si>
  <si>
    <t>Rest</t>
  </si>
  <si>
    <t>Weight% determined based on literature</t>
  </si>
  <si>
    <t>literature</t>
  </si>
  <si>
    <t>(Berjoza and Jurgena 2017a), (Berjoza and Jurgena 2017b), (Que et al. 2015), (Shiau et al. 2009), (Pesaran 2007), (Nelson et al. 2007), (Axsen et al. 2008), (Burnham et al. 2006), (Zhao et al. 2021)</t>
  </si>
  <si>
    <t>(Burnham et al. 2006), (Richa et al. 2014)</t>
  </si>
  <si>
    <t>(Burnham et al. 2006), (Richa et al. 2014), (U.S. Department of Energy 2010)</t>
  </si>
  <si>
    <t>(Burnham et al. 2006), (Richa et al. 2014), (U.S. Department of Energy 2010), (Cummins 2023) and (Sun et al. 2021)</t>
  </si>
  <si>
    <t>(Burnham et al. 2006), (Teslarati 2013), (Alibaba.com 2022)</t>
  </si>
  <si>
    <t>(Burnham et al. 2006), (U.S. Department of Energy 2010), (Das and Warren 2012)</t>
  </si>
  <si>
    <t>(Burnham et al. 2006), (Das and Warren 2012)</t>
  </si>
  <si>
    <t>(Burnham et al. 2006), (Commercial Vehicle safety Alliance 2010)</t>
  </si>
  <si>
    <t>(Burnham et al. 2006), (TradeIndia 2023), (Freight Viking 2023)</t>
  </si>
  <si>
    <t>An amount equal to the rest of ICEC is assumed for the rest of HEC and PHEC. The rest of BEB and HEB is estimated based on the rest of ICEB proportional to the respective weight.</t>
  </si>
  <si>
    <t>Sum</t>
  </si>
  <si>
    <t>Weight% estimated for our study</t>
  </si>
  <si>
    <t>Interior and exterior electronics in BEC, ICEC, ICET</t>
  </si>
  <si>
    <t>Interior and exterior electronics in PHEC</t>
  </si>
  <si>
    <t>Interior and exterior electronics in HEC</t>
  </si>
  <si>
    <t>Interior and exterior electronics in BEB</t>
  </si>
  <si>
    <t>Interior and exterior electronics in HEB</t>
  </si>
  <si>
    <t>Interior and exterior electronics in ICEB</t>
  </si>
  <si>
    <t>See tab "Weight% of vehicle components" for the estimation of the weight%</t>
  </si>
  <si>
    <t>Wiring in BEC, ICEC, ICET</t>
  </si>
  <si>
    <t>Wiring in PHEC</t>
  </si>
  <si>
    <t>Wiring in HEC</t>
  </si>
  <si>
    <t>Wiring in BEB</t>
  </si>
  <si>
    <t>Wiring in HEB</t>
  </si>
  <si>
    <t>Wiring in ICEB</t>
  </si>
  <si>
    <t>Instrumental panel and Heating, ventilation and air conditioning of HEC</t>
  </si>
  <si>
    <t>Instrumental panel and Heating, ventilation and air conditioning of PHEC</t>
  </si>
  <si>
    <t>Fluids in HEC</t>
  </si>
  <si>
    <t>Fluids in PHEC</t>
  </si>
  <si>
    <t>Sum of weight% for lithium-ion battery, internal combustion engine, electric motor and fluids</t>
  </si>
  <si>
    <t>Sum of weight% w/o lithium-ion battery, internal combustion engine, electric motor and fluids</t>
  </si>
  <si>
    <t>Following UNEP (2011), it is assumed that 5% of the REE are produced from end-of-life products.</t>
  </si>
  <si>
    <t>Weight of 1800 kg according to Berjoza and Jurgena (2017a) and Berjoza and Jurgena (2017b)</t>
  </si>
  <si>
    <t>Following U.S. Department of Energy (2010), it is assumed that weight category "Wheels and Tires" consists of 50% wheels and 50% tires.</t>
  </si>
  <si>
    <t>It is assumed that the weight percentage of the bus wheels is equal to the weight percentage described by Das and Warren (2012) for the wheels of the pick-up truck. Following Burnham et al. (2006), it is assumed that weight category "Wheels and Tires" consists of 50% wheels and 50% tires.</t>
  </si>
  <si>
    <t>Instrumental panel: 1% of total weight and HVAC: 2% of total weight; It is assumed that the weight percentage of the bus Instrumental panel and HVAC is equal to the weight percentage described by Das and Warren (2012) for the pick-up truck.</t>
  </si>
  <si>
    <t>includes the magnets used for the window motors, front windshield wiper motor, sunroof motor, door latch motor, windshield washer pump, mirror adjustment motors and folding mirror motor. Equal weight percentages of magnets used in the bodies of the different vehicles are assumed.</t>
  </si>
  <si>
    <t>includes the magnets used for the window motors, front windshield wiper motor, sunroof motor, door latch motor, windshield washer pump, mirror adjustment motors and folding mirror motor. Equal weight percentages of magnets used in the chassis of the different vehicles are assumed.</t>
  </si>
  <si>
    <t>includes the magnets used for the power steering motor, the starter motor, the fuel pump and the throttle motor. Equal weight percentages of magnets used in the internal combustion engines of the different vehicles are assumed.</t>
  </si>
  <si>
    <t>includes the magnets used for the subwoofer, rear speakers, front speakers, radiator &amp; HVAC and heating &amp; AC blowers. Equal weight percentages of magnets used in the instrumental panels and HVAC of the different vehicles are assumed.</t>
  </si>
  <si>
    <t>The weight% of Al plates in chassis is estimated based on the "aluminium volume share of body and closure components" stated on page 16 in the source. The aluminium content of the alloys used for Al plates is determined based on the data reported by Vijayakumar et al. (2021) and Mehdi et al. (2015).</t>
  </si>
  <si>
    <t xml:space="preserve">Based on Burnham et al. (2006), it is assumed that the chassis parts, which are not made from Al, magnesium or titanium, is made out of steel. This steel is alloyed with vanadium according to Next Source materials (2017). The vanadium content of the steel is around 0.2% according to IspatGuru (2020). </t>
  </si>
  <si>
    <t xml:space="preserve">Concentration of barytes in the fluid is 5% according to Menapace et al. (2018). The weight of brake fluids is estimated based on Burnham et al. (2006). </t>
  </si>
  <si>
    <t xml:space="preserve">It is assumed that the plastics in the body hardware of the ICEC described by Burnham et al. (2006) contains barytes as soundproofing material. The concentration of barytes in the plastic is 0 to 30% according to Google Patents (2020). </t>
  </si>
  <si>
    <t xml:space="preserve">The percentage of copper in the electronics is estimated based on Burnham et al. (2006) and the weight percentage of Beryllium in copper alloys is determined based on Atabaki (2012). </t>
  </si>
  <si>
    <t>Boric oxide amount used for glass manufacturing is determined following Moravej (2019). The content of boric oxide in borates is determined based on Harper et al. (2012).</t>
  </si>
  <si>
    <t>Cobalt content of lithium-ion batteries is determined based on Pagliaro and Meneguzzo (2019). Accordingly, Nancharaiah et al. (2016) states that the cobalt content of a Li-ion battery ranges between 5 and 20 wt%.</t>
  </si>
  <si>
    <t xml:space="preserve">Global refrigerants contain 44% fluorocarbon according to Booten et al. (2020). 2-4 pounds of refrigerant per ton of cooling is used in air conditioners according to Hightpower Service Inc. (2018). Cooling capacity of automotive air conditioning systems is estimated with around 2 ton following Ko et al. (2021). </t>
  </si>
  <si>
    <t>Mainly Cerium out of the Rare Earth elements is used in automotive catalysts according to Constantinides (2013). 5.31% of Cerium is used in automotive catalyst, according to Z. Zhao et al. (2020). The average catalyst weighs around 3kg according to ConverterGuys (2019) and it is estimated that the average exhaust system weighs around 45kg.</t>
  </si>
  <si>
    <t>Over 30% of Rare Earth elements are used in magnets according to Bian et al. (2015)</t>
  </si>
  <si>
    <t>About 0.26% of the total average vehicle weight is magnesium according to Kiani et al. (2014) and Woodall (2012). It is assumed that 50% of this magnesium is used in the chassis components and 50% of this magnesium is used in the engine parts.</t>
  </si>
  <si>
    <t>About 0.26% of the total average vehicle weight is magnesium according to Kiani et al. (2014) and Woodall (2012). it is assumed that 50% of this magnesium is used in the chassis components and 50% of this magnesium is used in the engine parts.</t>
  </si>
  <si>
    <t>The amount of vanadium to lithium is used in a LIB by 1:1 ratio according to Next Source materials (2017).</t>
  </si>
  <si>
    <t xml:space="preserve">The value is estimated based on the weight of electronics in an ICEC described by Burnham et al. (2006). It is assumed that this weight percentage of electronics is proportional to the weight of the other types of vehicles. </t>
  </si>
  <si>
    <t>It is assumed that the Instrumental panel and HVAC in the BEC weighs the same as the Instrumental panel and HVAC in the ICEC.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</si>
</sst>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 #,##0.00_ ;_ * \-#,##0.00_ ;_ * &quot;-&quot;??_ ;_ @_ "/>
    <numFmt numFmtId="164" formatCode="0.000%"/>
    <numFmt numFmtId="165" formatCode="0.0%"/>
    <numFmt numFmtId="166" formatCode="_ * #,##0_ ;_ * \-#,##0_ ;_ * &quot;-&quot;??_ ;_ @_ "/>
    <numFmt numFmtId="167" formatCode="0.0000%"/>
  </numFmts>
  <fonts count="6" x14ac:knownFonts="1">
    <font>
      <sz val="10"/>
      <color theme="1"/>
      <name val="Segoe UI"/>
      <family val="2"/>
    </font>
    <font>
      <sz val="10"/>
      <color theme="1"/>
      <name val="Segoe UI"/>
      <family val="2"/>
    </font>
    <font>
      <u/>
      <sz val="11"/>
      <color theme="10"/>
      <name val="Calibri"/>
      <family val="2"/>
    </font>
    <font>
      <b/>
      <sz val="10"/>
      <color theme="1"/>
      <name val="Segoe UI"/>
      <family val="2"/>
    </font>
    <font>
      <sz val="10"/>
      <name val="Segoe UI"/>
      <family val="2"/>
    </font>
    <font>
      <sz val="11"/>
      <name val="Calibri"/>
      <family val="2"/>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4">
    <xf numFmtId="0" fontId="0" fillId="0" borderId="0"/>
    <xf numFmtId="43" fontId="1" fillId="0" borderId="0" applyFont="0" applyFill="0" applyBorder="0" applyAlignment="0" applyProtection="0"/>
    <xf numFmtId="0" fontId="2" fillId="0" borderId="0" applyNumberFormat="0" applyFill="0" applyBorder="0" applyAlignment="0" applyProtection="0">
      <alignment vertical="top"/>
      <protection locked="0"/>
    </xf>
    <xf numFmtId="9" fontId="1" fillId="0" borderId="0" applyFont="0" applyFill="0" applyBorder="0" applyAlignment="0" applyProtection="0"/>
  </cellStyleXfs>
  <cellXfs count="43">
    <xf numFmtId="0" fontId="0" fillId="0" borderId="0" xfId="0"/>
    <xf numFmtId="0" fontId="0" fillId="0" borderId="0" xfId="0" applyFont="1"/>
    <xf numFmtId="0" fontId="0" fillId="0" borderId="0" xfId="0" applyAlignment="1">
      <alignment wrapText="1"/>
    </xf>
    <xf numFmtId="1" fontId="0" fillId="0" borderId="0" xfId="0" applyNumberFormat="1"/>
    <xf numFmtId="0" fontId="0" fillId="0" borderId="0" xfId="0" applyFont="1" applyAlignment="1">
      <alignment wrapText="1"/>
    </xf>
    <xf numFmtId="9" fontId="0" fillId="0" borderId="0" xfId="3" applyFont="1"/>
    <xf numFmtId="0" fontId="0" fillId="0" borderId="0" xfId="0" applyAlignment="1">
      <alignment vertical="center"/>
    </xf>
    <xf numFmtId="10" fontId="0" fillId="0" borderId="0" xfId="3" applyNumberFormat="1" applyFont="1"/>
    <xf numFmtId="0" fontId="0" fillId="0" borderId="0" xfId="0" applyFont="1" applyFill="1" applyAlignment="1">
      <alignment wrapText="1"/>
    </xf>
    <xf numFmtId="0" fontId="4" fillId="0" borderId="0" xfId="2" applyFont="1" applyFill="1" applyAlignment="1" applyProtection="1"/>
    <xf numFmtId="0" fontId="2" fillId="0" borderId="0" xfId="2" applyAlignment="1" applyProtection="1"/>
    <xf numFmtId="0" fontId="3" fillId="0" borderId="0" xfId="0" applyFont="1" applyAlignment="1">
      <alignment wrapText="1"/>
    </xf>
    <xf numFmtId="10" fontId="4" fillId="0" borderId="0" xfId="2" applyNumberFormat="1" applyFont="1" applyAlignment="1" applyProtection="1"/>
    <xf numFmtId="0" fontId="0" fillId="0" borderId="0" xfId="0" applyFont="1" applyFill="1" applyBorder="1" applyAlignment="1">
      <alignment wrapText="1"/>
    </xf>
    <xf numFmtId="0" fontId="0" fillId="0" borderId="0" xfId="0" applyFont="1" applyAlignment="1"/>
    <xf numFmtId="10" fontId="0" fillId="0" borderId="0" xfId="0" applyNumberFormat="1" applyFont="1"/>
    <xf numFmtId="9" fontId="0" fillId="0" borderId="0" xfId="0" applyNumberFormat="1" applyFont="1"/>
    <xf numFmtId="10" fontId="0" fillId="0" borderId="0" xfId="3" applyNumberFormat="1" applyFont="1" applyFill="1" applyBorder="1" applyAlignment="1">
      <alignment wrapText="1"/>
    </xf>
    <xf numFmtId="0" fontId="0" fillId="0" borderId="0" xfId="1" applyNumberFormat="1" applyFont="1" applyAlignment="1">
      <alignment horizontal="left"/>
    </xf>
    <xf numFmtId="0" fontId="0" fillId="0" borderId="0" xfId="1" applyNumberFormat="1" applyFont="1" applyAlignment="1"/>
    <xf numFmtId="1" fontId="3" fillId="0" borderId="0" xfId="0" applyNumberFormat="1" applyFont="1" applyAlignment="1">
      <alignment wrapText="1"/>
    </xf>
    <xf numFmtId="164" fontId="0" fillId="0" borderId="0" xfId="0" applyNumberFormat="1" applyFont="1"/>
    <xf numFmtId="0" fontId="0" fillId="0" borderId="0" xfId="0" applyFont="1" applyFill="1" applyBorder="1"/>
    <xf numFmtId="0" fontId="5" fillId="0" borderId="0" xfId="2" applyFont="1" applyAlignment="1" applyProtection="1">
      <alignment vertical="center"/>
    </xf>
    <xf numFmtId="9" fontId="0" fillId="0" borderId="0" xfId="0" applyNumberFormat="1"/>
    <xf numFmtId="9" fontId="0" fillId="0" borderId="0" xfId="3" applyNumberFormat="1" applyFont="1"/>
    <xf numFmtId="10" fontId="0" fillId="0" borderId="0" xfId="0" applyNumberFormat="1"/>
    <xf numFmtId="165" fontId="0" fillId="0" borderId="0" xfId="0" applyNumberFormat="1" applyFont="1"/>
    <xf numFmtId="164" fontId="0" fillId="0" borderId="0" xfId="3" applyNumberFormat="1" applyFont="1"/>
    <xf numFmtId="1" fontId="0" fillId="0" borderId="0" xfId="1" applyNumberFormat="1" applyFont="1"/>
    <xf numFmtId="9" fontId="0" fillId="0" borderId="0" xfId="0" applyNumberFormat="1" applyFont="1" applyAlignment="1">
      <alignment wrapText="1"/>
    </xf>
    <xf numFmtId="10" fontId="0" fillId="0" borderId="0" xfId="0" applyNumberFormat="1" applyFont="1" applyFill="1"/>
    <xf numFmtId="10" fontId="0" fillId="0" borderId="0" xfId="3" applyNumberFormat="1" applyFont="1" applyFill="1"/>
    <xf numFmtId="1" fontId="0" fillId="0" borderId="0" xfId="0" applyNumberFormat="1" applyFont="1" applyFill="1" applyAlignment="1">
      <alignment horizontal="right" wrapText="1"/>
    </xf>
    <xf numFmtId="166" fontId="0" fillId="0" borderId="0" xfId="1" applyNumberFormat="1" applyFont="1"/>
    <xf numFmtId="0" fontId="5" fillId="0" borderId="0" xfId="2" applyFont="1" applyAlignment="1" applyProtection="1"/>
    <xf numFmtId="0" fontId="3" fillId="0" borderId="0" xfId="0" applyFont="1"/>
    <xf numFmtId="0" fontId="0" fillId="0" borderId="0" xfId="0" applyFont="1" applyFill="1" applyBorder="1" applyAlignment="1"/>
    <xf numFmtId="167" fontId="0" fillId="0" borderId="0" xfId="0" applyNumberFormat="1" applyFont="1"/>
    <xf numFmtId="10" fontId="4" fillId="0" borderId="0" xfId="2" applyNumberFormat="1" applyFont="1" applyAlignment="1" applyProtection="1">
      <alignment wrapText="1"/>
    </xf>
    <xf numFmtId="0" fontId="0" fillId="0" borderId="0" xfId="0" applyAlignment="1">
      <alignment vertical="center" wrapText="1"/>
    </xf>
    <xf numFmtId="0" fontId="0" fillId="2" borderId="0" xfId="0" applyFont="1" applyFill="1" applyAlignment="1">
      <alignment horizontal="center" wrapText="1"/>
    </xf>
    <xf numFmtId="0" fontId="0" fillId="2" borderId="0" xfId="0" applyFont="1" applyFill="1" applyAlignment="1">
      <alignment horizontal="center"/>
    </xf>
  </cellXfs>
  <cellStyles count="4">
    <cellStyle name="Komma" xfId="1" builtinId="3"/>
    <cellStyle name="Link" xfId="2" builtinId="8"/>
    <cellStyle name="Prozent" xfId="3" builtinId="5"/>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5" Type="http://schemas.openxmlformats.org/officeDocument/2006/relationships/externalLink" Target="externalLinks/externalLink2.xml"/><Relationship Id="rId15" Type="http://schemas.openxmlformats.org/officeDocument/2006/relationships/calcChain" Target="calcChain.xml"/><Relationship Id="rId10" Type="http://schemas.openxmlformats.org/officeDocument/2006/relationships/externalLink" Target="externalLinks/externalLink7.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bma/Desktop/BW2%203.%20Paper/Inventory%20model/Final_product_amount/df_BEC_CH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bma/Desktop/BW2%203.%20Paper/Inventory%20model/Final_product_amount/df_PHEC_CH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bma/Desktop/BW2%203.%20Paper/Inventory%20model/Final_product_amount/df_HEC_CH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bma/Desktop/BW2%203.%20Paper/Inventory%20model/Final_product_amount/df_ICEC_CH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bma/Desktop/BW2%203.%20Paper/Inventory%20model/Final_product_amount/df_BEB_CH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bma/Desktop/BW2%203.%20Paper/Inventory%20model/Final_product_amount/df_HEB_CHE.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bma/Desktop/BW2%203.%20Paper/Inventory%20model/Final_product_amount/df_ICEB_CHE.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bma/Desktop/BW2%203.%20Paper/Inventory%20model/Final_product_amount/df_ICET_CH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C2">
            <v>0</v>
          </cell>
          <cell r="D2">
            <v>0</v>
          </cell>
          <cell r="E2">
            <v>0</v>
          </cell>
          <cell r="F2">
            <v>0</v>
          </cell>
          <cell r="G2">
            <v>0</v>
          </cell>
          <cell r="H2">
            <v>0</v>
          </cell>
          <cell r="I2">
            <v>0</v>
          </cell>
          <cell r="J2">
            <v>0</v>
          </cell>
          <cell r="K2">
            <v>0</v>
          </cell>
          <cell r="L2">
            <v>0</v>
          </cell>
          <cell r="M2">
            <v>0</v>
          </cell>
          <cell r="N2">
            <v>170771</v>
          </cell>
          <cell r="O2">
            <v>0</v>
          </cell>
          <cell r="P2">
            <v>0</v>
          </cell>
          <cell r="Q2">
            <v>0</v>
          </cell>
          <cell r="R2">
            <v>0</v>
          </cell>
          <cell r="S2">
            <v>0</v>
          </cell>
          <cell r="T2">
            <v>3466895</v>
          </cell>
          <cell r="U2">
            <v>0</v>
          </cell>
          <cell r="V2">
            <v>0</v>
          </cell>
          <cell r="W2">
            <v>0</v>
          </cell>
          <cell r="X2">
            <v>0</v>
          </cell>
          <cell r="Y2">
            <v>0</v>
          </cell>
          <cell r="Z2">
            <v>0</v>
          </cell>
          <cell r="AA2">
            <v>0</v>
          </cell>
          <cell r="AB2">
            <v>0</v>
          </cell>
          <cell r="AC2">
            <v>0</v>
          </cell>
          <cell r="AD2">
            <v>0</v>
          </cell>
          <cell r="AE2">
            <v>0</v>
          </cell>
          <cell r="AF2">
            <v>0</v>
          </cell>
          <cell r="AG2">
            <v>0</v>
          </cell>
          <cell r="AH2">
            <v>0</v>
          </cell>
          <cell r="AI2">
            <v>0</v>
          </cell>
          <cell r="AJ2">
            <v>0</v>
          </cell>
          <cell r="AK2">
            <v>2459</v>
          </cell>
          <cell r="AL2">
            <v>0</v>
          </cell>
          <cell r="AM2">
            <v>0</v>
          </cell>
          <cell r="AN2">
            <v>0</v>
          </cell>
          <cell r="AO2">
            <v>0</v>
          </cell>
          <cell r="AP2">
            <v>0</v>
          </cell>
          <cell r="AQ2">
            <v>0</v>
          </cell>
          <cell r="AR2">
            <v>12163</v>
          </cell>
          <cell r="AS2">
            <v>0</v>
          </cell>
          <cell r="AT2">
            <v>0</v>
          </cell>
          <cell r="AU2">
            <v>406751</v>
          </cell>
          <cell r="AV2">
            <v>0</v>
          </cell>
          <cell r="AW2">
            <v>0</v>
          </cell>
          <cell r="AX2">
            <v>0</v>
          </cell>
          <cell r="AY2">
            <v>0</v>
          </cell>
          <cell r="AZ2">
            <v>0</v>
          </cell>
          <cell r="BA2">
            <v>0</v>
          </cell>
          <cell r="BB2">
            <v>0</v>
          </cell>
          <cell r="BC2">
            <v>0</v>
          </cell>
          <cell r="BD2">
            <v>0</v>
          </cell>
          <cell r="BE2">
            <v>0</v>
          </cell>
          <cell r="BF2">
            <v>0</v>
          </cell>
          <cell r="BG2">
            <v>0</v>
          </cell>
          <cell r="BH2">
            <v>215593</v>
          </cell>
          <cell r="BI2">
            <v>0</v>
          </cell>
          <cell r="BJ2">
            <v>3013</v>
          </cell>
          <cell r="BK2">
            <v>0</v>
          </cell>
          <cell r="BL2">
            <v>0</v>
          </cell>
          <cell r="BM2">
            <v>0</v>
          </cell>
          <cell r="BN2">
            <v>0</v>
          </cell>
          <cell r="BO2">
            <v>0</v>
          </cell>
          <cell r="BP2">
            <v>0</v>
          </cell>
          <cell r="BQ2">
            <v>0</v>
          </cell>
          <cell r="BR2">
            <v>4738</v>
          </cell>
          <cell r="BS2">
            <v>0</v>
          </cell>
          <cell r="BT2">
            <v>0</v>
          </cell>
          <cell r="BU2">
            <v>0</v>
          </cell>
          <cell r="BV2">
            <v>0</v>
          </cell>
          <cell r="BW2">
            <v>0</v>
          </cell>
          <cell r="BX2">
            <v>4979249</v>
          </cell>
          <cell r="BY2">
            <v>0</v>
          </cell>
          <cell r="BZ2">
            <v>0</v>
          </cell>
          <cell r="CA2">
            <v>0</v>
          </cell>
          <cell r="CB2">
            <v>0</v>
          </cell>
          <cell r="CC2">
            <v>0</v>
          </cell>
          <cell r="CD2">
            <v>0</v>
          </cell>
          <cell r="CE2">
            <v>0</v>
          </cell>
          <cell r="CF2">
            <v>7482771</v>
          </cell>
          <cell r="CG2">
            <v>0</v>
          </cell>
          <cell r="CH2">
            <v>0</v>
          </cell>
          <cell r="CI2">
            <v>0</v>
          </cell>
          <cell r="CJ2">
            <v>0</v>
          </cell>
          <cell r="CK2">
            <v>0</v>
          </cell>
          <cell r="CL2">
            <v>0</v>
          </cell>
          <cell r="CM2">
            <v>0</v>
          </cell>
          <cell r="CN2">
            <v>0</v>
          </cell>
          <cell r="CO2">
            <v>0</v>
          </cell>
          <cell r="CP2">
            <v>0</v>
          </cell>
          <cell r="CQ2">
            <v>0</v>
          </cell>
          <cell r="CR2">
            <v>0</v>
          </cell>
          <cell r="CS2">
            <v>0</v>
          </cell>
          <cell r="CT2">
            <v>0</v>
          </cell>
          <cell r="CU2">
            <v>0</v>
          </cell>
          <cell r="CV2">
            <v>1750</v>
          </cell>
          <cell r="CW2">
            <v>0</v>
          </cell>
          <cell r="CX2">
            <v>0</v>
          </cell>
          <cell r="CY2">
            <v>0</v>
          </cell>
          <cell r="CZ2">
            <v>0</v>
          </cell>
          <cell r="DA2">
            <v>0</v>
          </cell>
          <cell r="DB2">
            <v>0</v>
          </cell>
          <cell r="DC2">
            <v>993024</v>
          </cell>
          <cell r="DD2">
            <v>0</v>
          </cell>
          <cell r="DE2">
            <v>0</v>
          </cell>
          <cell r="DF2">
            <v>949793</v>
          </cell>
          <cell r="DG2">
            <v>0</v>
          </cell>
          <cell r="DH2">
            <v>0</v>
          </cell>
          <cell r="DI2">
            <v>0</v>
          </cell>
          <cell r="DJ2">
            <v>0</v>
          </cell>
          <cell r="DK2">
            <v>2672214</v>
          </cell>
          <cell r="DL2">
            <v>0</v>
          </cell>
          <cell r="DM2">
            <v>0</v>
          </cell>
          <cell r="DN2">
            <v>0</v>
          </cell>
          <cell r="DO2">
            <v>0</v>
          </cell>
          <cell r="DP2">
            <v>0</v>
          </cell>
          <cell r="DQ2">
            <v>0</v>
          </cell>
          <cell r="DR2">
            <v>0</v>
          </cell>
          <cell r="DS2">
            <v>0</v>
          </cell>
          <cell r="DT2">
            <v>2449</v>
          </cell>
          <cell r="DU2">
            <v>0</v>
          </cell>
          <cell r="DV2">
            <v>0</v>
          </cell>
          <cell r="DW2">
            <v>0</v>
          </cell>
          <cell r="DX2">
            <v>0</v>
          </cell>
          <cell r="DY2">
            <v>0</v>
          </cell>
          <cell r="DZ2">
            <v>0</v>
          </cell>
          <cell r="EA2">
            <v>0</v>
          </cell>
          <cell r="EB2">
            <v>0</v>
          </cell>
          <cell r="EC2">
            <v>0</v>
          </cell>
          <cell r="ED2">
            <v>0</v>
          </cell>
          <cell r="EE2">
            <v>7124</v>
          </cell>
          <cell r="EF2">
            <v>0</v>
          </cell>
          <cell r="EG2">
            <v>0</v>
          </cell>
          <cell r="EH2">
            <v>0</v>
          </cell>
          <cell r="EI2">
            <v>0</v>
          </cell>
          <cell r="EJ2">
            <v>0</v>
          </cell>
          <cell r="EK2">
            <v>0</v>
          </cell>
          <cell r="EL2">
            <v>0</v>
          </cell>
          <cell r="EM2">
            <v>0</v>
          </cell>
          <cell r="EN2">
            <v>0</v>
          </cell>
          <cell r="EO2">
            <v>0</v>
          </cell>
          <cell r="EP2">
            <v>31637</v>
          </cell>
          <cell r="EQ2">
            <v>0</v>
          </cell>
          <cell r="ER2">
            <v>0</v>
          </cell>
          <cell r="ES2">
            <v>0</v>
          </cell>
          <cell r="ET2">
            <v>0</v>
          </cell>
          <cell r="EU2">
            <v>0</v>
          </cell>
          <cell r="EV2">
            <v>0</v>
          </cell>
          <cell r="EW2">
            <v>0</v>
          </cell>
          <cell r="EX2">
            <v>0</v>
          </cell>
          <cell r="EY2">
            <v>0</v>
          </cell>
          <cell r="EZ2">
            <v>0</v>
          </cell>
          <cell r="FA2">
            <v>0</v>
          </cell>
          <cell r="FB2">
            <v>0</v>
          </cell>
          <cell r="FC2">
            <v>8853</v>
          </cell>
          <cell r="FD2">
            <v>0</v>
          </cell>
          <cell r="FE2">
            <v>0</v>
          </cell>
          <cell r="FF2">
            <v>0</v>
          </cell>
          <cell r="FG2">
            <v>0</v>
          </cell>
          <cell r="FH2">
            <v>0</v>
          </cell>
          <cell r="FI2">
            <v>0</v>
          </cell>
          <cell r="FJ2">
            <v>0</v>
          </cell>
          <cell r="FK2">
            <v>0</v>
          </cell>
          <cell r="FL2">
            <v>0</v>
          </cell>
          <cell r="FM2">
            <v>0</v>
          </cell>
          <cell r="FN2">
            <v>0</v>
          </cell>
          <cell r="FO2">
            <v>0</v>
          </cell>
          <cell r="FP2">
            <v>185908</v>
          </cell>
          <cell r="FQ2">
            <v>0</v>
          </cell>
          <cell r="FR2">
            <v>0</v>
          </cell>
          <cell r="FS2">
            <v>0</v>
          </cell>
          <cell r="FT2">
            <v>0</v>
          </cell>
          <cell r="FU2">
            <v>0</v>
          </cell>
          <cell r="FV2">
            <v>0</v>
          </cell>
          <cell r="FW2">
            <v>0</v>
          </cell>
          <cell r="FX2">
            <v>0</v>
          </cell>
          <cell r="FY2">
            <v>0</v>
          </cell>
          <cell r="FZ2">
            <v>0</v>
          </cell>
          <cell r="GA2">
            <v>0</v>
          </cell>
          <cell r="GB2">
            <v>0</v>
          </cell>
          <cell r="GC2">
            <v>0</v>
          </cell>
          <cell r="GD2">
            <v>0</v>
          </cell>
          <cell r="GE2">
            <v>0</v>
          </cell>
          <cell r="GF2">
            <v>0</v>
          </cell>
          <cell r="GG2">
            <v>0</v>
          </cell>
          <cell r="GH2">
            <v>0</v>
          </cell>
          <cell r="GI2">
            <v>17450</v>
          </cell>
          <cell r="GJ2">
            <v>0</v>
          </cell>
          <cell r="GK2">
            <v>0</v>
          </cell>
          <cell r="GL2">
            <v>0</v>
          </cell>
          <cell r="GM2">
            <v>0</v>
          </cell>
          <cell r="GN2">
            <v>1576584</v>
          </cell>
          <cell r="GO2">
            <v>0</v>
          </cell>
          <cell r="GP2">
            <v>239070</v>
          </cell>
          <cell r="GQ2">
            <v>0</v>
          </cell>
          <cell r="GR2">
            <v>0</v>
          </cell>
          <cell r="GS2">
            <v>0</v>
          </cell>
          <cell r="GT2">
            <v>1787229</v>
          </cell>
          <cell r="GU2">
            <v>0</v>
          </cell>
          <cell r="GV2">
            <v>0</v>
          </cell>
          <cell r="GW2">
            <v>0</v>
          </cell>
          <cell r="GX2">
            <v>0</v>
          </cell>
          <cell r="GY2">
            <v>0</v>
          </cell>
          <cell r="GZ2">
            <v>14928</v>
          </cell>
          <cell r="HA2">
            <v>0</v>
          </cell>
          <cell r="HB2">
            <v>0</v>
          </cell>
          <cell r="HC2">
            <v>0</v>
          </cell>
          <cell r="HD2">
            <v>0</v>
          </cell>
          <cell r="HE2">
            <v>0</v>
          </cell>
          <cell r="HF2">
            <v>0</v>
          </cell>
          <cell r="HG2">
            <v>0</v>
          </cell>
          <cell r="HH2">
            <v>0</v>
          </cell>
          <cell r="HI2">
            <v>0</v>
          </cell>
          <cell r="HJ2">
            <v>0</v>
          </cell>
          <cell r="HK2">
            <v>253609</v>
          </cell>
          <cell r="HL2">
            <v>0</v>
          </cell>
          <cell r="HM2">
            <v>0</v>
          </cell>
          <cell r="HN2">
            <v>0</v>
          </cell>
          <cell r="HO2">
            <v>0</v>
          </cell>
          <cell r="HP2">
            <v>0</v>
          </cell>
          <cell r="HQ2">
            <v>0</v>
          </cell>
          <cell r="HR2">
            <v>0</v>
          </cell>
          <cell r="HS2">
            <v>2174943</v>
          </cell>
          <cell r="HT2">
            <v>0</v>
          </cell>
          <cell r="HU2">
            <v>11897414</v>
          </cell>
          <cell r="HV2">
            <v>0</v>
          </cell>
          <cell r="HW2">
            <v>0</v>
          </cell>
          <cell r="HX2">
            <v>0</v>
          </cell>
          <cell r="HY2">
            <v>0</v>
          </cell>
          <cell r="HZ2">
            <v>0</v>
          </cell>
          <cell r="IA2">
            <v>0</v>
          </cell>
          <cell r="IB2">
            <v>0</v>
          </cell>
          <cell r="IC2">
            <v>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D2">
            <v>0</v>
          </cell>
          <cell r="E2">
            <v>0</v>
          </cell>
          <cell r="F2">
            <v>0</v>
          </cell>
          <cell r="G2">
            <v>0</v>
          </cell>
          <cell r="H2">
            <v>0</v>
          </cell>
          <cell r="I2">
            <v>0</v>
          </cell>
          <cell r="J2">
            <v>0</v>
          </cell>
          <cell r="K2">
            <v>0</v>
          </cell>
          <cell r="L2">
            <v>0</v>
          </cell>
          <cell r="M2">
            <v>0</v>
          </cell>
          <cell r="N2">
            <v>27564</v>
          </cell>
          <cell r="O2">
            <v>0</v>
          </cell>
          <cell r="P2">
            <v>0</v>
          </cell>
          <cell r="Q2">
            <v>0</v>
          </cell>
          <cell r="R2">
            <v>0</v>
          </cell>
          <cell r="S2">
            <v>0</v>
          </cell>
          <cell r="T2">
            <v>2187641</v>
          </cell>
          <cell r="U2">
            <v>0</v>
          </cell>
          <cell r="V2">
            <v>0</v>
          </cell>
          <cell r="W2">
            <v>0</v>
          </cell>
          <cell r="X2">
            <v>0</v>
          </cell>
          <cell r="Y2">
            <v>0</v>
          </cell>
          <cell r="Z2">
            <v>0</v>
          </cell>
          <cell r="AA2">
            <v>0</v>
          </cell>
          <cell r="AB2">
            <v>0</v>
          </cell>
          <cell r="AC2">
            <v>0</v>
          </cell>
          <cell r="AD2">
            <v>0</v>
          </cell>
          <cell r="AE2">
            <v>0</v>
          </cell>
          <cell r="AF2">
            <v>0</v>
          </cell>
          <cell r="AG2">
            <v>0</v>
          </cell>
          <cell r="AH2">
            <v>0</v>
          </cell>
          <cell r="AI2">
            <v>0</v>
          </cell>
          <cell r="AJ2">
            <v>0</v>
          </cell>
          <cell r="AK2">
            <v>0</v>
          </cell>
          <cell r="AL2">
            <v>0</v>
          </cell>
          <cell r="AM2">
            <v>0</v>
          </cell>
          <cell r="AN2">
            <v>0</v>
          </cell>
          <cell r="AO2">
            <v>0</v>
          </cell>
          <cell r="AP2">
            <v>0</v>
          </cell>
          <cell r="AQ2">
            <v>0</v>
          </cell>
          <cell r="AR2">
            <v>0</v>
          </cell>
          <cell r="AS2">
            <v>0</v>
          </cell>
          <cell r="AT2">
            <v>0</v>
          </cell>
          <cell r="AU2">
            <v>2076949</v>
          </cell>
          <cell r="AV2">
            <v>0</v>
          </cell>
          <cell r="AW2">
            <v>0</v>
          </cell>
          <cell r="AX2">
            <v>0</v>
          </cell>
          <cell r="AY2">
            <v>0</v>
          </cell>
          <cell r="AZ2">
            <v>0</v>
          </cell>
          <cell r="BA2">
            <v>0</v>
          </cell>
          <cell r="BB2">
            <v>0</v>
          </cell>
          <cell r="BC2">
            <v>0</v>
          </cell>
          <cell r="BD2">
            <v>0</v>
          </cell>
          <cell r="BE2">
            <v>0</v>
          </cell>
          <cell r="BF2">
            <v>0</v>
          </cell>
          <cell r="BG2">
            <v>0</v>
          </cell>
          <cell r="BH2">
            <v>2061276</v>
          </cell>
          <cell r="BI2">
            <v>0</v>
          </cell>
          <cell r="BJ2">
            <v>40486.999999999993</v>
          </cell>
          <cell r="BK2">
            <v>0</v>
          </cell>
          <cell r="BL2">
            <v>0</v>
          </cell>
          <cell r="BM2">
            <v>0</v>
          </cell>
          <cell r="BN2">
            <v>0</v>
          </cell>
          <cell r="BO2">
            <v>0</v>
          </cell>
          <cell r="BP2">
            <v>0</v>
          </cell>
          <cell r="BQ2">
            <v>0</v>
          </cell>
          <cell r="BR2">
            <v>0</v>
          </cell>
          <cell r="BS2">
            <v>0</v>
          </cell>
          <cell r="BT2">
            <v>0</v>
          </cell>
          <cell r="BU2">
            <v>0</v>
          </cell>
          <cell r="BV2">
            <v>0</v>
          </cell>
          <cell r="BW2">
            <v>0</v>
          </cell>
          <cell r="BX2">
            <v>2539180</v>
          </cell>
          <cell r="BY2">
            <v>0</v>
          </cell>
          <cell r="BZ2">
            <v>0</v>
          </cell>
          <cell r="CA2">
            <v>0</v>
          </cell>
          <cell r="CB2">
            <v>0</v>
          </cell>
          <cell r="CC2">
            <v>0</v>
          </cell>
          <cell r="CD2">
            <v>0</v>
          </cell>
          <cell r="CE2">
            <v>0</v>
          </cell>
          <cell r="CF2">
            <v>7804139</v>
          </cell>
          <cell r="CG2">
            <v>0</v>
          </cell>
          <cell r="CH2">
            <v>0</v>
          </cell>
          <cell r="CI2">
            <v>0</v>
          </cell>
          <cell r="CJ2">
            <v>0</v>
          </cell>
          <cell r="CK2">
            <v>0</v>
          </cell>
          <cell r="CL2">
            <v>0</v>
          </cell>
          <cell r="CM2">
            <v>0</v>
          </cell>
          <cell r="CN2">
            <v>0</v>
          </cell>
          <cell r="CO2">
            <v>0</v>
          </cell>
          <cell r="CP2">
            <v>0</v>
          </cell>
          <cell r="CQ2">
            <v>0</v>
          </cell>
          <cell r="CR2">
            <v>0</v>
          </cell>
          <cell r="CS2">
            <v>0</v>
          </cell>
          <cell r="CT2">
            <v>0</v>
          </cell>
          <cell r="CU2">
            <v>0</v>
          </cell>
          <cell r="CV2">
            <v>50060</v>
          </cell>
          <cell r="CW2">
            <v>0</v>
          </cell>
          <cell r="CX2">
            <v>0</v>
          </cell>
          <cell r="CY2">
            <v>0</v>
          </cell>
          <cell r="CZ2">
            <v>0</v>
          </cell>
          <cell r="DA2">
            <v>0</v>
          </cell>
          <cell r="DB2">
            <v>0</v>
          </cell>
          <cell r="DC2">
            <v>45599.000000000007</v>
          </cell>
          <cell r="DD2">
            <v>0</v>
          </cell>
          <cell r="DE2">
            <v>0</v>
          </cell>
          <cell r="DF2">
            <v>135408</v>
          </cell>
          <cell r="DG2">
            <v>0</v>
          </cell>
          <cell r="DH2">
            <v>0</v>
          </cell>
          <cell r="DI2">
            <v>0</v>
          </cell>
          <cell r="DJ2">
            <v>0</v>
          </cell>
          <cell r="DK2">
            <v>1034245</v>
          </cell>
          <cell r="DL2">
            <v>0</v>
          </cell>
          <cell r="DM2">
            <v>0</v>
          </cell>
          <cell r="DN2">
            <v>0</v>
          </cell>
          <cell r="DO2">
            <v>0</v>
          </cell>
          <cell r="DP2">
            <v>0</v>
          </cell>
          <cell r="DQ2">
            <v>2610</v>
          </cell>
          <cell r="DR2">
            <v>0</v>
          </cell>
          <cell r="DS2">
            <v>0</v>
          </cell>
          <cell r="DT2">
            <v>17562</v>
          </cell>
          <cell r="DU2">
            <v>2438</v>
          </cell>
          <cell r="DV2">
            <v>0</v>
          </cell>
          <cell r="DW2">
            <v>0</v>
          </cell>
          <cell r="DX2">
            <v>0</v>
          </cell>
          <cell r="DY2">
            <v>0</v>
          </cell>
          <cell r="DZ2">
            <v>0</v>
          </cell>
          <cell r="EA2">
            <v>0</v>
          </cell>
          <cell r="EB2">
            <v>0</v>
          </cell>
          <cell r="EC2">
            <v>0</v>
          </cell>
          <cell r="ED2">
            <v>0</v>
          </cell>
          <cell r="EE2">
            <v>850944.99999999988</v>
          </cell>
          <cell r="EF2">
            <v>0</v>
          </cell>
          <cell r="EG2">
            <v>0</v>
          </cell>
          <cell r="EH2">
            <v>0</v>
          </cell>
          <cell r="EI2">
            <v>0</v>
          </cell>
          <cell r="EJ2">
            <v>0</v>
          </cell>
          <cell r="EK2">
            <v>0</v>
          </cell>
          <cell r="EL2">
            <v>0</v>
          </cell>
          <cell r="EM2">
            <v>0</v>
          </cell>
          <cell r="EN2">
            <v>0</v>
          </cell>
          <cell r="EO2">
            <v>0</v>
          </cell>
          <cell r="EP2">
            <v>517269</v>
          </cell>
          <cell r="EQ2">
            <v>0</v>
          </cell>
          <cell r="ER2">
            <v>0</v>
          </cell>
          <cell r="ES2">
            <v>0</v>
          </cell>
          <cell r="ET2">
            <v>0</v>
          </cell>
          <cell r="EU2">
            <v>0</v>
          </cell>
          <cell r="EV2">
            <v>0</v>
          </cell>
          <cell r="EW2">
            <v>0</v>
          </cell>
          <cell r="EX2">
            <v>0</v>
          </cell>
          <cell r="EY2">
            <v>0</v>
          </cell>
          <cell r="EZ2">
            <v>0</v>
          </cell>
          <cell r="FA2">
            <v>0</v>
          </cell>
          <cell r="FB2">
            <v>0</v>
          </cell>
          <cell r="FC2">
            <v>0</v>
          </cell>
          <cell r="FD2">
            <v>0</v>
          </cell>
          <cell r="FE2">
            <v>0</v>
          </cell>
          <cell r="FF2">
            <v>0</v>
          </cell>
          <cell r="FG2">
            <v>0</v>
          </cell>
          <cell r="FH2">
            <v>0</v>
          </cell>
          <cell r="FI2">
            <v>0</v>
          </cell>
          <cell r="FJ2">
            <v>0</v>
          </cell>
          <cell r="FK2">
            <v>0</v>
          </cell>
          <cell r="FL2">
            <v>0</v>
          </cell>
          <cell r="FM2">
            <v>0</v>
          </cell>
          <cell r="FN2">
            <v>0</v>
          </cell>
          <cell r="FO2">
            <v>0</v>
          </cell>
          <cell r="FP2">
            <v>35067</v>
          </cell>
          <cell r="FQ2">
            <v>0</v>
          </cell>
          <cell r="FR2">
            <v>0</v>
          </cell>
          <cell r="FS2">
            <v>0</v>
          </cell>
          <cell r="FT2">
            <v>0</v>
          </cell>
          <cell r="FU2">
            <v>4363</v>
          </cell>
          <cell r="FV2">
            <v>0</v>
          </cell>
          <cell r="FW2">
            <v>0</v>
          </cell>
          <cell r="FX2">
            <v>0</v>
          </cell>
          <cell r="FY2">
            <v>0</v>
          </cell>
          <cell r="FZ2">
            <v>0</v>
          </cell>
          <cell r="GA2">
            <v>0</v>
          </cell>
          <cell r="GB2">
            <v>0</v>
          </cell>
          <cell r="GC2">
            <v>0</v>
          </cell>
          <cell r="GD2">
            <v>0</v>
          </cell>
          <cell r="GE2">
            <v>0</v>
          </cell>
          <cell r="GF2">
            <v>0</v>
          </cell>
          <cell r="GG2">
            <v>0</v>
          </cell>
          <cell r="GH2">
            <v>0</v>
          </cell>
          <cell r="GI2">
            <v>1279</v>
          </cell>
          <cell r="GJ2">
            <v>0</v>
          </cell>
          <cell r="GK2">
            <v>0</v>
          </cell>
          <cell r="GL2">
            <v>0</v>
          </cell>
          <cell r="GM2">
            <v>0</v>
          </cell>
          <cell r="GN2">
            <v>1249667</v>
          </cell>
          <cell r="GO2">
            <v>0</v>
          </cell>
          <cell r="GP2">
            <v>47768</v>
          </cell>
          <cell r="GQ2">
            <v>0</v>
          </cell>
          <cell r="GR2">
            <v>78050</v>
          </cell>
          <cell r="GS2">
            <v>0</v>
          </cell>
          <cell r="GT2">
            <v>2227602</v>
          </cell>
          <cell r="GU2">
            <v>0</v>
          </cell>
          <cell r="GV2">
            <v>0</v>
          </cell>
          <cell r="GW2">
            <v>0</v>
          </cell>
          <cell r="GX2">
            <v>0</v>
          </cell>
          <cell r="GY2">
            <v>0</v>
          </cell>
          <cell r="GZ2">
            <v>5594825</v>
          </cell>
          <cell r="HA2">
            <v>0</v>
          </cell>
          <cell r="HB2">
            <v>0</v>
          </cell>
          <cell r="HC2">
            <v>0</v>
          </cell>
          <cell r="HD2">
            <v>0</v>
          </cell>
          <cell r="HE2">
            <v>0</v>
          </cell>
          <cell r="HF2">
            <v>0</v>
          </cell>
          <cell r="HG2">
            <v>0</v>
          </cell>
          <cell r="HH2">
            <v>0</v>
          </cell>
          <cell r="HI2">
            <v>0</v>
          </cell>
          <cell r="HJ2">
            <v>0</v>
          </cell>
          <cell r="HK2">
            <v>274456</v>
          </cell>
          <cell r="HL2">
            <v>0</v>
          </cell>
          <cell r="HM2">
            <v>0</v>
          </cell>
          <cell r="HN2">
            <v>0</v>
          </cell>
          <cell r="HO2">
            <v>0</v>
          </cell>
          <cell r="HP2">
            <v>0</v>
          </cell>
          <cell r="HQ2">
            <v>0</v>
          </cell>
          <cell r="HR2">
            <v>0</v>
          </cell>
          <cell r="HS2">
            <v>122478</v>
          </cell>
          <cell r="HT2">
            <v>0</v>
          </cell>
          <cell r="HU2">
            <v>4151087</v>
          </cell>
          <cell r="HV2">
            <v>0</v>
          </cell>
          <cell r="HW2">
            <v>0</v>
          </cell>
          <cell r="HX2">
            <v>0</v>
          </cell>
          <cell r="HY2">
            <v>0</v>
          </cell>
          <cell r="HZ2">
            <v>0</v>
          </cell>
          <cell r="IA2">
            <v>0</v>
          </cell>
          <cell r="IB2">
            <v>0</v>
          </cell>
          <cell r="IC2">
            <v>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D2">
            <v>0</v>
          </cell>
          <cell r="E2">
            <v>0</v>
          </cell>
          <cell r="F2">
            <v>0</v>
          </cell>
          <cell r="G2">
            <v>0</v>
          </cell>
          <cell r="H2">
            <v>0</v>
          </cell>
          <cell r="I2">
            <v>0</v>
          </cell>
          <cell r="J2">
            <v>0</v>
          </cell>
          <cell r="K2">
            <v>0</v>
          </cell>
          <cell r="L2">
            <v>0</v>
          </cell>
          <cell r="M2">
            <v>0</v>
          </cell>
          <cell r="N2">
            <v>48311</v>
          </cell>
          <cell r="O2">
            <v>0</v>
          </cell>
          <cell r="P2">
            <v>0</v>
          </cell>
          <cell r="Q2">
            <v>0</v>
          </cell>
          <cell r="R2">
            <v>0</v>
          </cell>
          <cell r="S2">
            <v>0</v>
          </cell>
          <cell r="T2">
            <v>973747.99999999988</v>
          </cell>
          <cell r="U2">
            <v>0</v>
          </cell>
          <cell r="V2">
            <v>0</v>
          </cell>
          <cell r="W2">
            <v>0</v>
          </cell>
          <cell r="X2">
            <v>0</v>
          </cell>
          <cell r="Y2">
            <v>0</v>
          </cell>
          <cell r="Z2">
            <v>0</v>
          </cell>
          <cell r="AA2">
            <v>0</v>
          </cell>
          <cell r="AB2">
            <v>0</v>
          </cell>
          <cell r="AC2">
            <v>0</v>
          </cell>
          <cell r="AD2">
            <v>0</v>
          </cell>
          <cell r="AE2">
            <v>0</v>
          </cell>
          <cell r="AF2">
            <v>0</v>
          </cell>
          <cell r="AG2">
            <v>0</v>
          </cell>
          <cell r="AH2">
            <v>0</v>
          </cell>
          <cell r="AI2">
            <v>0</v>
          </cell>
          <cell r="AJ2">
            <v>0</v>
          </cell>
          <cell r="AK2">
            <v>0</v>
          </cell>
          <cell r="AL2">
            <v>0</v>
          </cell>
          <cell r="AM2">
            <v>0</v>
          </cell>
          <cell r="AN2">
            <v>0</v>
          </cell>
          <cell r="AO2">
            <v>0</v>
          </cell>
          <cell r="AP2">
            <v>0</v>
          </cell>
          <cell r="AQ2">
            <v>0</v>
          </cell>
          <cell r="AR2">
            <v>0</v>
          </cell>
          <cell r="AS2">
            <v>0</v>
          </cell>
          <cell r="AT2">
            <v>0</v>
          </cell>
          <cell r="AU2">
            <v>11945</v>
          </cell>
          <cell r="AV2">
            <v>0</v>
          </cell>
          <cell r="AW2">
            <v>0</v>
          </cell>
          <cell r="AX2">
            <v>0</v>
          </cell>
          <cell r="AY2">
            <v>0</v>
          </cell>
          <cell r="AZ2">
            <v>0</v>
          </cell>
          <cell r="BA2">
            <v>0</v>
          </cell>
          <cell r="BB2">
            <v>0</v>
          </cell>
          <cell r="BC2">
            <v>0</v>
          </cell>
          <cell r="BD2">
            <v>0</v>
          </cell>
          <cell r="BE2">
            <v>0</v>
          </cell>
          <cell r="BF2">
            <v>0</v>
          </cell>
          <cell r="BG2">
            <v>0</v>
          </cell>
          <cell r="BH2">
            <v>924698.00000000012</v>
          </cell>
          <cell r="BI2">
            <v>0</v>
          </cell>
          <cell r="BJ2">
            <v>50449</v>
          </cell>
          <cell r="BK2">
            <v>0</v>
          </cell>
          <cell r="BL2">
            <v>0</v>
          </cell>
          <cell r="BM2">
            <v>0</v>
          </cell>
          <cell r="BN2">
            <v>0</v>
          </cell>
          <cell r="BO2">
            <v>0</v>
          </cell>
          <cell r="BP2">
            <v>0</v>
          </cell>
          <cell r="BQ2">
            <v>0</v>
          </cell>
          <cell r="BR2">
            <v>0</v>
          </cell>
          <cell r="BS2">
            <v>0</v>
          </cell>
          <cell r="BT2">
            <v>0</v>
          </cell>
          <cell r="BU2">
            <v>0</v>
          </cell>
          <cell r="BV2">
            <v>0</v>
          </cell>
          <cell r="BW2">
            <v>21635</v>
          </cell>
          <cell r="BX2">
            <v>2439018</v>
          </cell>
          <cell r="BY2">
            <v>0</v>
          </cell>
          <cell r="BZ2">
            <v>0</v>
          </cell>
          <cell r="CA2">
            <v>0</v>
          </cell>
          <cell r="CB2">
            <v>0</v>
          </cell>
          <cell r="CC2">
            <v>15660</v>
          </cell>
          <cell r="CD2">
            <v>0</v>
          </cell>
          <cell r="CE2">
            <v>0</v>
          </cell>
          <cell r="CF2">
            <v>15824945</v>
          </cell>
          <cell r="CG2">
            <v>0</v>
          </cell>
          <cell r="CH2">
            <v>0</v>
          </cell>
          <cell r="CI2">
            <v>0</v>
          </cell>
          <cell r="CJ2">
            <v>0</v>
          </cell>
          <cell r="CK2">
            <v>0</v>
          </cell>
          <cell r="CL2">
            <v>0</v>
          </cell>
          <cell r="CM2">
            <v>0</v>
          </cell>
          <cell r="CN2">
            <v>0</v>
          </cell>
          <cell r="CO2">
            <v>0</v>
          </cell>
          <cell r="CP2">
            <v>0</v>
          </cell>
          <cell r="CQ2">
            <v>0</v>
          </cell>
          <cell r="CR2">
            <v>0</v>
          </cell>
          <cell r="CS2">
            <v>0</v>
          </cell>
          <cell r="CT2">
            <v>0</v>
          </cell>
          <cell r="CU2">
            <v>0</v>
          </cell>
          <cell r="CV2">
            <v>1783791</v>
          </cell>
          <cell r="CW2">
            <v>0</v>
          </cell>
          <cell r="CX2">
            <v>0</v>
          </cell>
          <cell r="CY2">
            <v>0</v>
          </cell>
          <cell r="CZ2">
            <v>0</v>
          </cell>
          <cell r="DA2">
            <v>0</v>
          </cell>
          <cell r="DB2">
            <v>0</v>
          </cell>
          <cell r="DC2">
            <v>1726766</v>
          </cell>
          <cell r="DD2">
            <v>0</v>
          </cell>
          <cell r="DE2">
            <v>0</v>
          </cell>
          <cell r="DF2">
            <v>11694816</v>
          </cell>
          <cell r="DG2">
            <v>0</v>
          </cell>
          <cell r="DH2">
            <v>0</v>
          </cell>
          <cell r="DI2">
            <v>0</v>
          </cell>
          <cell r="DJ2">
            <v>0</v>
          </cell>
          <cell r="DK2">
            <v>1159900</v>
          </cell>
          <cell r="DL2">
            <v>0</v>
          </cell>
          <cell r="DM2">
            <v>0</v>
          </cell>
          <cell r="DN2">
            <v>0</v>
          </cell>
          <cell r="DO2">
            <v>0</v>
          </cell>
          <cell r="DP2">
            <v>0</v>
          </cell>
          <cell r="DQ2">
            <v>0</v>
          </cell>
          <cell r="DR2">
            <v>0</v>
          </cell>
          <cell r="DS2">
            <v>0</v>
          </cell>
          <cell r="DT2">
            <v>1711</v>
          </cell>
          <cell r="DU2">
            <v>7404.9999999999991</v>
          </cell>
          <cell r="DV2">
            <v>0</v>
          </cell>
          <cell r="DW2">
            <v>0</v>
          </cell>
          <cell r="DX2">
            <v>0</v>
          </cell>
          <cell r="DY2">
            <v>0</v>
          </cell>
          <cell r="DZ2">
            <v>0</v>
          </cell>
          <cell r="EA2">
            <v>0</v>
          </cell>
          <cell r="EB2">
            <v>0</v>
          </cell>
          <cell r="EC2">
            <v>0</v>
          </cell>
          <cell r="ED2">
            <v>0</v>
          </cell>
          <cell r="EE2">
            <v>1224947</v>
          </cell>
          <cell r="EF2">
            <v>0</v>
          </cell>
          <cell r="EG2">
            <v>0</v>
          </cell>
          <cell r="EH2">
            <v>15032</v>
          </cell>
          <cell r="EI2">
            <v>0</v>
          </cell>
          <cell r="EJ2">
            <v>0</v>
          </cell>
          <cell r="EK2">
            <v>0</v>
          </cell>
          <cell r="EL2">
            <v>0</v>
          </cell>
          <cell r="EM2">
            <v>0</v>
          </cell>
          <cell r="EN2">
            <v>0</v>
          </cell>
          <cell r="EO2">
            <v>0</v>
          </cell>
          <cell r="EP2">
            <v>54013.999999999993</v>
          </cell>
          <cell r="EQ2">
            <v>0</v>
          </cell>
          <cell r="ER2">
            <v>0</v>
          </cell>
          <cell r="ES2">
            <v>0</v>
          </cell>
          <cell r="ET2">
            <v>0</v>
          </cell>
          <cell r="EU2">
            <v>0</v>
          </cell>
          <cell r="EV2">
            <v>0</v>
          </cell>
          <cell r="EW2">
            <v>0</v>
          </cell>
          <cell r="EX2">
            <v>0</v>
          </cell>
          <cell r="EY2">
            <v>0</v>
          </cell>
          <cell r="EZ2">
            <v>0</v>
          </cell>
          <cell r="FA2">
            <v>0</v>
          </cell>
          <cell r="FB2">
            <v>0</v>
          </cell>
          <cell r="FC2">
            <v>0</v>
          </cell>
          <cell r="FD2">
            <v>0</v>
          </cell>
          <cell r="FE2">
            <v>0</v>
          </cell>
          <cell r="FF2">
            <v>0</v>
          </cell>
          <cell r="FG2">
            <v>0</v>
          </cell>
          <cell r="FH2">
            <v>0</v>
          </cell>
          <cell r="FI2">
            <v>0</v>
          </cell>
          <cell r="FJ2">
            <v>0</v>
          </cell>
          <cell r="FK2">
            <v>0</v>
          </cell>
          <cell r="FL2">
            <v>0</v>
          </cell>
          <cell r="FM2">
            <v>0</v>
          </cell>
          <cell r="FN2">
            <v>0</v>
          </cell>
          <cell r="FO2">
            <v>0</v>
          </cell>
          <cell r="FP2">
            <v>248407</v>
          </cell>
          <cell r="FQ2">
            <v>2115</v>
          </cell>
          <cell r="FR2">
            <v>0</v>
          </cell>
          <cell r="FS2">
            <v>0</v>
          </cell>
          <cell r="FT2">
            <v>0</v>
          </cell>
          <cell r="FU2">
            <v>30433</v>
          </cell>
          <cell r="FV2">
            <v>0</v>
          </cell>
          <cell r="FW2">
            <v>0</v>
          </cell>
          <cell r="FX2">
            <v>0</v>
          </cell>
          <cell r="FY2">
            <v>0</v>
          </cell>
          <cell r="FZ2">
            <v>0</v>
          </cell>
          <cell r="GA2">
            <v>0</v>
          </cell>
          <cell r="GB2">
            <v>0</v>
          </cell>
          <cell r="GC2">
            <v>0</v>
          </cell>
          <cell r="GD2">
            <v>0</v>
          </cell>
          <cell r="GE2">
            <v>0</v>
          </cell>
          <cell r="GF2">
            <v>0</v>
          </cell>
          <cell r="GG2">
            <v>0</v>
          </cell>
          <cell r="GH2">
            <v>0</v>
          </cell>
          <cell r="GI2">
            <v>44694</v>
          </cell>
          <cell r="GJ2">
            <v>0</v>
          </cell>
          <cell r="GK2">
            <v>0</v>
          </cell>
          <cell r="GL2">
            <v>0</v>
          </cell>
          <cell r="GM2">
            <v>0</v>
          </cell>
          <cell r="GN2">
            <v>1862865</v>
          </cell>
          <cell r="GO2">
            <v>0</v>
          </cell>
          <cell r="GP2">
            <v>51887</v>
          </cell>
          <cell r="GQ2">
            <v>0</v>
          </cell>
          <cell r="GR2">
            <v>991923</v>
          </cell>
          <cell r="GS2">
            <v>0</v>
          </cell>
          <cell r="GT2">
            <v>2810525</v>
          </cell>
          <cell r="GU2">
            <v>0</v>
          </cell>
          <cell r="GV2">
            <v>0</v>
          </cell>
          <cell r="GW2">
            <v>0</v>
          </cell>
          <cell r="GX2">
            <v>0</v>
          </cell>
          <cell r="GY2">
            <v>0</v>
          </cell>
          <cell r="GZ2">
            <v>2665156</v>
          </cell>
          <cell r="HA2">
            <v>0</v>
          </cell>
          <cell r="HB2">
            <v>0</v>
          </cell>
          <cell r="HC2">
            <v>0</v>
          </cell>
          <cell r="HD2">
            <v>83210</v>
          </cell>
          <cell r="HE2">
            <v>0</v>
          </cell>
          <cell r="HF2">
            <v>0</v>
          </cell>
          <cell r="HG2">
            <v>0</v>
          </cell>
          <cell r="HH2">
            <v>0</v>
          </cell>
          <cell r="HI2">
            <v>0</v>
          </cell>
          <cell r="HJ2">
            <v>0</v>
          </cell>
          <cell r="HK2">
            <v>1995307</v>
          </cell>
          <cell r="HL2">
            <v>0</v>
          </cell>
          <cell r="HM2">
            <v>0</v>
          </cell>
          <cell r="HN2">
            <v>0</v>
          </cell>
          <cell r="HO2">
            <v>0</v>
          </cell>
          <cell r="HP2">
            <v>0</v>
          </cell>
          <cell r="HQ2">
            <v>0</v>
          </cell>
          <cell r="HR2">
            <v>0</v>
          </cell>
          <cell r="HS2">
            <v>2997365</v>
          </cell>
          <cell r="HT2">
            <v>0</v>
          </cell>
          <cell r="HU2">
            <v>3941284</v>
          </cell>
          <cell r="HV2">
            <v>0</v>
          </cell>
          <cell r="HW2">
            <v>0</v>
          </cell>
          <cell r="HX2">
            <v>0</v>
          </cell>
          <cell r="HY2">
            <v>0</v>
          </cell>
          <cell r="HZ2">
            <v>0</v>
          </cell>
          <cell r="IA2">
            <v>0</v>
          </cell>
          <cell r="IB2">
            <v>0</v>
          </cell>
          <cell r="IC2">
            <v>0</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D2">
            <v>1840</v>
          </cell>
          <cell r="E2">
            <v>0</v>
          </cell>
          <cell r="F2">
            <v>0</v>
          </cell>
          <cell r="G2">
            <v>0</v>
          </cell>
          <cell r="H2">
            <v>4405</v>
          </cell>
          <cell r="I2">
            <v>0</v>
          </cell>
          <cell r="J2">
            <v>0</v>
          </cell>
          <cell r="K2">
            <v>0</v>
          </cell>
          <cell r="L2">
            <v>1000</v>
          </cell>
          <cell r="M2">
            <v>4096.9999999999991</v>
          </cell>
          <cell r="N2">
            <v>3575882</v>
          </cell>
          <cell r="O2">
            <v>0</v>
          </cell>
          <cell r="P2">
            <v>0</v>
          </cell>
          <cell r="Q2">
            <v>0</v>
          </cell>
          <cell r="R2">
            <v>1585</v>
          </cell>
          <cell r="S2">
            <v>0</v>
          </cell>
          <cell r="T2">
            <v>4547630.0000000009</v>
          </cell>
          <cell r="U2">
            <v>0</v>
          </cell>
          <cell r="V2">
            <v>0</v>
          </cell>
          <cell r="W2">
            <v>6500</v>
          </cell>
          <cell r="X2">
            <v>22898</v>
          </cell>
          <cell r="Y2">
            <v>0</v>
          </cell>
          <cell r="Z2">
            <v>0</v>
          </cell>
          <cell r="AA2">
            <v>20574</v>
          </cell>
          <cell r="AB2">
            <v>0</v>
          </cell>
          <cell r="AC2">
            <v>0</v>
          </cell>
          <cell r="AD2">
            <v>0</v>
          </cell>
          <cell r="AE2">
            <v>0</v>
          </cell>
          <cell r="AF2">
            <v>0</v>
          </cell>
          <cell r="AG2">
            <v>0</v>
          </cell>
          <cell r="AH2">
            <v>44939</v>
          </cell>
          <cell r="AI2">
            <v>0</v>
          </cell>
          <cell r="AJ2">
            <v>0</v>
          </cell>
          <cell r="AK2">
            <v>0</v>
          </cell>
          <cell r="AL2">
            <v>0</v>
          </cell>
          <cell r="AM2">
            <v>0</v>
          </cell>
          <cell r="AN2">
            <v>721280</v>
          </cell>
          <cell r="AO2">
            <v>0</v>
          </cell>
          <cell r="AP2">
            <v>0</v>
          </cell>
          <cell r="AQ2">
            <v>1970</v>
          </cell>
          <cell r="AR2">
            <v>0</v>
          </cell>
          <cell r="AS2">
            <v>0</v>
          </cell>
          <cell r="AT2">
            <v>0</v>
          </cell>
          <cell r="AU2">
            <v>318511.99999999988</v>
          </cell>
          <cell r="AV2">
            <v>0</v>
          </cell>
          <cell r="AW2">
            <v>0</v>
          </cell>
          <cell r="AX2">
            <v>2005</v>
          </cell>
          <cell r="AY2">
            <v>0</v>
          </cell>
          <cell r="AZ2">
            <v>0</v>
          </cell>
          <cell r="BA2">
            <v>0</v>
          </cell>
          <cell r="BB2">
            <v>4027</v>
          </cell>
          <cell r="BC2">
            <v>0</v>
          </cell>
          <cell r="BD2">
            <v>0</v>
          </cell>
          <cell r="BE2">
            <v>8404</v>
          </cell>
          <cell r="BF2">
            <v>0</v>
          </cell>
          <cell r="BG2">
            <v>1800</v>
          </cell>
          <cell r="BH2">
            <v>34125360</v>
          </cell>
          <cell r="BI2">
            <v>0</v>
          </cell>
          <cell r="BJ2">
            <v>684862</v>
          </cell>
          <cell r="BK2">
            <v>0</v>
          </cell>
          <cell r="BL2">
            <v>0</v>
          </cell>
          <cell r="BM2">
            <v>0</v>
          </cell>
          <cell r="BN2">
            <v>0</v>
          </cell>
          <cell r="BO2">
            <v>0</v>
          </cell>
          <cell r="BP2">
            <v>1726</v>
          </cell>
          <cell r="BQ2">
            <v>0</v>
          </cell>
          <cell r="BR2">
            <v>10845</v>
          </cell>
          <cell r="BS2">
            <v>0</v>
          </cell>
          <cell r="BT2">
            <v>0</v>
          </cell>
          <cell r="BU2">
            <v>0</v>
          </cell>
          <cell r="BV2">
            <v>0</v>
          </cell>
          <cell r="BW2">
            <v>53532</v>
          </cell>
          <cell r="BX2">
            <v>13074206</v>
          </cell>
          <cell r="BY2">
            <v>0</v>
          </cell>
          <cell r="BZ2">
            <v>0</v>
          </cell>
          <cell r="CA2">
            <v>0</v>
          </cell>
          <cell r="CB2">
            <v>0</v>
          </cell>
          <cell r="CC2">
            <v>174892</v>
          </cell>
          <cell r="CD2">
            <v>0</v>
          </cell>
          <cell r="CE2">
            <v>0</v>
          </cell>
          <cell r="CF2">
            <v>109481191</v>
          </cell>
          <cell r="CG2">
            <v>0</v>
          </cell>
          <cell r="CH2">
            <v>1996</v>
          </cell>
          <cell r="CI2">
            <v>0</v>
          </cell>
          <cell r="CJ2">
            <v>47191.999999999993</v>
          </cell>
          <cell r="CK2">
            <v>0</v>
          </cell>
          <cell r="CL2">
            <v>0</v>
          </cell>
          <cell r="CM2">
            <v>0</v>
          </cell>
          <cell r="CN2">
            <v>0</v>
          </cell>
          <cell r="CO2">
            <v>0</v>
          </cell>
          <cell r="CP2">
            <v>0</v>
          </cell>
          <cell r="CQ2">
            <v>0</v>
          </cell>
          <cell r="CR2">
            <v>0</v>
          </cell>
          <cell r="CS2">
            <v>0</v>
          </cell>
          <cell r="CT2">
            <v>0</v>
          </cell>
          <cell r="CU2">
            <v>16086</v>
          </cell>
          <cell r="CV2">
            <v>14061817</v>
          </cell>
          <cell r="CW2">
            <v>0</v>
          </cell>
          <cell r="CX2">
            <v>1500</v>
          </cell>
          <cell r="CY2">
            <v>0</v>
          </cell>
          <cell r="CZ2">
            <v>0</v>
          </cell>
          <cell r="DA2">
            <v>2122</v>
          </cell>
          <cell r="DB2">
            <v>0</v>
          </cell>
          <cell r="DC2">
            <v>11186880</v>
          </cell>
          <cell r="DD2">
            <v>0</v>
          </cell>
          <cell r="DE2">
            <v>0</v>
          </cell>
          <cell r="DF2">
            <v>15388150</v>
          </cell>
          <cell r="DG2">
            <v>2060</v>
          </cell>
          <cell r="DH2">
            <v>0</v>
          </cell>
          <cell r="DI2">
            <v>2715</v>
          </cell>
          <cell r="DJ2">
            <v>0</v>
          </cell>
          <cell r="DK2">
            <v>3626822</v>
          </cell>
          <cell r="DL2">
            <v>4390.0000000000009</v>
          </cell>
          <cell r="DM2">
            <v>0</v>
          </cell>
          <cell r="DN2">
            <v>0</v>
          </cell>
          <cell r="DO2">
            <v>5275</v>
          </cell>
          <cell r="DP2">
            <v>0</v>
          </cell>
          <cell r="DQ2">
            <v>21442</v>
          </cell>
          <cell r="DR2">
            <v>0</v>
          </cell>
          <cell r="DS2">
            <v>0</v>
          </cell>
          <cell r="DT2">
            <v>80479</v>
          </cell>
          <cell r="DU2">
            <v>45684</v>
          </cell>
          <cell r="DV2">
            <v>0</v>
          </cell>
          <cell r="DW2">
            <v>0</v>
          </cell>
          <cell r="DX2">
            <v>0</v>
          </cell>
          <cell r="DY2">
            <v>0</v>
          </cell>
          <cell r="DZ2">
            <v>0</v>
          </cell>
          <cell r="EA2">
            <v>0</v>
          </cell>
          <cell r="EB2">
            <v>3405</v>
          </cell>
          <cell r="EC2">
            <v>0</v>
          </cell>
          <cell r="ED2">
            <v>0</v>
          </cell>
          <cell r="EE2">
            <v>5741853</v>
          </cell>
          <cell r="EF2">
            <v>0</v>
          </cell>
          <cell r="EG2">
            <v>0</v>
          </cell>
          <cell r="EH2">
            <v>78447</v>
          </cell>
          <cell r="EI2">
            <v>0</v>
          </cell>
          <cell r="EJ2">
            <v>4576718</v>
          </cell>
          <cell r="EK2">
            <v>0</v>
          </cell>
          <cell r="EL2">
            <v>0</v>
          </cell>
          <cell r="EM2">
            <v>1575</v>
          </cell>
          <cell r="EN2">
            <v>0</v>
          </cell>
          <cell r="EO2">
            <v>0</v>
          </cell>
          <cell r="EP2">
            <v>2292841</v>
          </cell>
          <cell r="EQ2">
            <v>0</v>
          </cell>
          <cell r="ER2">
            <v>0</v>
          </cell>
          <cell r="ES2">
            <v>0</v>
          </cell>
          <cell r="ET2">
            <v>0</v>
          </cell>
          <cell r="EU2">
            <v>0</v>
          </cell>
          <cell r="EV2">
            <v>0</v>
          </cell>
          <cell r="EW2">
            <v>1560</v>
          </cell>
          <cell r="EX2">
            <v>0</v>
          </cell>
          <cell r="EY2">
            <v>0</v>
          </cell>
          <cell r="EZ2">
            <v>0</v>
          </cell>
          <cell r="FA2">
            <v>0</v>
          </cell>
          <cell r="FB2">
            <v>0</v>
          </cell>
          <cell r="FC2">
            <v>15401</v>
          </cell>
          <cell r="FD2">
            <v>0</v>
          </cell>
          <cell r="FE2">
            <v>0</v>
          </cell>
          <cell r="FF2">
            <v>0</v>
          </cell>
          <cell r="FG2">
            <v>0</v>
          </cell>
          <cell r="FH2">
            <v>0</v>
          </cell>
          <cell r="FI2">
            <v>0</v>
          </cell>
          <cell r="FJ2">
            <v>4698</v>
          </cell>
          <cell r="FK2">
            <v>0</v>
          </cell>
          <cell r="FL2">
            <v>0</v>
          </cell>
          <cell r="FM2">
            <v>0</v>
          </cell>
          <cell r="FN2">
            <v>0</v>
          </cell>
          <cell r="FO2">
            <v>0</v>
          </cell>
          <cell r="FP2">
            <v>5871994</v>
          </cell>
          <cell r="FQ2">
            <v>9837050.0000000019</v>
          </cell>
          <cell r="FR2">
            <v>0</v>
          </cell>
          <cell r="FS2">
            <v>0</v>
          </cell>
          <cell r="FT2">
            <v>1200</v>
          </cell>
          <cell r="FU2">
            <v>5776130</v>
          </cell>
          <cell r="FV2">
            <v>37857</v>
          </cell>
          <cell r="FW2">
            <v>0</v>
          </cell>
          <cell r="FX2">
            <v>0</v>
          </cell>
          <cell r="FY2">
            <v>0</v>
          </cell>
          <cell r="FZ2">
            <v>0</v>
          </cell>
          <cell r="GA2">
            <v>0</v>
          </cell>
          <cell r="GB2">
            <v>0</v>
          </cell>
          <cell r="GC2">
            <v>0</v>
          </cell>
          <cell r="GD2">
            <v>0</v>
          </cell>
          <cell r="GE2">
            <v>0</v>
          </cell>
          <cell r="GF2">
            <v>0</v>
          </cell>
          <cell r="GG2">
            <v>4835</v>
          </cell>
          <cell r="GH2">
            <v>0</v>
          </cell>
          <cell r="GI2">
            <v>179189</v>
          </cell>
          <cell r="GJ2">
            <v>0</v>
          </cell>
          <cell r="GK2">
            <v>0</v>
          </cell>
          <cell r="GL2">
            <v>1452</v>
          </cell>
          <cell r="GM2">
            <v>0</v>
          </cell>
          <cell r="GN2">
            <v>6682117</v>
          </cell>
          <cell r="GO2">
            <v>175</v>
          </cell>
          <cell r="GP2">
            <v>2114918</v>
          </cell>
          <cell r="GQ2">
            <v>0</v>
          </cell>
          <cell r="GR2">
            <v>2548272</v>
          </cell>
          <cell r="GS2">
            <v>0</v>
          </cell>
          <cell r="GT2">
            <v>30504374</v>
          </cell>
          <cell r="GU2">
            <v>0</v>
          </cell>
          <cell r="GV2">
            <v>0</v>
          </cell>
          <cell r="GW2">
            <v>0</v>
          </cell>
          <cell r="GX2">
            <v>0</v>
          </cell>
          <cell r="GY2">
            <v>0</v>
          </cell>
          <cell r="GZ2">
            <v>1449006</v>
          </cell>
          <cell r="HA2">
            <v>0</v>
          </cell>
          <cell r="HB2">
            <v>0</v>
          </cell>
          <cell r="HC2">
            <v>0</v>
          </cell>
          <cell r="HD2">
            <v>1730379</v>
          </cell>
          <cell r="HE2">
            <v>0</v>
          </cell>
          <cell r="HF2">
            <v>0</v>
          </cell>
          <cell r="HG2">
            <v>0</v>
          </cell>
          <cell r="HH2">
            <v>0</v>
          </cell>
          <cell r="HI2">
            <v>85554</v>
          </cell>
          <cell r="HJ2">
            <v>0</v>
          </cell>
          <cell r="HK2">
            <v>5348843.9999999991</v>
          </cell>
          <cell r="HL2">
            <v>0</v>
          </cell>
          <cell r="HM2">
            <v>0</v>
          </cell>
          <cell r="HN2">
            <v>0</v>
          </cell>
          <cell r="HO2">
            <v>0</v>
          </cell>
          <cell r="HP2">
            <v>9609</v>
          </cell>
          <cell r="HQ2">
            <v>29576</v>
          </cell>
          <cell r="HR2">
            <v>550</v>
          </cell>
          <cell r="HS2">
            <v>11147698</v>
          </cell>
          <cell r="HT2">
            <v>0</v>
          </cell>
          <cell r="HU2">
            <v>10717775</v>
          </cell>
          <cell r="HV2">
            <v>0</v>
          </cell>
          <cell r="HW2">
            <v>0</v>
          </cell>
          <cell r="HX2">
            <v>0</v>
          </cell>
          <cell r="HY2">
            <v>0</v>
          </cell>
          <cell r="HZ2">
            <v>0</v>
          </cell>
          <cell r="IA2">
            <v>0</v>
          </cell>
          <cell r="IB2">
            <v>0</v>
          </cell>
          <cell r="IC2">
            <v>0</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C2">
            <v>0</v>
          </cell>
          <cell r="D2">
            <v>0</v>
          </cell>
          <cell r="E2">
            <v>0</v>
          </cell>
          <cell r="F2">
            <v>0</v>
          </cell>
          <cell r="G2">
            <v>0</v>
          </cell>
          <cell r="H2">
            <v>0</v>
          </cell>
          <cell r="I2">
            <v>0</v>
          </cell>
          <cell r="J2">
            <v>0</v>
          </cell>
          <cell r="K2">
            <v>0</v>
          </cell>
          <cell r="L2">
            <v>0</v>
          </cell>
          <cell r="M2">
            <v>0</v>
          </cell>
          <cell r="N2">
            <v>0</v>
          </cell>
          <cell r="O2">
            <v>0</v>
          </cell>
          <cell r="P2">
            <v>0</v>
          </cell>
          <cell r="Q2">
            <v>0</v>
          </cell>
          <cell r="R2">
            <v>0</v>
          </cell>
          <cell r="S2">
            <v>0</v>
          </cell>
          <cell r="T2">
            <v>200825</v>
          </cell>
          <cell r="U2">
            <v>0</v>
          </cell>
          <cell r="V2">
            <v>0</v>
          </cell>
          <cell r="W2">
            <v>0</v>
          </cell>
          <cell r="X2">
            <v>0</v>
          </cell>
          <cell r="Y2">
            <v>0</v>
          </cell>
          <cell r="Z2">
            <v>0</v>
          </cell>
          <cell r="AA2">
            <v>0</v>
          </cell>
          <cell r="AB2">
            <v>0</v>
          </cell>
          <cell r="AC2">
            <v>0</v>
          </cell>
          <cell r="AD2">
            <v>0</v>
          </cell>
          <cell r="AE2">
            <v>0</v>
          </cell>
          <cell r="AF2">
            <v>0</v>
          </cell>
          <cell r="AG2">
            <v>0</v>
          </cell>
          <cell r="AH2">
            <v>0</v>
          </cell>
          <cell r="AI2">
            <v>0</v>
          </cell>
          <cell r="AJ2">
            <v>0</v>
          </cell>
          <cell r="AK2">
            <v>0</v>
          </cell>
          <cell r="AL2">
            <v>0</v>
          </cell>
          <cell r="AM2">
            <v>0</v>
          </cell>
          <cell r="AN2">
            <v>0</v>
          </cell>
          <cell r="AO2">
            <v>0</v>
          </cell>
          <cell r="AP2">
            <v>0</v>
          </cell>
          <cell r="AQ2">
            <v>0</v>
          </cell>
          <cell r="AR2">
            <v>0</v>
          </cell>
          <cell r="AS2">
            <v>0</v>
          </cell>
          <cell r="AT2">
            <v>0</v>
          </cell>
          <cell r="AU2">
            <v>0</v>
          </cell>
          <cell r="AV2">
            <v>0</v>
          </cell>
          <cell r="AW2">
            <v>0</v>
          </cell>
          <cell r="AX2">
            <v>0</v>
          </cell>
          <cell r="AY2">
            <v>0</v>
          </cell>
          <cell r="AZ2">
            <v>0</v>
          </cell>
          <cell r="BA2">
            <v>0</v>
          </cell>
          <cell r="BB2">
            <v>0</v>
          </cell>
          <cell r="BC2">
            <v>0</v>
          </cell>
          <cell r="BD2">
            <v>0</v>
          </cell>
          <cell r="BE2">
            <v>0</v>
          </cell>
          <cell r="BF2">
            <v>0</v>
          </cell>
          <cell r="BG2">
            <v>0</v>
          </cell>
          <cell r="BH2">
            <v>0</v>
          </cell>
          <cell r="BI2">
            <v>0</v>
          </cell>
          <cell r="BJ2">
            <v>0</v>
          </cell>
          <cell r="BK2">
            <v>0</v>
          </cell>
          <cell r="BL2">
            <v>0</v>
          </cell>
          <cell r="BM2">
            <v>0</v>
          </cell>
          <cell r="BN2">
            <v>0</v>
          </cell>
          <cell r="BO2">
            <v>0</v>
          </cell>
          <cell r="BP2">
            <v>0</v>
          </cell>
          <cell r="BQ2">
            <v>0</v>
          </cell>
          <cell r="BR2">
            <v>0</v>
          </cell>
          <cell r="BS2">
            <v>0</v>
          </cell>
          <cell r="BT2">
            <v>0</v>
          </cell>
          <cell r="BU2">
            <v>0</v>
          </cell>
          <cell r="BV2">
            <v>0</v>
          </cell>
          <cell r="BW2">
            <v>0</v>
          </cell>
          <cell r="BX2">
            <v>15204</v>
          </cell>
          <cell r="BY2">
            <v>0</v>
          </cell>
          <cell r="BZ2">
            <v>0</v>
          </cell>
          <cell r="CA2">
            <v>0</v>
          </cell>
          <cell r="CB2">
            <v>0</v>
          </cell>
          <cell r="CC2">
            <v>0</v>
          </cell>
          <cell r="CD2">
            <v>0</v>
          </cell>
          <cell r="CE2">
            <v>0</v>
          </cell>
          <cell r="CF2">
            <v>105078</v>
          </cell>
          <cell r="CG2">
            <v>0</v>
          </cell>
          <cell r="CH2">
            <v>0</v>
          </cell>
          <cell r="CI2">
            <v>0</v>
          </cell>
          <cell r="CJ2">
            <v>0</v>
          </cell>
          <cell r="CK2">
            <v>0</v>
          </cell>
          <cell r="CL2">
            <v>0</v>
          </cell>
          <cell r="CM2">
            <v>0</v>
          </cell>
          <cell r="CN2">
            <v>0</v>
          </cell>
          <cell r="CO2">
            <v>0</v>
          </cell>
          <cell r="CP2">
            <v>0</v>
          </cell>
          <cell r="CQ2">
            <v>0</v>
          </cell>
          <cell r="CR2">
            <v>0</v>
          </cell>
          <cell r="CS2">
            <v>0</v>
          </cell>
          <cell r="CT2">
            <v>0</v>
          </cell>
          <cell r="CU2">
            <v>0</v>
          </cell>
          <cell r="CV2">
            <v>0</v>
          </cell>
          <cell r="CW2">
            <v>0</v>
          </cell>
          <cell r="CX2">
            <v>0</v>
          </cell>
          <cell r="CY2">
            <v>0</v>
          </cell>
          <cell r="CZ2">
            <v>0</v>
          </cell>
          <cell r="DA2">
            <v>0</v>
          </cell>
          <cell r="DB2">
            <v>0</v>
          </cell>
          <cell r="DC2">
            <v>0</v>
          </cell>
          <cell r="DD2">
            <v>0</v>
          </cell>
          <cell r="DE2">
            <v>0</v>
          </cell>
          <cell r="DF2">
            <v>0</v>
          </cell>
          <cell r="DG2">
            <v>0</v>
          </cell>
          <cell r="DH2">
            <v>0</v>
          </cell>
          <cell r="DI2">
            <v>0</v>
          </cell>
          <cell r="DJ2">
            <v>0</v>
          </cell>
          <cell r="DK2">
            <v>0</v>
          </cell>
          <cell r="DL2">
            <v>0</v>
          </cell>
          <cell r="DM2">
            <v>0</v>
          </cell>
          <cell r="DN2">
            <v>0</v>
          </cell>
          <cell r="DO2">
            <v>0</v>
          </cell>
          <cell r="DP2">
            <v>0</v>
          </cell>
          <cell r="DQ2">
            <v>0</v>
          </cell>
          <cell r="DR2">
            <v>0</v>
          </cell>
          <cell r="DS2">
            <v>0</v>
          </cell>
          <cell r="DT2">
            <v>0</v>
          </cell>
          <cell r="DU2">
            <v>0</v>
          </cell>
          <cell r="DV2">
            <v>0</v>
          </cell>
          <cell r="DW2">
            <v>0</v>
          </cell>
          <cell r="DX2">
            <v>0</v>
          </cell>
          <cell r="DY2">
            <v>0</v>
          </cell>
          <cell r="DZ2">
            <v>0</v>
          </cell>
          <cell r="EA2">
            <v>0</v>
          </cell>
          <cell r="EB2">
            <v>0</v>
          </cell>
          <cell r="EC2">
            <v>0</v>
          </cell>
          <cell r="ED2">
            <v>0</v>
          </cell>
          <cell r="EE2">
            <v>0</v>
          </cell>
          <cell r="EF2">
            <v>0</v>
          </cell>
          <cell r="EG2">
            <v>0</v>
          </cell>
          <cell r="EH2">
            <v>0</v>
          </cell>
          <cell r="EI2">
            <v>0</v>
          </cell>
          <cell r="EJ2">
            <v>0</v>
          </cell>
          <cell r="EK2">
            <v>0</v>
          </cell>
          <cell r="EL2">
            <v>0</v>
          </cell>
          <cell r="EM2">
            <v>0</v>
          </cell>
          <cell r="EN2">
            <v>0</v>
          </cell>
          <cell r="EO2">
            <v>0</v>
          </cell>
          <cell r="EP2">
            <v>0</v>
          </cell>
          <cell r="EQ2">
            <v>0</v>
          </cell>
          <cell r="ER2">
            <v>0</v>
          </cell>
          <cell r="ES2">
            <v>0</v>
          </cell>
          <cell r="ET2">
            <v>0</v>
          </cell>
          <cell r="EU2">
            <v>0</v>
          </cell>
          <cell r="EV2">
            <v>0</v>
          </cell>
          <cell r="EW2">
            <v>0</v>
          </cell>
          <cell r="EX2">
            <v>0</v>
          </cell>
          <cell r="EY2">
            <v>0</v>
          </cell>
          <cell r="EZ2">
            <v>0</v>
          </cell>
          <cell r="FA2">
            <v>0</v>
          </cell>
          <cell r="FB2">
            <v>0</v>
          </cell>
          <cell r="FC2">
            <v>2220</v>
          </cell>
          <cell r="FD2">
            <v>0</v>
          </cell>
          <cell r="FE2">
            <v>0</v>
          </cell>
          <cell r="FF2">
            <v>0</v>
          </cell>
          <cell r="FG2">
            <v>0</v>
          </cell>
          <cell r="FH2">
            <v>0</v>
          </cell>
          <cell r="FI2">
            <v>0</v>
          </cell>
          <cell r="FJ2">
            <v>0</v>
          </cell>
          <cell r="FK2">
            <v>0</v>
          </cell>
          <cell r="FL2">
            <v>0</v>
          </cell>
          <cell r="FM2">
            <v>0</v>
          </cell>
          <cell r="FN2">
            <v>0</v>
          </cell>
          <cell r="FO2">
            <v>0</v>
          </cell>
          <cell r="FP2">
            <v>95400</v>
          </cell>
          <cell r="FQ2">
            <v>0</v>
          </cell>
          <cell r="FR2">
            <v>0</v>
          </cell>
          <cell r="FS2">
            <v>0</v>
          </cell>
          <cell r="FT2">
            <v>0</v>
          </cell>
          <cell r="FU2">
            <v>0</v>
          </cell>
          <cell r="FV2">
            <v>0</v>
          </cell>
          <cell r="FW2">
            <v>0</v>
          </cell>
          <cell r="FX2">
            <v>0</v>
          </cell>
          <cell r="FY2">
            <v>0</v>
          </cell>
          <cell r="FZ2">
            <v>0</v>
          </cell>
          <cell r="GA2">
            <v>0</v>
          </cell>
          <cell r="GB2">
            <v>0</v>
          </cell>
          <cell r="GC2">
            <v>0</v>
          </cell>
          <cell r="GD2">
            <v>0</v>
          </cell>
          <cell r="GE2">
            <v>0</v>
          </cell>
          <cell r="GF2">
            <v>0</v>
          </cell>
          <cell r="GG2">
            <v>0</v>
          </cell>
          <cell r="GH2">
            <v>0</v>
          </cell>
          <cell r="GI2">
            <v>0</v>
          </cell>
          <cell r="GJ2">
            <v>0</v>
          </cell>
          <cell r="GK2">
            <v>0</v>
          </cell>
          <cell r="GL2">
            <v>0</v>
          </cell>
          <cell r="GM2">
            <v>0</v>
          </cell>
          <cell r="GN2">
            <v>0</v>
          </cell>
          <cell r="GO2">
            <v>0</v>
          </cell>
          <cell r="GP2">
            <v>0</v>
          </cell>
          <cell r="GQ2">
            <v>0</v>
          </cell>
          <cell r="GR2">
            <v>0</v>
          </cell>
          <cell r="GS2">
            <v>0</v>
          </cell>
          <cell r="GT2">
            <v>33225</v>
          </cell>
          <cell r="GU2">
            <v>0</v>
          </cell>
          <cell r="GV2">
            <v>0</v>
          </cell>
          <cell r="GW2">
            <v>0</v>
          </cell>
          <cell r="GX2">
            <v>0</v>
          </cell>
          <cell r="GY2">
            <v>0</v>
          </cell>
          <cell r="GZ2">
            <v>0</v>
          </cell>
          <cell r="HA2">
            <v>0</v>
          </cell>
          <cell r="HB2">
            <v>0</v>
          </cell>
          <cell r="HC2">
            <v>0</v>
          </cell>
          <cell r="HD2">
            <v>0</v>
          </cell>
          <cell r="HE2">
            <v>0</v>
          </cell>
          <cell r="HF2">
            <v>0</v>
          </cell>
          <cell r="HG2">
            <v>0</v>
          </cell>
          <cell r="HH2">
            <v>0</v>
          </cell>
          <cell r="HI2">
            <v>0</v>
          </cell>
          <cell r="HJ2">
            <v>0</v>
          </cell>
          <cell r="HK2">
            <v>0</v>
          </cell>
          <cell r="HL2">
            <v>0</v>
          </cell>
          <cell r="HM2">
            <v>0</v>
          </cell>
          <cell r="HN2">
            <v>0</v>
          </cell>
          <cell r="HO2">
            <v>0</v>
          </cell>
          <cell r="HP2">
            <v>0</v>
          </cell>
          <cell r="HQ2">
            <v>0</v>
          </cell>
          <cell r="HR2">
            <v>0</v>
          </cell>
          <cell r="HS2">
            <v>0</v>
          </cell>
          <cell r="HT2">
            <v>0</v>
          </cell>
          <cell r="HU2">
            <v>0</v>
          </cell>
          <cell r="HV2">
            <v>0</v>
          </cell>
          <cell r="HW2">
            <v>0</v>
          </cell>
          <cell r="HX2">
            <v>0</v>
          </cell>
          <cell r="HY2">
            <v>0</v>
          </cell>
          <cell r="HZ2">
            <v>0</v>
          </cell>
          <cell r="IA2">
            <v>0</v>
          </cell>
          <cell r="IB2">
            <v>0</v>
          </cell>
          <cell r="IC2">
            <v>0</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D2">
            <v>0</v>
          </cell>
          <cell r="E2">
            <v>0</v>
          </cell>
          <cell r="F2">
            <v>0</v>
          </cell>
          <cell r="G2">
            <v>0</v>
          </cell>
          <cell r="H2">
            <v>0</v>
          </cell>
          <cell r="I2">
            <v>0</v>
          </cell>
          <cell r="J2">
            <v>0</v>
          </cell>
          <cell r="K2">
            <v>0</v>
          </cell>
          <cell r="L2">
            <v>0</v>
          </cell>
          <cell r="M2">
            <v>0</v>
          </cell>
          <cell r="N2">
            <v>0</v>
          </cell>
          <cell r="O2">
            <v>0</v>
          </cell>
          <cell r="P2">
            <v>0</v>
          </cell>
          <cell r="Q2">
            <v>0</v>
          </cell>
          <cell r="R2">
            <v>0</v>
          </cell>
          <cell r="S2">
            <v>0</v>
          </cell>
          <cell r="T2">
            <v>1915</v>
          </cell>
          <cell r="U2">
            <v>0</v>
          </cell>
          <cell r="V2">
            <v>0</v>
          </cell>
          <cell r="W2">
            <v>0</v>
          </cell>
          <cell r="X2">
            <v>0</v>
          </cell>
          <cell r="Y2">
            <v>0</v>
          </cell>
          <cell r="Z2">
            <v>0</v>
          </cell>
          <cell r="AA2">
            <v>0</v>
          </cell>
          <cell r="AB2">
            <v>0</v>
          </cell>
          <cell r="AC2">
            <v>0</v>
          </cell>
          <cell r="AD2">
            <v>0</v>
          </cell>
          <cell r="AE2">
            <v>0</v>
          </cell>
          <cell r="AF2">
            <v>0</v>
          </cell>
          <cell r="AG2">
            <v>0</v>
          </cell>
          <cell r="AH2">
            <v>0</v>
          </cell>
          <cell r="AI2">
            <v>0</v>
          </cell>
          <cell r="AJ2">
            <v>0</v>
          </cell>
          <cell r="AK2">
            <v>0</v>
          </cell>
          <cell r="AL2">
            <v>0</v>
          </cell>
          <cell r="AM2">
            <v>0</v>
          </cell>
          <cell r="AN2">
            <v>0</v>
          </cell>
          <cell r="AO2">
            <v>0</v>
          </cell>
          <cell r="AP2">
            <v>0</v>
          </cell>
          <cell r="AQ2">
            <v>0</v>
          </cell>
          <cell r="AR2">
            <v>0</v>
          </cell>
          <cell r="AS2">
            <v>0</v>
          </cell>
          <cell r="AT2">
            <v>0</v>
          </cell>
          <cell r="AU2">
            <v>0</v>
          </cell>
          <cell r="AV2">
            <v>0</v>
          </cell>
          <cell r="AW2">
            <v>0</v>
          </cell>
          <cell r="AX2">
            <v>0</v>
          </cell>
          <cell r="AY2">
            <v>0</v>
          </cell>
          <cell r="AZ2">
            <v>0</v>
          </cell>
          <cell r="BA2">
            <v>0</v>
          </cell>
          <cell r="BB2">
            <v>0</v>
          </cell>
          <cell r="BC2">
            <v>0</v>
          </cell>
          <cell r="BD2">
            <v>0</v>
          </cell>
          <cell r="BE2">
            <v>0</v>
          </cell>
          <cell r="BF2">
            <v>0</v>
          </cell>
          <cell r="BG2">
            <v>0</v>
          </cell>
          <cell r="BH2">
            <v>0</v>
          </cell>
          <cell r="BI2">
            <v>0</v>
          </cell>
          <cell r="BJ2">
            <v>3142</v>
          </cell>
          <cell r="BK2">
            <v>0</v>
          </cell>
          <cell r="BL2">
            <v>0</v>
          </cell>
          <cell r="BM2">
            <v>0</v>
          </cell>
          <cell r="BN2">
            <v>0</v>
          </cell>
          <cell r="BO2">
            <v>0</v>
          </cell>
          <cell r="BP2">
            <v>0</v>
          </cell>
          <cell r="BQ2">
            <v>0</v>
          </cell>
          <cell r="BR2">
            <v>0</v>
          </cell>
          <cell r="BS2">
            <v>0</v>
          </cell>
          <cell r="BT2">
            <v>0</v>
          </cell>
          <cell r="BU2">
            <v>0</v>
          </cell>
          <cell r="BV2">
            <v>0</v>
          </cell>
          <cell r="BW2">
            <v>0</v>
          </cell>
          <cell r="BX2">
            <v>11508</v>
          </cell>
          <cell r="BY2">
            <v>0</v>
          </cell>
          <cell r="BZ2">
            <v>0</v>
          </cell>
          <cell r="CA2">
            <v>0</v>
          </cell>
          <cell r="CB2">
            <v>0</v>
          </cell>
          <cell r="CC2">
            <v>0</v>
          </cell>
          <cell r="CD2">
            <v>0</v>
          </cell>
          <cell r="CE2">
            <v>0</v>
          </cell>
          <cell r="CF2">
            <v>23016</v>
          </cell>
          <cell r="CG2">
            <v>0</v>
          </cell>
          <cell r="CH2">
            <v>0</v>
          </cell>
          <cell r="CI2">
            <v>0</v>
          </cell>
          <cell r="CJ2">
            <v>0</v>
          </cell>
          <cell r="CK2">
            <v>0</v>
          </cell>
          <cell r="CL2">
            <v>0</v>
          </cell>
          <cell r="CM2">
            <v>0</v>
          </cell>
          <cell r="CN2">
            <v>0</v>
          </cell>
          <cell r="CO2">
            <v>0</v>
          </cell>
          <cell r="CP2">
            <v>0</v>
          </cell>
          <cell r="CQ2">
            <v>0</v>
          </cell>
          <cell r="CR2">
            <v>0</v>
          </cell>
          <cell r="CS2">
            <v>0</v>
          </cell>
          <cell r="CT2">
            <v>0</v>
          </cell>
          <cell r="CU2">
            <v>0</v>
          </cell>
          <cell r="CV2">
            <v>0</v>
          </cell>
          <cell r="CW2">
            <v>0</v>
          </cell>
          <cell r="CX2">
            <v>0</v>
          </cell>
          <cell r="CY2">
            <v>0</v>
          </cell>
          <cell r="CZ2">
            <v>0</v>
          </cell>
          <cell r="DA2">
            <v>0</v>
          </cell>
          <cell r="DB2">
            <v>0</v>
          </cell>
          <cell r="DC2">
            <v>7465.9999999999991</v>
          </cell>
          <cell r="DD2">
            <v>0</v>
          </cell>
          <cell r="DE2">
            <v>0</v>
          </cell>
          <cell r="DF2">
            <v>0</v>
          </cell>
          <cell r="DG2">
            <v>0</v>
          </cell>
          <cell r="DH2">
            <v>0</v>
          </cell>
          <cell r="DI2">
            <v>0</v>
          </cell>
          <cell r="DJ2">
            <v>0</v>
          </cell>
          <cell r="DK2">
            <v>0</v>
          </cell>
          <cell r="DL2">
            <v>0</v>
          </cell>
          <cell r="DM2">
            <v>0</v>
          </cell>
          <cell r="DN2">
            <v>0</v>
          </cell>
          <cell r="DO2">
            <v>0</v>
          </cell>
          <cell r="DP2">
            <v>0</v>
          </cell>
          <cell r="DQ2">
            <v>0</v>
          </cell>
          <cell r="DR2">
            <v>0</v>
          </cell>
          <cell r="DS2">
            <v>0</v>
          </cell>
          <cell r="DT2">
            <v>0</v>
          </cell>
          <cell r="DU2">
            <v>0</v>
          </cell>
          <cell r="DV2">
            <v>0</v>
          </cell>
          <cell r="DW2">
            <v>0</v>
          </cell>
          <cell r="DX2">
            <v>0</v>
          </cell>
          <cell r="DY2">
            <v>0</v>
          </cell>
          <cell r="DZ2">
            <v>0</v>
          </cell>
          <cell r="EA2">
            <v>0</v>
          </cell>
          <cell r="EB2">
            <v>0</v>
          </cell>
          <cell r="EC2">
            <v>0</v>
          </cell>
          <cell r="ED2">
            <v>0</v>
          </cell>
          <cell r="EE2">
            <v>0</v>
          </cell>
          <cell r="EF2">
            <v>0</v>
          </cell>
          <cell r="EG2">
            <v>0</v>
          </cell>
          <cell r="EH2">
            <v>0</v>
          </cell>
          <cell r="EI2">
            <v>0</v>
          </cell>
          <cell r="EJ2">
            <v>0</v>
          </cell>
          <cell r="EK2">
            <v>0</v>
          </cell>
          <cell r="EL2">
            <v>0</v>
          </cell>
          <cell r="EM2">
            <v>0</v>
          </cell>
          <cell r="EN2">
            <v>0</v>
          </cell>
          <cell r="EO2">
            <v>0</v>
          </cell>
          <cell r="EP2">
            <v>0</v>
          </cell>
          <cell r="EQ2">
            <v>0</v>
          </cell>
          <cell r="ER2">
            <v>0</v>
          </cell>
          <cell r="ES2">
            <v>0</v>
          </cell>
          <cell r="ET2">
            <v>0</v>
          </cell>
          <cell r="EU2">
            <v>0</v>
          </cell>
          <cell r="EV2">
            <v>0</v>
          </cell>
          <cell r="EW2">
            <v>0</v>
          </cell>
          <cell r="EX2">
            <v>0</v>
          </cell>
          <cell r="EY2">
            <v>0</v>
          </cell>
          <cell r="EZ2">
            <v>0</v>
          </cell>
          <cell r="FA2">
            <v>0</v>
          </cell>
          <cell r="FB2">
            <v>0</v>
          </cell>
          <cell r="FC2">
            <v>0</v>
          </cell>
          <cell r="FD2">
            <v>0</v>
          </cell>
          <cell r="FE2">
            <v>0</v>
          </cell>
          <cell r="FF2">
            <v>0</v>
          </cell>
          <cell r="FG2">
            <v>0</v>
          </cell>
          <cell r="FH2">
            <v>0</v>
          </cell>
          <cell r="FI2">
            <v>0</v>
          </cell>
          <cell r="FJ2">
            <v>0</v>
          </cell>
          <cell r="FK2">
            <v>0</v>
          </cell>
          <cell r="FL2">
            <v>0</v>
          </cell>
          <cell r="FM2">
            <v>0</v>
          </cell>
          <cell r="FN2">
            <v>0</v>
          </cell>
          <cell r="FO2">
            <v>0</v>
          </cell>
          <cell r="FP2">
            <v>235900</v>
          </cell>
          <cell r="FQ2">
            <v>0</v>
          </cell>
          <cell r="FR2">
            <v>0</v>
          </cell>
          <cell r="FS2">
            <v>0</v>
          </cell>
          <cell r="FT2">
            <v>0</v>
          </cell>
          <cell r="FU2">
            <v>0</v>
          </cell>
          <cell r="FV2">
            <v>0</v>
          </cell>
          <cell r="FW2">
            <v>0</v>
          </cell>
          <cell r="FX2">
            <v>0</v>
          </cell>
          <cell r="FY2">
            <v>0</v>
          </cell>
          <cell r="FZ2">
            <v>0</v>
          </cell>
          <cell r="GA2">
            <v>0</v>
          </cell>
          <cell r="GB2">
            <v>0</v>
          </cell>
          <cell r="GC2">
            <v>0</v>
          </cell>
          <cell r="GD2">
            <v>0</v>
          </cell>
          <cell r="GE2">
            <v>0</v>
          </cell>
          <cell r="GF2">
            <v>0</v>
          </cell>
          <cell r="GG2">
            <v>0</v>
          </cell>
          <cell r="GH2">
            <v>0</v>
          </cell>
          <cell r="GI2">
            <v>0</v>
          </cell>
          <cell r="GJ2">
            <v>0</v>
          </cell>
          <cell r="GK2">
            <v>0</v>
          </cell>
          <cell r="GL2">
            <v>0</v>
          </cell>
          <cell r="GM2">
            <v>0</v>
          </cell>
          <cell r="GN2">
            <v>0</v>
          </cell>
          <cell r="GO2">
            <v>0</v>
          </cell>
          <cell r="GP2">
            <v>0</v>
          </cell>
          <cell r="GQ2">
            <v>0</v>
          </cell>
          <cell r="GR2">
            <v>0</v>
          </cell>
          <cell r="GS2">
            <v>0</v>
          </cell>
          <cell r="GT2">
            <v>0</v>
          </cell>
          <cell r="GU2">
            <v>0</v>
          </cell>
          <cell r="GV2">
            <v>0</v>
          </cell>
          <cell r="GW2">
            <v>0</v>
          </cell>
          <cell r="GX2">
            <v>0</v>
          </cell>
          <cell r="GY2">
            <v>0</v>
          </cell>
          <cell r="GZ2">
            <v>0</v>
          </cell>
          <cell r="HA2">
            <v>0</v>
          </cell>
          <cell r="HB2">
            <v>0</v>
          </cell>
          <cell r="HC2">
            <v>0</v>
          </cell>
          <cell r="HD2">
            <v>0</v>
          </cell>
          <cell r="HE2">
            <v>0</v>
          </cell>
          <cell r="HF2">
            <v>0</v>
          </cell>
          <cell r="HG2">
            <v>0</v>
          </cell>
          <cell r="HH2">
            <v>0</v>
          </cell>
          <cell r="HI2">
            <v>0</v>
          </cell>
          <cell r="HJ2">
            <v>0</v>
          </cell>
          <cell r="HK2">
            <v>0</v>
          </cell>
          <cell r="HL2">
            <v>0</v>
          </cell>
          <cell r="HM2">
            <v>0</v>
          </cell>
          <cell r="HN2">
            <v>0</v>
          </cell>
          <cell r="HO2">
            <v>0</v>
          </cell>
          <cell r="HP2">
            <v>0</v>
          </cell>
          <cell r="HQ2">
            <v>0</v>
          </cell>
          <cell r="HR2">
            <v>0</v>
          </cell>
          <cell r="HS2">
            <v>0</v>
          </cell>
          <cell r="HT2">
            <v>0</v>
          </cell>
          <cell r="HU2">
            <v>3670</v>
          </cell>
          <cell r="HV2">
            <v>0</v>
          </cell>
          <cell r="HW2">
            <v>0</v>
          </cell>
          <cell r="HX2">
            <v>0</v>
          </cell>
          <cell r="HY2">
            <v>0</v>
          </cell>
          <cell r="HZ2">
            <v>0</v>
          </cell>
          <cell r="IA2">
            <v>0</v>
          </cell>
          <cell r="IB2">
            <v>0</v>
          </cell>
          <cell r="IC2">
            <v>0</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D2">
            <v>0</v>
          </cell>
          <cell r="E2">
            <v>0</v>
          </cell>
          <cell r="F2">
            <v>0</v>
          </cell>
          <cell r="G2">
            <v>0</v>
          </cell>
          <cell r="H2">
            <v>0</v>
          </cell>
          <cell r="I2">
            <v>0</v>
          </cell>
          <cell r="J2">
            <v>0</v>
          </cell>
          <cell r="K2">
            <v>0</v>
          </cell>
          <cell r="L2">
            <v>0</v>
          </cell>
          <cell r="M2">
            <v>0</v>
          </cell>
          <cell r="N2">
            <v>30279</v>
          </cell>
          <cell r="O2">
            <v>0</v>
          </cell>
          <cell r="P2">
            <v>0</v>
          </cell>
          <cell r="Q2">
            <v>0</v>
          </cell>
          <cell r="R2">
            <v>0</v>
          </cell>
          <cell r="S2">
            <v>0</v>
          </cell>
          <cell r="T2">
            <v>126778</v>
          </cell>
          <cell r="U2">
            <v>0</v>
          </cell>
          <cell r="V2">
            <v>0</v>
          </cell>
          <cell r="W2">
            <v>0</v>
          </cell>
          <cell r="X2">
            <v>0</v>
          </cell>
          <cell r="Y2">
            <v>0</v>
          </cell>
          <cell r="Z2">
            <v>0</v>
          </cell>
          <cell r="AA2">
            <v>0</v>
          </cell>
          <cell r="AB2">
            <v>0</v>
          </cell>
          <cell r="AC2">
            <v>0</v>
          </cell>
          <cell r="AD2">
            <v>0</v>
          </cell>
          <cell r="AE2">
            <v>0</v>
          </cell>
          <cell r="AF2">
            <v>0</v>
          </cell>
          <cell r="AG2">
            <v>0</v>
          </cell>
          <cell r="AH2">
            <v>0</v>
          </cell>
          <cell r="AI2">
            <v>0</v>
          </cell>
          <cell r="AJ2">
            <v>0</v>
          </cell>
          <cell r="AK2">
            <v>0</v>
          </cell>
          <cell r="AL2">
            <v>0</v>
          </cell>
          <cell r="AM2">
            <v>0</v>
          </cell>
          <cell r="AN2">
            <v>0</v>
          </cell>
          <cell r="AO2">
            <v>0</v>
          </cell>
          <cell r="AP2">
            <v>0</v>
          </cell>
          <cell r="AQ2">
            <v>0</v>
          </cell>
          <cell r="AR2">
            <v>0</v>
          </cell>
          <cell r="AS2">
            <v>0</v>
          </cell>
          <cell r="AT2">
            <v>0</v>
          </cell>
          <cell r="AU2">
            <v>2</v>
          </cell>
          <cell r="AV2">
            <v>0</v>
          </cell>
          <cell r="AW2">
            <v>0</v>
          </cell>
          <cell r="AX2">
            <v>0</v>
          </cell>
          <cell r="AY2">
            <v>0</v>
          </cell>
          <cell r="AZ2">
            <v>0</v>
          </cell>
          <cell r="BA2">
            <v>0</v>
          </cell>
          <cell r="BB2">
            <v>0</v>
          </cell>
          <cell r="BC2">
            <v>0</v>
          </cell>
          <cell r="BD2">
            <v>0</v>
          </cell>
          <cell r="BE2">
            <v>0</v>
          </cell>
          <cell r="BF2">
            <v>0</v>
          </cell>
          <cell r="BG2">
            <v>0</v>
          </cell>
          <cell r="BH2">
            <v>608587</v>
          </cell>
          <cell r="BI2">
            <v>0</v>
          </cell>
          <cell r="BJ2">
            <v>0</v>
          </cell>
          <cell r="BK2">
            <v>0</v>
          </cell>
          <cell r="BL2">
            <v>0</v>
          </cell>
          <cell r="BM2">
            <v>0</v>
          </cell>
          <cell r="BN2">
            <v>0</v>
          </cell>
          <cell r="BO2">
            <v>0</v>
          </cell>
          <cell r="BP2">
            <v>0</v>
          </cell>
          <cell r="BQ2">
            <v>0</v>
          </cell>
          <cell r="BR2">
            <v>0</v>
          </cell>
          <cell r="BS2">
            <v>0</v>
          </cell>
          <cell r="BT2">
            <v>0</v>
          </cell>
          <cell r="BU2">
            <v>0</v>
          </cell>
          <cell r="BV2">
            <v>0</v>
          </cell>
          <cell r="BW2">
            <v>21465</v>
          </cell>
          <cell r="BX2">
            <v>1503784</v>
          </cell>
          <cell r="BY2">
            <v>0</v>
          </cell>
          <cell r="BZ2">
            <v>0</v>
          </cell>
          <cell r="CA2">
            <v>0</v>
          </cell>
          <cell r="CB2">
            <v>0</v>
          </cell>
          <cell r="CC2">
            <v>0</v>
          </cell>
          <cell r="CD2">
            <v>0</v>
          </cell>
          <cell r="CE2">
            <v>0</v>
          </cell>
          <cell r="CF2">
            <v>2457535</v>
          </cell>
          <cell r="CG2">
            <v>0</v>
          </cell>
          <cell r="CH2">
            <v>0</v>
          </cell>
          <cell r="CI2">
            <v>0</v>
          </cell>
          <cell r="CJ2">
            <v>0</v>
          </cell>
          <cell r="CK2">
            <v>0</v>
          </cell>
          <cell r="CL2">
            <v>0</v>
          </cell>
          <cell r="CM2">
            <v>0</v>
          </cell>
          <cell r="CN2">
            <v>0</v>
          </cell>
          <cell r="CO2">
            <v>0</v>
          </cell>
          <cell r="CP2">
            <v>0</v>
          </cell>
          <cell r="CQ2">
            <v>0</v>
          </cell>
          <cell r="CR2">
            <v>0</v>
          </cell>
          <cell r="CS2">
            <v>0</v>
          </cell>
          <cell r="CT2">
            <v>0</v>
          </cell>
          <cell r="CU2">
            <v>0</v>
          </cell>
          <cell r="CV2">
            <v>0</v>
          </cell>
          <cell r="CW2">
            <v>0</v>
          </cell>
          <cell r="CX2">
            <v>0</v>
          </cell>
          <cell r="CY2">
            <v>0</v>
          </cell>
          <cell r="CZ2">
            <v>0</v>
          </cell>
          <cell r="DA2">
            <v>0</v>
          </cell>
          <cell r="DB2">
            <v>0</v>
          </cell>
          <cell r="DC2">
            <v>13005</v>
          </cell>
          <cell r="DD2">
            <v>0</v>
          </cell>
          <cell r="DE2">
            <v>0</v>
          </cell>
          <cell r="DF2">
            <v>0</v>
          </cell>
          <cell r="DG2">
            <v>0</v>
          </cell>
          <cell r="DH2">
            <v>0</v>
          </cell>
          <cell r="DI2">
            <v>0</v>
          </cell>
          <cell r="DJ2">
            <v>0</v>
          </cell>
          <cell r="DK2">
            <v>0</v>
          </cell>
          <cell r="DL2">
            <v>0</v>
          </cell>
          <cell r="DM2">
            <v>0</v>
          </cell>
          <cell r="DN2">
            <v>0</v>
          </cell>
          <cell r="DO2">
            <v>0</v>
          </cell>
          <cell r="DP2">
            <v>0</v>
          </cell>
          <cell r="DQ2">
            <v>0</v>
          </cell>
          <cell r="DR2">
            <v>0</v>
          </cell>
          <cell r="DS2">
            <v>0</v>
          </cell>
          <cell r="DT2">
            <v>59190</v>
          </cell>
          <cell r="DU2">
            <v>0</v>
          </cell>
          <cell r="DV2">
            <v>0</v>
          </cell>
          <cell r="DW2">
            <v>0</v>
          </cell>
          <cell r="DX2">
            <v>0</v>
          </cell>
          <cell r="DY2">
            <v>0</v>
          </cell>
          <cell r="DZ2">
            <v>0</v>
          </cell>
          <cell r="EA2">
            <v>0</v>
          </cell>
          <cell r="EB2">
            <v>0</v>
          </cell>
          <cell r="EC2">
            <v>0</v>
          </cell>
          <cell r="ED2">
            <v>0</v>
          </cell>
          <cell r="EE2">
            <v>0</v>
          </cell>
          <cell r="EF2">
            <v>0</v>
          </cell>
          <cell r="EG2">
            <v>0</v>
          </cell>
          <cell r="EH2">
            <v>0</v>
          </cell>
          <cell r="EI2">
            <v>0</v>
          </cell>
          <cell r="EJ2">
            <v>0</v>
          </cell>
          <cell r="EK2">
            <v>0</v>
          </cell>
          <cell r="EL2">
            <v>0</v>
          </cell>
          <cell r="EM2">
            <v>0</v>
          </cell>
          <cell r="EN2">
            <v>0</v>
          </cell>
          <cell r="EO2">
            <v>0</v>
          </cell>
          <cell r="EP2">
            <v>200456</v>
          </cell>
          <cell r="EQ2">
            <v>0</v>
          </cell>
          <cell r="ER2">
            <v>0</v>
          </cell>
          <cell r="ES2">
            <v>0</v>
          </cell>
          <cell r="ET2">
            <v>0</v>
          </cell>
          <cell r="EU2">
            <v>0</v>
          </cell>
          <cell r="EV2">
            <v>0</v>
          </cell>
          <cell r="EW2">
            <v>0</v>
          </cell>
          <cell r="EX2">
            <v>0</v>
          </cell>
          <cell r="EY2">
            <v>0</v>
          </cell>
          <cell r="EZ2">
            <v>0</v>
          </cell>
          <cell r="FA2">
            <v>0</v>
          </cell>
          <cell r="FB2">
            <v>0</v>
          </cell>
          <cell r="FC2">
            <v>0</v>
          </cell>
          <cell r="FD2">
            <v>0</v>
          </cell>
          <cell r="FE2">
            <v>0</v>
          </cell>
          <cell r="FF2">
            <v>0</v>
          </cell>
          <cell r="FG2">
            <v>0</v>
          </cell>
          <cell r="FH2">
            <v>0</v>
          </cell>
          <cell r="FI2">
            <v>0</v>
          </cell>
          <cell r="FJ2">
            <v>0</v>
          </cell>
          <cell r="FK2">
            <v>0</v>
          </cell>
          <cell r="FL2">
            <v>0</v>
          </cell>
          <cell r="FM2">
            <v>0</v>
          </cell>
          <cell r="FN2">
            <v>0</v>
          </cell>
          <cell r="FO2">
            <v>0</v>
          </cell>
          <cell r="FP2">
            <v>2410914</v>
          </cell>
          <cell r="FQ2">
            <v>0</v>
          </cell>
          <cell r="FR2">
            <v>0</v>
          </cell>
          <cell r="FS2">
            <v>0</v>
          </cell>
          <cell r="FT2">
            <v>0</v>
          </cell>
          <cell r="FU2">
            <v>25942</v>
          </cell>
          <cell r="FV2">
            <v>0</v>
          </cell>
          <cell r="FW2">
            <v>0</v>
          </cell>
          <cell r="FX2">
            <v>0</v>
          </cell>
          <cell r="FY2">
            <v>0</v>
          </cell>
          <cell r="FZ2">
            <v>0</v>
          </cell>
          <cell r="GA2">
            <v>0</v>
          </cell>
          <cell r="GB2">
            <v>0</v>
          </cell>
          <cell r="GC2">
            <v>0</v>
          </cell>
          <cell r="GD2">
            <v>0</v>
          </cell>
          <cell r="GE2">
            <v>0</v>
          </cell>
          <cell r="GF2">
            <v>0</v>
          </cell>
          <cell r="GG2">
            <v>0</v>
          </cell>
          <cell r="GH2">
            <v>0</v>
          </cell>
          <cell r="GI2">
            <v>2188</v>
          </cell>
          <cell r="GJ2">
            <v>0</v>
          </cell>
          <cell r="GK2">
            <v>0</v>
          </cell>
          <cell r="GL2">
            <v>0</v>
          </cell>
          <cell r="GM2">
            <v>0</v>
          </cell>
          <cell r="GN2">
            <v>25824</v>
          </cell>
          <cell r="GO2">
            <v>0</v>
          </cell>
          <cell r="GP2">
            <v>30872</v>
          </cell>
          <cell r="GQ2">
            <v>0</v>
          </cell>
          <cell r="GR2">
            <v>0</v>
          </cell>
          <cell r="GS2">
            <v>0</v>
          </cell>
          <cell r="GT2">
            <v>64584</v>
          </cell>
          <cell r="GU2">
            <v>0</v>
          </cell>
          <cell r="GV2">
            <v>0</v>
          </cell>
          <cell r="GW2">
            <v>0</v>
          </cell>
          <cell r="GX2">
            <v>0</v>
          </cell>
          <cell r="GY2">
            <v>0</v>
          </cell>
          <cell r="GZ2">
            <v>52180</v>
          </cell>
          <cell r="HA2">
            <v>0</v>
          </cell>
          <cell r="HB2">
            <v>0</v>
          </cell>
          <cell r="HC2">
            <v>0</v>
          </cell>
          <cell r="HD2">
            <v>0</v>
          </cell>
          <cell r="HE2">
            <v>0</v>
          </cell>
          <cell r="HF2">
            <v>0</v>
          </cell>
          <cell r="HG2">
            <v>0</v>
          </cell>
          <cell r="HH2">
            <v>0</v>
          </cell>
          <cell r="HI2">
            <v>0</v>
          </cell>
          <cell r="HJ2">
            <v>0</v>
          </cell>
          <cell r="HK2">
            <v>330077</v>
          </cell>
          <cell r="HL2">
            <v>0</v>
          </cell>
          <cell r="HM2">
            <v>0</v>
          </cell>
          <cell r="HN2">
            <v>0</v>
          </cell>
          <cell r="HO2">
            <v>0</v>
          </cell>
          <cell r="HP2">
            <v>0</v>
          </cell>
          <cell r="HQ2">
            <v>67554</v>
          </cell>
          <cell r="HR2">
            <v>0</v>
          </cell>
          <cell r="HS2">
            <v>0</v>
          </cell>
          <cell r="HT2">
            <v>0</v>
          </cell>
          <cell r="HU2">
            <v>10</v>
          </cell>
          <cell r="HV2">
            <v>0</v>
          </cell>
          <cell r="HW2">
            <v>0</v>
          </cell>
          <cell r="HX2">
            <v>0</v>
          </cell>
          <cell r="HY2">
            <v>0</v>
          </cell>
          <cell r="HZ2">
            <v>0</v>
          </cell>
          <cell r="IA2">
            <v>0</v>
          </cell>
          <cell r="IB2">
            <v>0</v>
          </cell>
          <cell r="IC2">
            <v>0</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D2">
            <v>0</v>
          </cell>
          <cell r="E2">
            <v>0</v>
          </cell>
          <cell r="F2">
            <v>0</v>
          </cell>
          <cell r="G2">
            <v>0</v>
          </cell>
          <cell r="H2">
            <v>0</v>
          </cell>
          <cell r="I2">
            <v>0</v>
          </cell>
          <cell r="J2">
            <v>0</v>
          </cell>
          <cell r="K2">
            <v>0</v>
          </cell>
          <cell r="L2">
            <v>0</v>
          </cell>
          <cell r="M2">
            <v>19914</v>
          </cell>
          <cell r="N2">
            <v>2914666</v>
          </cell>
          <cell r="O2">
            <v>0</v>
          </cell>
          <cell r="P2">
            <v>0</v>
          </cell>
          <cell r="Q2">
            <v>0</v>
          </cell>
          <cell r="R2">
            <v>0</v>
          </cell>
          <cell r="S2">
            <v>0</v>
          </cell>
          <cell r="T2">
            <v>1459390</v>
          </cell>
          <cell r="U2">
            <v>0</v>
          </cell>
          <cell r="V2">
            <v>0</v>
          </cell>
          <cell r="W2">
            <v>0</v>
          </cell>
          <cell r="X2">
            <v>20030</v>
          </cell>
          <cell r="Y2">
            <v>0</v>
          </cell>
          <cell r="Z2">
            <v>0</v>
          </cell>
          <cell r="AA2">
            <v>2900</v>
          </cell>
          <cell r="AB2">
            <v>0</v>
          </cell>
          <cell r="AC2">
            <v>0</v>
          </cell>
          <cell r="AD2">
            <v>0</v>
          </cell>
          <cell r="AE2">
            <v>0</v>
          </cell>
          <cell r="AF2">
            <v>0</v>
          </cell>
          <cell r="AG2">
            <v>0</v>
          </cell>
          <cell r="AH2">
            <v>10171</v>
          </cell>
          <cell r="AI2">
            <v>0</v>
          </cell>
          <cell r="AJ2">
            <v>0</v>
          </cell>
          <cell r="AK2">
            <v>0</v>
          </cell>
          <cell r="AL2">
            <v>0</v>
          </cell>
          <cell r="AM2">
            <v>0</v>
          </cell>
          <cell r="AN2">
            <v>86423</v>
          </cell>
          <cell r="AO2">
            <v>0</v>
          </cell>
          <cell r="AP2">
            <v>0</v>
          </cell>
          <cell r="AQ2">
            <v>0</v>
          </cell>
          <cell r="AR2">
            <v>0</v>
          </cell>
          <cell r="AS2">
            <v>0</v>
          </cell>
          <cell r="AT2">
            <v>0</v>
          </cell>
          <cell r="AU2">
            <v>9346</v>
          </cell>
          <cell r="AV2">
            <v>0</v>
          </cell>
          <cell r="AW2">
            <v>0</v>
          </cell>
          <cell r="AX2">
            <v>0</v>
          </cell>
          <cell r="AY2">
            <v>0</v>
          </cell>
          <cell r="AZ2">
            <v>0</v>
          </cell>
          <cell r="BA2">
            <v>0</v>
          </cell>
          <cell r="BB2">
            <v>0</v>
          </cell>
          <cell r="BC2">
            <v>0</v>
          </cell>
          <cell r="BD2">
            <v>0</v>
          </cell>
          <cell r="BE2">
            <v>0</v>
          </cell>
          <cell r="BF2">
            <v>0</v>
          </cell>
          <cell r="BG2">
            <v>0</v>
          </cell>
          <cell r="BH2">
            <v>109128</v>
          </cell>
          <cell r="BI2">
            <v>0</v>
          </cell>
          <cell r="BJ2">
            <v>32839.999999999993</v>
          </cell>
          <cell r="BK2">
            <v>0</v>
          </cell>
          <cell r="BL2">
            <v>0</v>
          </cell>
          <cell r="BM2">
            <v>0</v>
          </cell>
          <cell r="BN2">
            <v>0</v>
          </cell>
          <cell r="BO2">
            <v>0</v>
          </cell>
          <cell r="BP2">
            <v>0</v>
          </cell>
          <cell r="BQ2">
            <v>0</v>
          </cell>
          <cell r="BR2">
            <v>0</v>
          </cell>
          <cell r="BS2">
            <v>0</v>
          </cell>
          <cell r="BT2">
            <v>0</v>
          </cell>
          <cell r="BU2">
            <v>0</v>
          </cell>
          <cell r="BV2">
            <v>0</v>
          </cell>
          <cell r="BW2">
            <v>175275</v>
          </cell>
          <cell r="BX2">
            <v>12477187</v>
          </cell>
          <cell r="BY2">
            <v>0</v>
          </cell>
          <cell r="BZ2">
            <v>0</v>
          </cell>
          <cell r="CA2">
            <v>0</v>
          </cell>
          <cell r="CB2">
            <v>0</v>
          </cell>
          <cell r="CC2">
            <v>0</v>
          </cell>
          <cell r="CD2">
            <v>0</v>
          </cell>
          <cell r="CE2">
            <v>0</v>
          </cell>
          <cell r="CF2">
            <v>23399916</v>
          </cell>
          <cell r="CG2">
            <v>0</v>
          </cell>
          <cell r="CH2">
            <v>0</v>
          </cell>
          <cell r="CI2">
            <v>0</v>
          </cell>
          <cell r="CJ2">
            <v>16840</v>
          </cell>
          <cell r="CK2">
            <v>0</v>
          </cell>
          <cell r="CL2">
            <v>0</v>
          </cell>
          <cell r="CM2">
            <v>0</v>
          </cell>
          <cell r="CN2">
            <v>0</v>
          </cell>
          <cell r="CO2">
            <v>0</v>
          </cell>
          <cell r="CP2">
            <v>0</v>
          </cell>
          <cell r="CQ2">
            <v>0</v>
          </cell>
          <cell r="CR2">
            <v>0</v>
          </cell>
          <cell r="CS2">
            <v>0</v>
          </cell>
          <cell r="CT2">
            <v>0</v>
          </cell>
          <cell r="CU2">
            <v>0</v>
          </cell>
          <cell r="CV2">
            <v>536412</v>
          </cell>
          <cell r="CW2">
            <v>0</v>
          </cell>
          <cell r="CX2">
            <v>0</v>
          </cell>
          <cell r="CY2">
            <v>0</v>
          </cell>
          <cell r="CZ2">
            <v>0</v>
          </cell>
          <cell r="DA2">
            <v>0</v>
          </cell>
          <cell r="DB2">
            <v>0</v>
          </cell>
          <cell r="DC2">
            <v>7257557.0000000009</v>
          </cell>
          <cell r="DD2">
            <v>0</v>
          </cell>
          <cell r="DE2">
            <v>0</v>
          </cell>
          <cell r="DF2">
            <v>403150.00000000012</v>
          </cell>
          <cell r="DG2">
            <v>0</v>
          </cell>
          <cell r="DH2">
            <v>0</v>
          </cell>
          <cell r="DI2">
            <v>0</v>
          </cell>
          <cell r="DJ2">
            <v>0</v>
          </cell>
          <cell r="DK2">
            <v>1509</v>
          </cell>
          <cell r="DL2">
            <v>0</v>
          </cell>
          <cell r="DM2">
            <v>0</v>
          </cell>
          <cell r="DN2">
            <v>0</v>
          </cell>
          <cell r="DO2">
            <v>0</v>
          </cell>
          <cell r="DP2">
            <v>0</v>
          </cell>
          <cell r="DQ2">
            <v>0</v>
          </cell>
          <cell r="DR2">
            <v>0</v>
          </cell>
          <cell r="DS2">
            <v>0</v>
          </cell>
          <cell r="DT2">
            <v>26188</v>
          </cell>
          <cell r="DU2">
            <v>9036.9999999999982</v>
          </cell>
          <cell r="DV2">
            <v>0</v>
          </cell>
          <cell r="DW2">
            <v>1239</v>
          </cell>
          <cell r="DX2">
            <v>0</v>
          </cell>
          <cell r="DY2">
            <v>0</v>
          </cell>
          <cell r="DZ2">
            <v>0</v>
          </cell>
          <cell r="EA2">
            <v>0</v>
          </cell>
          <cell r="EB2">
            <v>0</v>
          </cell>
          <cell r="EC2">
            <v>0</v>
          </cell>
          <cell r="ED2">
            <v>0</v>
          </cell>
          <cell r="EE2">
            <v>49295</v>
          </cell>
          <cell r="EF2">
            <v>0</v>
          </cell>
          <cell r="EG2">
            <v>0</v>
          </cell>
          <cell r="EH2">
            <v>0</v>
          </cell>
          <cell r="EI2">
            <v>0</v>
          </cell>
          <cell r="EJ2">
            <v>31032</v>
          </cell>
          <cell r="EK2">
            <v>0</v>
          </cell>
          <cell r="EL2">
            <v>0</v>
          </cell>
          <cell r="EM2">
            <v>0</v>
          </cell>
          <cell r="EN2">
            <v>0</v>
          </cell>
          <cell r="EO2">
            <v>0</v>
          </cell>
          <cell r="EP2">
            <v>4435661.9999999991</v>
          </cell>
          <cell r="EQ2">
            <v>0</v>
          </cell>
          <cell r="ER2">
            <v>0</v>
          </cell>
          <cell r="ES2">
            <v>0</v>
          </cell>
          <cell r="ET2">
            <v>0</v>
          </cell>
          <cell r="EU2">
            <v>0</v>
          </cell>
          <cell r="EV2">
            <v>0</v>
          </cell>
          <cell r="EW2">
            <v>0</v>
          </cell>
          <cell r="EX2">
            <v>0</v>
          </cell>
          <cell r="EY2">
            <v>0</v>
          </cell>
          <cell r="EZ2">
            <v>0</v>
          </cell>
          <cell r="FA2">
            <v>0</v>
          </cell>
          <cell r="FB2">
            <v>0</v>
          </cell>
          <cell r="FC2">
            <v>1330</v>
          </cell>
          <cell r="FD2">
            <v>0</v>
          </cell>
          <cell r="FE2">
            <v>0</v>
          </cell>
          <cell r="FF2">
            <v>0</v>
          </cell>
          <cell r="FG2">
            <v>0</v>
          </cell>
          <cell r="FH2">
            <v>0</v>
          </cell>
          <cell r="FI2">
            <v>0</v>
          </cell>
          <cell r="FJ2">
            <v>0</v>
          </cell>
          <cell r="FK2">
            <v>0</v>
          </cell>
          <cell r="FL2">
            <v>0</v>
          </cell>
          <cell r="FM2">
            <v>0</v>
          </cell>
          <cell r="FN2">
            <v>0</v>
          </cell>
          <cell r="FO2">
            <v>0</v>
          </cell>
          <cell r="FP2">
            <v>6280883.9999999991</v>
          </cell>
          <cell r="FQ2">
            <v>785398.99999999988</v>
          </cell>
          <cell r="FR2">
            <v>0</v>
          </cell>
          <cell r="FS2">
            <v>0</v>
          </cell>
          <cell r="FT2">
            <v>0</v>
          </cell>
          <cell r="FU2">
            <v>6824</v>
          </cell>
          <cell r="FV2">
            <v>0</v>
          </cell>
          <cell r="FW2">
            <v>0</v>
          </cell>
          <cell r="FX2">
            <v>0</v>
          </cell>
          <cell r="FY2">
            <v>0</v>
          </cell>
          <cell r="FZ2">
            <v>0</v>
          </cell>
          <cell r="GA2">
            <v>0</v>
          </cell>
          <cell r="GB2">
            <v>0</v>
          </cell>
          <cell r="GC2">
            <v>0</v>
          </cell>
          <cell r="GD2">
            <v>0</v>
          </cell>
          <cell r="GE2">
            <v>0</v>
          </cell>
          <cell r="GF2">
            <v>0</v>
          </cell>
          <cell r="GG2">
            <v>0</v>
          </cell>
          <cell r="GH2">
            <v>0</v>
          </cell>
          <cell r="GI2">
            <v>28863</v>
          </cell>
          <cell r="GJ2">
            <v>0</v>
          </cell>
          <cell r="GK2">
            <v>0</v>
          </cell>
          <cell r="GL2">
            <v>390</v>
          </cell>
          <cell r="GM2">
            <v>0</v>
          </cell>
          <cell r="GN2">
            <v>20565</v>
          </cell>
          <cell r="GO2">
            <v>0</v>
          </cell>
          <cell r="GP2">
            <v>43805</v>
          </cell>
          <cell r="GQ2">
            <v>0</v>
          </cell>
          <cell r="GR2">
            <v>2786526</v>
          </cell>
          <cell r="GS2">
            <v>0</v>
          </cell>
          <cell r="GT2">
            <v>4570730</v>
          </cell>
          <cell r="GU2">
            <v>0</v>
          </cell>
          <cell r="GV2">
            <v>0</v>
          </cell>
          <cell r="GW2">
            <v>0</v>
          </cell>
          <cell r="GX2">
            <v>0</v>
          </cell>
          <cell r="GY2">
            <v>0</v>
          </cell>
          <cell r="GZ2">
            <v>2393958</v>
          </cell>
          <cell r="HA2">
            <v>0</v>
          </cell>
          <cell r="HB2">
            <v>0</v>
          </cell>
          <cell r="HC2">
            <v>0</v>
          </cell>
          <cell r="HD2">
            <v>647925</v>
          </cell>
          <cell r="HE2">
            <v>0</v>
          </cell>
          <cell r="HF2">
            <v>0</v>
          </cell>
          <cell r="HG2">
            <v>0</v>
          </cell>
          <cell r="HH2">
            <v>0</v>
          </cell>
          <cell r="HI2">
            <v>0</v>
          </cell>
          <cell r="HJ2">
            <v>30</v>
          </cell>
          <cell r="HK2">
            <v>6157309</v>
          </cell>
          <cell r="HL2">
            <v>0</v>
          </cell>
          <cell r="HM2">
            <v>0</v>
          </cell>
          <cell r="HN2">
            <v>0</v>
          </cell>
          <cell r="HO2">
            <v>0</v>
          </cell>
          <cell r="HP2">
            <v>0</v>
          </cell>
          <cell r="HQ2">
            <v>3890</v>
          </cell>
          <cell r="HR2">
            <v>0</v>
          </cell>
          <cell r="HS2">
            <v>936603.00000000012</v>
          </cell>
          <cell r="HT2">
            <v>0</v>
          </cell>
          <cell r="HU2">
            <v>600692</v>
          </cell>
          <cell r="HV2">
            <v>0</v>
          </cell>
          <cell r="HW2">
            <v>0</v>
          </cell>
          <cell r="HX2">
            <v>0</v>
          </cell>
          <cell r="HY2">
            <v>0</v>
          </cell>
          <cell r="HZ2">
            <v>0</v>
          </cell>
          <cell r="IA2">
            <v>0</v>
          </cell>
          <cell r="IB2">
            <v>0</v>
          </cell>
          <cell r="IC2">
            <v>0</v>
          </cell>
        </row>
      </sheetData>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link.springer.com/article/10.1007/s12649-019-00783-x" TargetMode="External"/><Relationship Id="rId2" Type="http://schemas.openxmlformats.org/officeDocument/2006/relationships/hyperlink" Target="https://publications.anl.gov/anlpubs/2006/12/58024.pdf" TargetMode="External"/><Relationship Id="rId1" Type="http://schemas.openxmlformats.org/officeDocument/2006/relationships/hyperlink" Target="https://www.cmu.edu/me/ddl/publications/2009-TRB-Shiau-Samaras-Michalek-PHEV.pdf" TargetMode="External"/><Relationship Id="rId6" Type="http://schemas.openxmlformats.org/officeDocument/2006/relationships/printerSettings" Target="../printerSettings/printerSettings1.bin"/><Relationship Id="rId5" Type="http://schemas.openxmlformats.org/officeDocument/2006/relationships/hyperlink" Target="https://www.sciencedirect.com/science/article/pii/S2405844019347012,%20(Engels%20et%20al.%202022)" TargetMode="External"/><Relationship Id="rId4" Type="http://schemas.openxmlformats.org/officeDocument/2006/relationships/hyperlink" Target="https://www.borax.com/news-events/october-2019/borates-in-glass-manufacturin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hyperlink" Target="https://publications.anl.gov/anlpubs/2006/12/58024.pdf" TargetMode="External"/><Relationship Id="rId1" Type="http://schemas.openxmlformats.org/officeDocument/2006/relationships/hyperlink" Target="https://www.cmu.edu/me/ddl/publications/2009-TRB-Shiau-Samaras-Michalek-PHEV.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1"/>
  <sheetViews>
    <sheetView tabSelected="1" topLeftCell="A133" workbookViewId="0">
      <selection activeCell="B148" sqref="B148"/>
    </sheetView>
  </sheetViews>
  <sheetFormatPr baseColWidth="10" defaultRowHeight="16" x14ac:dyDescent="0.45"/>
  <cols>
    <col min="1" max="1" width="28.1796875" customWidth="1"/>
    <col min="2" max="2" width="25.26953125" customWidth="1"/>
    <col min="3" max="3" width="38.453125" customWidth="1"/>
    <col min="4" max="4" width="23.81640625" customWidth="1"/>
    <col min="14" max="14" width="27.81640625" customWidth="1"/>
    <col min="16" max="16" width="17.54296875" customWidth="1"/>
  </cols>
  <sheetData>
    <row r="1" spans="1:7" x14ac:dyDescent="0.45">
      <c r="A1" s="1" t="s">
        <v>4</v>
      </c>
      <c r="B1" s="1"/>
      <c r="C1" s="1"/>
      <c r="D1" s="1"/>
      <c r="E1" s="1"/>
      <c r="F1" s="1"/>
      <c r="G1" s="1"/>
    </row>
    <row r="2" spans="1:7" x14ac:dyDescent="0.45">
      <c r="A2" s="1"/>
      <c r="B2" s="1"/>
      <c r="C2" s="1"/>
      <c r="D2" s="1"/>
      <c r="E2" s="1"/>
      <c r="F2" s="1"/>
      <c r="G2" s="1"/>
    </row>
    <row r="3" spans="1:7" x14ac:dyDescent="0.45">
      <c r="A3" s="1"/>
      <c r="B3" s="1"/>
      <c r="C3" s="1"/>
      <c r="D3" s="1"/>
      <c r="E3" s="1"/>
      <c r="F3" s="1"/>
      <c r="G3" s="1"/>
    </row>
    <row r="4" spans="1:7" ht="64" x14ac:dyDescent="0.45">
      <c r="A4" s="11" t="s">
        <v>5</v>
      </c>
      <c r="B4" s="11" t="s">
        <v>6</v>
      </c>
      <c r="C4" s="11" t="s">
        <v>357</v>
      </c>
      <c r="D4" s="11" t="s">
        <v>0</v>
      </c>
      <c r="E4" s="11" t="s">
        <v>3</v>
      </c>
      <c r="F4" s="1"/>
      <c r="G4" s="1"/>
    </row>
    <row r="5" spans="1:7" ht="14.25" customHeight="1" x14ac:dyDescent="0.45">
      <c r="A5" s="41" t="s">
        <v>327</v>
      </c>
      <c r="B5" s="41"/>
      <c r="C5" s="41"/>
      <c r="D5" s="41"/>
      <c r="E5" s="41"/>
      <c r="F5" s="1"/>
      <c r="G5" s="1"/>
    </row>
    <row r="6" spans="1:7" x14ac:dyDescent="0.45">
      <c r="A6" s="4" t="s">
        <v>328</v>
      </c>
      <c r="B6" s="30">
        <v>1</v>
      </c>
      <c r="C6" s="30"/>
      <c r="D6" s="4"/>
      <c r="E6" s="4"/>
      <c r="F6" s="1"/>
      <c r="G6" s="1"/>
    </row>
    <row r="7" spans="1:7" x14ac:dyDescent="0.45">
      <c r="A7" s="41" t="s">
        <v>7</v>
      </c>
      <c r="B7" s="41"/>
      <c r="C7" s="41"/>
      <c r="D7" s="41"/>
      <c r="E7" s="41"/>
      <c r="F7" s="1"/>
      <c r="G7" s="1"/>
    </row>
    <row r="8" spans="1:7" x14ac:dyDescent="0.45">
      <c r="A8" s="4" t="s">
        <v>13</v>
      </c>
      <c r="B8" s="7">
        <f>Flow_amounts!B5/Flow_amounts!$B$13</f>
        <v>7.4058757210238316E-2</v>
      </c>
      <c r="C8" s="7"/>
      <c r="D8" s="1"/>
      <c r="E8" s="1" t="s">
        <v>538</v>
      </c>
      <c r="F8" s="1"/>
      <c r="G8" s="1"/>
    </row>
    <row r="9" spans="1:7" x14ac:dyDescent="0.45">
      <c r="A9" s="4" t="s">
        <v>14</v>
      </c>
      <c r="B9" s="7">
        <f>Flow_amounts!B6/Flow_amounts!$B$13</f>
        <v>6.2117570962793883E-2</v>
      </c>
      <c r="C9" s="7"/>
      <c r="D9" s="1"/>
      <c r="E9" s="1" t="s">
        <v>362</v>
      </c>
      <c r="F9" s="1"/>
      <c r="G9" s="1"/>
    </row>
    <row r="10" spans="1:7" x14ac:dyDescent="0.45">
      <c r="A10" s="4" t="s">
        <v>15</v>
      </c>
      <c r="B10" s="7">
        <f>Flow_amounts!B7/Flow_amounts!$B$13</f>
        <v>0.1042855139375099</v>
      </c>
      <c r="C10" s="7"/>
      <c r="D10" s="1"/>
      <c r="E10" s="1" t="s">
        <v>363</v>
      </c>
      <c r="F10" s="1"/>
      <c r="G10" s="1"/>
    </row>
    <row r="11" spans="1:7" ht="32" x14ac:dyDescent="0.45">
      <c r="A11" s="4" t="s">
        <v>16</v>
      </c>
      <c r="B11" s="7">
        <f>Flow_amounts!B8/Flow_amounts!$B$13</f>
        <v>0.5956874544465488</v>
      </c>
      <c r="C11" s="7"/>
      <c r="D11" s="1"/>
      <c r="E11" s="1" t="s">
        <v>365</v>
      </c>
      <c r="F11" s="1"/>
      <c r="G11" s="1"/>
    </row>
    <row r="12" spans="1:7" x14ac:dyDescent="0.45">
      <c r="A12" s="4" t="s">
        <v>17</v>
      </c>
      <c r="B12" s="7">
        <f>Flow_amounts!B9/Flow_amounts!$B$13</f>
        <v>8.4611659391634433E-4</v>
      </c>
      <c r="C12" s="7"/>
      <c r="D12" s="1"/>
      <c r="E12" s="1" t="s">
        <v>366</v>
      </c>
      <c r="F12" s="1"/>
      <c r="G12" s="1"/>
    </row>
    <row r="13" spans="1:7" x14ac:dyDescent="0.45">
      <c r="A13" s="4" t="s">
        <v>18</v>
      </c>
      <c r="B13" s="7">
        <f>Flow_amounts!B10/Flow_amounts!$B$13</f>
        <v>5.3658662822273352E-4</v>
      </c>
      <c r="C13" s="7"/>
      <c r="D13" s="1"/>
      <c r="E13" s="1" t="s">
        <v>367</v>
      </c>
      <c r="F13" s="1"/>
      <c r="G13" s="1"/>
    </row>
    <row r="14" spans="1:7" ht="32" x14ac:dyDescent="0.45">
      <c r="A14" s="4" t="s">
        <v>24</v>
      </c>
      <c r="B14" s="7">
        <f>Flow_amounts!B11/Flow_amounts!$B$13</f>
        <v>1.5035564812396861E-2</v>
      </c>
      <c r="C14" s="7"/>
      <c r="D14" s="1"/>
      <c r="E14" s="1" t="s">
        <v>368</v>
      </c>
      <c r="F14" s="1"/>
      <c r="G14" s="1"/>
    </row>
    <row r="15" spans="1:7" ht="32" x14ac:dyDescent="0.45">
      <c r="A15" s="4" t="s">
        <v>25</v>
      </c>
      <c r="B15" s="7">
        <f>Flow_amounts!B12/Flow_amounts!$B$13</f>
        <v>0.14743243540837317</v>
      </c>
      <c r="C15" s="7"/>
      <c r="D15" s="1"/>
      <c r="E15" s="1" t="s">
        <v>374</v>
      </c>
      <c r="F15" s="1"/>
      <c r="G15" s="1"/>
    </row>
    <row r="16" spans="1:7" x14ac:dyDescent="0.45">
      <c r="A16" s="42" t="s">
        <v>8</v>
      </c>
      <c r="B16" s="42"/>
      <c r="C16" s="42"/>
      <c r="D16" s="42"/>
      <c r="E16" s="42"/>
      <c r="F16" s="1"/>
      <c r="G16" s="1"/>
    </row>
    <row r="17" spans="1:7" x14ac:dyDescent="0.45">
      <c r="A17" s="13" t="s">
        <v>9</v>
      </c>
      <c r="B17" s="7">
        <f>400/1800</f>
        <v>0.22222222222222221</v>
      </c>
      <c r="C17" s="7">
        <f>B17</f>
        <v>0.22222222222222221</v>
      </c>
      <c r="D17" s="14" t="s">
        <v>369</v>
      </c>
      <c r="E17" s="1"/>
      <c r="F17" s="1"/>
      <c r="G17" s="1"/>
    </row>
    <row r="18" spans="1:7" x14ac:dyDescent="0.45">
      <c r="A18" s="13" t="s">
        <v>10</v>
      </c>
      <c r="B18" s="7">
        <f>140/1600</f>
        <v>8.7499999999999994E-2</v>
      </c>
      <c r="C18" s="7">
        <f t="shared" ref="C18:C67" si="0">B18</f>
        <v>8.7499999999999994E-2</v>
      </c>
      <c r="D18" s="9" t="s">
        <v>11</v>
      </c>
      <c r="E18" s="1"/>
      <c r="F18" s="1"/>
      <c r="G18" s="1"/>
    </row>
    <row r="19" spans="1:7" x14ac:dyDescent="0.45">
      <c r="A19" s="13" t="s">
        <v>86</v>
      </c>
      <c r="B19" s="7">
        <f>33.7/2810</f>
        <v>1.199288256227758E-2</v>
      </c>
      <c r="C19" s="7">
        <f t="shared" si="0"/>
        <v>1.199288256227758E-2</v>
      </c>
      <c r="D19" s="12" t="s">
        <v>370</v>
      </c>
      <c r="E19" s="1"/>
      <c r="F19" s="1"/>
      <c r="G19" s="1"/>
    </row>
    <row r="20" spans="1:7" x14ac:dyDescent="0.45">
      <c r="A20" s="13" t="s">
        <v>12</v>
      </c>
      <c r="B20" s="7">
        <f>2700/19700</f>
        <v>0.13705583756345177</v>
      </c>
      <c r="C20" s="7">
        <f t="shared" si="0"/>
        <v>0.13705583756345177</v>
      </c>
      <c r="D20" s="6" t="s">
        <v>371</v>
      </c>
      <c r="E20" s="1"/>
      <c r="F20" s="1"/>
      <c r="G20" s="1"/>
    </row>
    <row r="21" spans="1:7" x14ac:dyDescent="0.45">
      <c r="A21" s="13" t="s">
        <v>19</v>
      </c>
      <c r="B21" s="15">
        <f>115/18600</f>
        <v>6.1827956989247311E-3</v>
      </c>
      <c r="C21" s="7">
        <f t="shared" si="0"/>
        <v>6.1827956989247311E-3</v>
      </c>
      <c r="D21" s="6" t="s">
        <v>371</v>
      </c>
      <c r="E21" s="1"/>
      <c r="F21" s="1"/>
      <c r="G21" s="1"/>
    </row>
    <row r="22" spans="1:7" ht="32" x14ac:dyDescent="0.45">
      <c r="A22" s="13" t="s">
        <v>518</v>
      </c>
      <c r="B22" s="7">
        <f>(22+22+22+22+22)/3330</f>
        <v>3.3033033033033031E-2</v>
      </c>
      <c r="C22" s="7">
        <f t="shared" si="0"/>
        <v>3.3033033033033031E-2</v>
      </c>
      <c r="D22" s="1" t="s">
        <v>372</v>
      </c>
      <c r="E22" s="1"/>
      <c r="F22" s="1"/>
      <c r="G22" s="1"/>
    </row>
    <row r="23" spans="1:7" ht="32" x14ac:dyDescent="0.45">
      <c r="A23" s="13" t="s">
        <v>519</v>
      </c>
      <c r="B23" s="7">
        <f>'Weight% of vehicle components'!D52</f>
        <v>2.5271040526848407E-2</v>
      </c>
      <c r="C23" s="7">
        <f t="shared" si="0"/>
        <v>2.5271040526848407E-2</v>
      </c>
      <c r="D23" s="1"/>
      <c r="E23" s="1" t="s">
        <v>524</v>
      </c>
      <c r="F23" s="1"/>
      <c r="G23" s="1"/>
    </row>
    <row r="24" spans="1:7" ht="32" x14ac:dyDescent="0.45">
      <c r="A24" s="13" t="s">
        <v>520</v>
      </c>
      <c r="B24" s="7">
        <f>'Weight% of vehicle components'!C52</f>
        <v>2.8188714838175758E-2</v>
      </c>
      <c r="C24" s="7">
        <f t="shared" si="0"/>
        <v>2.8188714838175758E-2</v>
      </c>
      <c r="D24" s="1"/>
      <c r="E24" s="1" t="s">
        <v>524</v>
      </c>
      <c r="F24" s="1"/>
      <c r="G24" s="1"/>
    </row>
    <row r="25" spans="1:7" ht="32" x14ac:dyDescent="0.45">
      <c r="A25" s="13" t="s">
        <v>521</v>
      </c>
      <c r="B25" s="7">
        <f>'Weight% of vehicle components'!F52</f>
        <v>2.6593585250884313E-2</v>
      </c>
      <c r="C25" s="7">
        <f t="shared" si="0"/>
        <v>2.6593585250884313E-2</v>
      </c>
      <c r="D25" s="1"/>
      <c r="E25" s="1" t="s">
        <v>524</v>
      </c>
      <c r="F25" s="1"/>
      <c r="G25" s="1"/>
    </row>
    <row r="26" spans="1:7" ht="32" x14ac:dyDescent="0.45">
      <c r="A26" s="13" t="s">
        <v>522</v>
      </c>
      <c r="B26" s="7">
        <f>'Weight% of vehicle components'!G52</f>
        <v>3.2756122615677265E-2</v>
      </c>
      <c r="C26" s="7">
        <f t="shared" si="0"/>
        <v>3.2756122615677265E-2</v>
      </c>
      <c r="D26" s="1"/>
      <c r="E26" s="1" t="s">
        <v>524</v>
      </c>
      <c r="F26" s="1"/>
      <c r="G26" s="1"/>
    </row>
    <row r="27" spans="1:7" ht="32" x14ac:dyDescent="0.45">
      <c r="A27" s="13" t="s">
        <v>523</v>
      </c>
      <c r="B27" s="7">
        <f>'Weight% of vehicle components'!H52</f>
        <v>2.6268396196548614E-2</v>
      </c>
      <c r="C27" s="7">
        <f t="shared" si="0"/>
        <v>2.6268396196548614E-2</v>
      </c>
      <c r="D27" s="1"/>
      <c r="E27" s="1" t="s">
        <v>524</v>
      </c>
      <c r="F27" s="1"/>
      <c r="G27" s="1"/>
    </row>
    <row r="28" spans="1:7" x14ac:dyDescent="0.45">
      <c r="A28" s="13" t="s">
        <v>20</v>
      </c>
      <c r="B28" s="7">
        <f>(551+176+22+22+22+22)/3330</f>
        <v>0.24474474474474475</v>
      </c>
      <c r="C28" s="7">
        <f t="shared" si="0"/>
        <v>0.24474474474474475</v>
      </c>
      <c r="D28" s="6" t="s">
        <v>370</v>
      </c>
      <c r="E28" s="1"/>
      <c r="F28" s="1"/>
      <c r="G28" s="1"/>
    </row>
    <row r="29" spans="1:7" x14ac:dyDescent="0.45">
      <c r="A29" s="13" t="s">
        <v>111</v>
      </c>
      <c r="B29" s="7">
        <f>'Weight% of vehicle components'!D53</f>
        <v>0.22188398718162486</v>
      </c>
      <c r="C29" s="7">
        <f t="shared" si="0"/>
        <v>0.22188398718162486</v>
      </c>
      <c r="D29" s="6" t="s">
        <v>370</v>
      </c>
      <c r="E29" s="1" t="s">
        <v>524</v>
      </c>
      <c r="F29" s="1"/>
      <c r="G29" s="1"/>
    </row>
    <row r="30" spans="1:7" x14ac:dyDescent="0.45">
      <c r="A30" s="13" t="s">
        <v>112</v>
      </c>
      <c r="B30" s="7">
        <f>'Weight% of vehicle components'!C53</f>
        <v>0.24750165847643843</v>
      </c>
      <c r="C30" s="7">
        <f t="shared" si="0"/>
        <v>0.24750165847643843</v>
      </c>
      <c r="D30" s="6" t="s">
        <v>370</v>
      </c>
      <c r="E30" s="1" t="s">
        <v>524</v>
      </c>
      <c r="F30" s="1"/>
      <c r="G30" s="1"/>
    </row>
    <row r="31" spans="1:7" ht="48" x14ac:dyDescent="0.45">
      <c r="A31" s="13" t="s">
        <v>113</v>
      </c>
      <c r="B31" s="7">
        <f>(B28*1500)/1800</f>
        <v>0.20395395395395396</v>
      </c>
      <c r="C31" s="7">
        <f t="shared" si="0"/>
        <v>0.20395395395395396</v>
      </c>
      <c r="D31" s="4" t="s">
        <v>114</v>
      </c>
      <c r="E31" s="1"/>
      <c r="F31" s="1"/>
      <c r="G31" s="1"/>
    </row>
    <row r="32" spans="1:7" x14ac:dyDescent="0.45">
      <c r="A32" s="13" t="s">
        <v>26</v>
      </c>
      <c r="B32" s="7">
        <f>'Weight% of vehicle components'!H53</f>
        <v>0.44178666330559041</v>
      </c>
      <c r="C32" s="7">
        <f t="shared" si="0"/>
        <v>0.44178666330559041</v>
      </c>
      <c r="D32" s="6" t="s">
        <v>373</v>
      </c>
      <c r="E32" s="1" t="s">
        <v>524</v>
      </c>
      <c r="F32" s="1"/>
      <c r="G32" s="1"/>
    </row>
    <row r="33" spans="1:7" ht="48" x14ac:dyDescent="0.45">
      <c r="A33" s="13" t="s">
        <v>22</v>
      </c>
      <c r="B33" s="7">
        <f>'Weight% of vehicle components'!F53</f>
        <v>0.44725575194669076</v>
      </c>
      <c r="C33" s="7">
        <f>B33</f>
        <v>0.44725575194669076</v>
      </c>
      <c r="D33" s="39" t="s">
        <v>31</v>
      </c>
      <c r="E33" s="1" t="s">
        <v>524</v>
      </c>
      <c r="F33" s="1"/>
      <c r="G33" s="1"/>
    </row>
    <row r="34" spans="1:7" ht="48" x14ac:dyDescent="0.45">
      <c r="A34" s="13" t="s">
        <v>23</v>
      </c>
      <c r="B34" s="7">
        <f>'Weight% of vehicle components'!G53</f>
        <v>0.39787108530658505</v>
      </c>
      <c r="C34" s="7">
        <f>B34</f>
        <v>0.39787108530658505</v>
      </c>
      <c r="D34" s="39" t="s">
        <v>32</v>
      </c>
      <c r="E34" s="1" t="s">
        <v>524</v>
      </c>
      <c r="F34" s="1"/>
      <c r="G34" s="1"/>
    </row>
    <row r="35" spans="1:7" x14ac:dyDescent="0.45">
      <c r="A35" s="13" t="s">
        <v>27</v>
      </c>
      <c r="B35" s="7">
        <f>3230/17000</f>
        <v>0.19</v>
      </c>
      <c r="C35" s="7">
        <f t="shared" si="0"/>
        <v>0.19</v>
      </c>
      <c r="D35" s="6" t="s">
        <v>375</v>
      </c>
      <c r="E35" s="1"/>
      <c r="F35" s="1"/>
      <c r="G35" s="1"/>
    </row>
    <row r="36" spans="1:7" x14ac:dyDescent="0.45">
      <c r="A36" s="13" t="s">
        <v>28</v>
      </c>
      <c r="B36" s="7">
        <f>(66+163+55+90+84+49)/3330</f>
        <v>0.15225225225225225</v>
      </c>
      <c r="C36" s="7">
        <f t="shared" si="0"/>
        <v>0.15225225225225225</v>
      </c>
      <c r="D36" s="6" t="s">
        <v>370</v>
      </c>
      <c r="E36" s="1"/>
      <c r="F36" s="1"/>
      <c r="G36" s="1"/>
    </row>
    <row r="37" spans="1:7" x14ac:dyDescent="0.45">
      <c r="A37" s="13" t="s">
        <v>115</v>
      </c>
      <c r="B37" s="7">
        <f>'Weight% of vehicle components'!D54</f>
        <v>0.13803089754734207</v>
      </c>
      <c r="C37" s="7">
        <f t="shared" si="0"/>
        <v>0.13803089754734207</v>
      </c>
      <c r="D37" s="6" t="s">
        <v>370</v>
      </c>
      <c r="E37" s="1" t="s">
        <v>524</v>
      </c>
      <c r="F37" s="1"/>
      <c r="G37" s="1"/>
    </row>
    <row r="38" spans="1:7" x14ac:dyDescent="0.45">
      <c r="A38" s="13" t="s">
        <v>116</v>
      </c>
      <c r="B38" s="7">
        <f>'Weight% of vehicle components'!C54</f>
        <v>0.15396728938350215</v>
      </c>
      <c r="C38" s="7">
        <f t="shared" si="0"/>
        <v>0.15396728938350215</v>
      </c>
      <c r="D38" s="6" t="s">
        <v>370</v>
      </c>
      <c r="E38" s="1" t="s">
        <v>524</v>
      </c>
      <c r="F38" s="1"/>
      <c r="G38" s="1"/>
    </row>
    <row r="39" spans="1:7" x14ac:dyDescent="0.45">
      <c r="A39" s="13" t="s">
        <v>30</v>
      </c>
      <c r="B39" s="7">
        <f>(1500*B36)/1800</f>
        <v>0.12687687687687688</v>
      </c>
      <c r="C39" s="7">
        <f t="shared" si="0"/>
        <v>0.12687687687687688</v>
      </c>
      <c r="D39" s="1" t="s">
        <v>57</v>
      </c>
      <c r="E39" s="1"/>
      <c r="F39" s="1"/>
      <c r="G39" s="1"/>
    </row>
    <row r="40" spans="1:7" x14ac:dyDescent="0.45">
      <c r="A40" s="13" t="s">
        <v>50</v>
      </c>
      <c r="B40" s="7">
        <f>'Weight% of vehicle components'!H54</f>
        <v>0.12363592786197711</v>
      </c>
      <c r="C40" s="7">
        <f t="shared" si="0"/>
        <v>0.12363592786197711</v>
      </c>
      <c r="D40" s="6" t="s">
        <v>373</v>
      </c>
      <c r="E40" s="1" t="s">
        <v>524</v>
      </c>
      <c r="F40" s="1"/>
      <c r="G40" s="1"/>
    </row>
    <row r="41" spans="1:7" x14ac:dyDescent="0.45">
      <c r="A41" s="13" t="s">
        <v>51</v>
      </c>
      <c r="B41" s="7">
        <v>0.12</v>
      </c>
      <c r="C41" s="7">
        <f t="shared" si="0"/>
        <v>0.12</v>
      </c>
      <c r="D41" s="6" t="s">
        <v>375</v>
      </c>
      <c r="E41" s="1"/>
      <c r="F41" s="1"/>
      <c r="G41" s="1"/>
    </row>
    <row r="42" spans="1:7" x14ac:dyDescent="0.45">
      <c r="A42" s="13" t="s">
        <v>60</v>
      </c>
      <c r="B42" s="7">
        <f>'Weight% of vehicle components'!G54</f>
        <v>0.11134596149477974</v>
      </c>
      <c r="C42" s="7">
        <f t="shared" si="0"/>
        <v>0.11134596149477974</v>
      </c>
      <c r="D42" s="12" t="s">
        <v>61</v>
      </c>
      <c r="E42" s="1"/>
      <c r="F42" s="1"/>
      <c r="G42" s="1"/>
    </row>
    <row r="43" spans="1:7" x14ac:dyDescent="0.45">
      <c r="A43" s="13" t="s">
        <v>52</v>
      </c>
      <c r="B43" s="7">
        <f>'Weight% of vehicle components'!F54</f>
        <v>0.11622601362567522</v>
      </c>
      <c r="C43" s="7">
        <f t="shared" si="0"/>
        <v>0.11622601362567522</v>
      </c>
      <c r="D43" s="12" t="s">
        <v>62</v>
      </c>
      <c r="E43" s="1"/>
      <c r="F43" s="1"/>
      <c r="G43" s="1"/>
    </row>
    <row r="44" spans="1:7" x14ac:dyDescent="0.45">
      <c r="A44" s="13" t="s">
        <v>525</v>
      </c>
      <c r="B44" s="7">
        <f>110/3500</f>
        <v>3.1428571428571431E-2</v>
      </c>
      <c r="C44" s="7">
        <f t="shared" si="0"/>
        <v>3.1428571428571431E-2</v>
      </c>
      <c r="D44" s="6" t="s">
        <v>376</v>
      </c>
      <c r="E44" s="1"/>
      <c r="F44" s="1"/>
      <c r="G44" s="1"/>
    </row>
    <row r="45" spans="1:7" x14ac:dyDescent="0.45">
      <c r="A45" s="13" t="s">
        <v>526</v>
      </c>
      <c r="B45" s="7">
        <f>'Weight% of vehicle components'!D55</f>
        <v>2.4043589986972917E-2</v>
      </c>
      <c r="C45" s="7">
        <f t="shared" si="0"/>
        <v>2.4043589986972917E-2</v>
      </c>
      <c r="D45" s="6"/>
      <c r="E45" s="1" t="s">
        <v>524</v>
      </c>
      <c r="F45" s="1"/>
      <c r="G45" s="1"/>
    </row>
    <row r="46" spans="1:7" x14ac:dyDescent="0.45">
      <c r="A46" s="13" t="s">
        <v>527</v>
      </c>
      <c r="B46" s="7">
        <f>'Weight% of vehicle components'!C55</f>
        <v>2.6819548688892941E-2</v>
      </c>
      <c r="C46" s="7">
        <f t="shared" si="0"/>
        <v>2.6819548688892941E-2</v>
      </c>
      <c r="D46" s="6"/>
      <c r="E46" s="1" t="s">
        <v>524</v>
      </c>
      <c r="F46" s="1"/>
      <c r="G46" s="1"/>
    </row>
    <row r="47" spans="1:7" x14ac:dyDescent="0.45">
      <c r="A47" s="13" t="s">
        <v>528</v>
      </c>
      <c r="B47" s="7">
        <f>'Weight% of vehicle components'!F55</f>
        <v>2.5301896824412792E-2</v>
      </c>
      <c r="C47" s="7">
        <f t="shared" si="0"/>
        <v>2.5301896824412792E-2</v>
      </c>
      <c r="D47" s="6"/>
      <c r="E47" s="1" t="s">
        <v>524</v>
      </c>
      <c r="F47" s="1"/>
      <c r="G47" s="1"/>
    </row>
    <row r="48" spans="1:7" x14ac:dyDescent="0.45">
      <c r="A48" s="13" t="s">
        <v>529</v>
      </c>
      <c r="B48" s="7">
        <f>'Weight% of vehicle components'!G55</f>
        <v>3.1165110945772945E-2</v>
      </c>
      <c r="C48" s="7">
        <f t="shared" si="0"/>
        <v>3.1165110945772945E-2</v>
      </c>
      <c r="D48" s="6"/>
      <c r="E48" s="1" t="s">
        <v>524</v>
      </c>
      <c r="F48" s="1"/>
      <c r="G48" s="1"/>
    </row>
    <row r="49" spans="1:10" x14ac:dyDescent="0.45">
      <c r="A49" s="13" t="s">
        <v>530</v>
      </c>
      <c r="B49" s="7">
        <f>'Weight% of vehicle components'!H55</f>
        <v>2.4992502667001974E-2</v>
      </c>
      <c r="C49" s="7">
        <f t="shared" si="0"/>
        <v>2.4992502667001974E-2</v>
      </c>
      <c r="D49" s="6"/>
      <c r="E49" s="1" t="s">
        <v>524</v>
      </c>
      <c r="F49" s="1"/>
      <c r="G49" s="1"/>
    </row>
    <row r="50" spans="1:10" x14ac:dyDescent="0.45">
      <c r="A50" s="13" t="s">
        <v>35</v>
      </c>
      <c r="B50" s="7">
        <f>(61+61+54)/2810</f>
        <v>6.2633451957295375E-2</v>
      </c>
      <c r="C50" s="7">
        <f t="shared" si="0"/>
        <v>6.2633451957295375E-2</v>
      </c>
      <c r="D50" s="6" t="s">
        <v>370</v>
      </c>
      <c r="E50" s="1"/>
      <c r="F50" s="1"/>
      <c r="G50" s="1"/>
      <c r="J50" s="26"/>
    </row>
    <row r="51" spans="1:10" x14ac:dyDescent="0.45">
      <c r="A51" s="13" t="s">
        <v>33</v>
      </c>
      <c r="B51" s="7">
        <f>350/4647</f>
        <v>7.5317409081127606E-2</v>
      </c>
      <c r="C51" s="7">
        <f t="shared" si="0"/>
        <v>7.5317409081127606E-2</v>
      </c>
      <c r="D51" s="6" t="s">
        <v>377</v>
      </c>
      <c r="E51" s="1"/>
      <c r="F51" s="1"/>
      <c r="G51" s="1"/>
    </row>
    <row r="52" spans="1:10" x14ac:dyDescent="0.45">
      <c r="A52" s="13" t="s">
        <v>36</v>
      </c>
      <c r="B52" s="7">
        <f>(61+61+54)/2810</f>
        <v>6.2633451957295375E-2</v>
      </c>
      <c r="C52" s="7">
        <f t="shared" si="0"/>
        <v>6.2633451957295375E-2</v>
      </c>
      <c r="D52" s="6" t="s">
        <v>370</v>
      </c>
      <c r="E52" s="1"/>
      <c r="F52" s="1"/>
      <c r="G52" s="1"/>
    </row>
    <row r="53" spans="1:10" x14ac:dyDescent="0.45">
      <c r="A53" s="13" t="s">
        <v>37</v>
      </c>
      <c r="B53" s="7">
        <f>40/2000</f>
        <v>0.02</v>
      </c>
      <c r="C53" s="7">
        <f t="shared" si="0"/>
        <v>0.02</v>
      </c>
      <c r="D53" s="1" t="s">
        <v>378</v>
      </c>
      <c r="E53" s="1"/>
      <c r="F53" s="1"/>
      <c r="G53" s="1"/>
    </row>
    <row r="54" spans="1:10" x14ac:dyDescent="0.45">
      <c r="A54" s="13" t="s">
        <v>38</v>
      </c>
      <c r="B54" s="15">
        <f>(B53*18000*0.5)/14000</f>
        <v>1.2857142857142857E-2</v>
      </c>
      <c r="C54" s="7">
        <f t="shared" si="0"/>
        <v>1.2857142857142857E-2</v>
      </c>
      <c r="D54" s="1" t="s">
        <v>155</v>
      </c>
      <c r="E54" s="1"/>
      <c r="F54" s="1"/>
      <c r="G54" s="1"/>
    </row>
    <row r="55" spans="1:10" ht="32" x14ac:dyDescent="0.45">
      <c r="A55" s="13" t="s">
        <v>39</v>
      </c>
      <c r="B55" s="15">
        <f>(450+193)/3330</f>
        <v>0.19309309309309308</v>
      </c>
      <c r="C55" s="7">
        <f t="shared" si="0"/>
        <v>0.19309309309309308</v>
      </c>
      <c r="D55" s="6" t="s">
        <v>370</v>
      </c>
      <c r="E55" s="1"/>
      <c r="F55" s="1"/>
      <c r="G55" s="1"/>
    </row>
    <row r="56" spans="1:10" ht="32" x14ac:dyDescent="0.45">
      <c r="A56" s="13" t="s">
        <v>40</v>
      </c>
      <c r="B56" s="15">
        <f>(243+214)/2810</f>
        <v>0.16263345195729537</v>
      </c>
      <c r="C56" s="7">
        <f t="shared" si="0"/>
        <v>0.16263345195729537</v>
      </c>
      <c r="D56" s="6" t="s">
        <v>370</v>
      </c>
      <c r="E56" s="1"/>
      <c r="F56" s="1"/>
      <c r="G56" s="1"/>
    </row>
    <row r="57" spans="1:10" ht="32" x14ac:dyDescent="0.45">
      <c r="A57" s="13" t="s">
        <v>41</v>
      </c>
      <c r="B57" s="15">
        <f>0.5/(13.416-6)</f>
        <v>6.7421790722761596E-2</v>
      </c>
      <c r="C57" s="7">
        <f t="shared" si="0"/>
        <v>6.7421790722761596E-2</v>
      </c>
      <c r="D57" s="6" t="s">
        <v>373</v>
      </c>
      <c r="E57" s="1"/>
      <c r="F57" s="1"/>
      <c r="G57" s="1"/>
    </row>
    <row r="58" spans="1:10" ht="32" x14ac:dyDescent="0.45">
      <c r="A58" s="13" t="s">
        <v>53</v>
      </c>
      <c r="B58" s="15">
        <v>0.24</v>
      </c>
      <c r="C58" s="7">
        <f t="shared" si="0"/>
        <v>0.24</v>
      </c>
      <c r="D58" s="6" t="s">
        <v>375</v>
      </c>
      <c r="E58" s="1"/>
      <c r="F58" s="1"/>
      <c r="G58" s="1"/>
    </row>
    <row r="59" spans="1:10" ht="32" x14ac:dyDescent="0.45">
      <c r="A59" s="13" t="s">
        <v>54</v>
      </c>
      <c r="B59" s="15">
        <f>499/12400</f>
        <v>4.0241935483870971E-2</v>
      </c>
      <c r="C59" s="7">
        <f t="shared" si="0"/>
        <v>4.0241935483870971E-2</v>
      </c>
      <c r="D59" s="1" t="s">
        <v>379</v>
      </c>
      <c r="E59" s="1"/>
      <c r="F59" s="1"/>
      <c r="G59" s="1"/>
    </row>
    <row r="60" spans="1:10" x14ac:dyDescent="0.45">
      <c r="A60" s="13" t="s">
        <v>43</v>
      </c>
      <c r="B60" s="15">
        <f>88/3330</f>
        <v>2.6426426426426425E-2</v>
      </c>
      <c r="C60" s="7">
        <f t="shared" si="0"/>
        <v>2.6426426426426425E-2</v>
      </c>
      <c r="D60" s="6" t="s">
        <v>370</v>
      </c>
      <c r="E60" s="1"/>
      <c r="F60" s="1"/>
      <c r="G60" s="1"/>
    </row>
    <row r="61" spans="1:10" x14ac:dyDescent="0.45">
      <c r="A61" s="13" t="s">
        <v>127</v>
      </c>
      <c r="B61" s="15">
        <f>'Weight% of vehicle components'!D56</f>
        <v>2.3958025609795076E-2</v>
      </c>
      <c r="C61" s="7">
        <f t="shared" si="0"/>
        <v>2.3958025609795076E-2</v>
      </c>
      <c r="D61" s="6" t="s">
        <v>370</v>
      </c>
      <c r="E61" s="1"/>
      <c r="F61" s="1"/>
      <c r="G61" s="1"/>
    </row>
    <row r="62" spans="1:10" x14ac:dyDescent="0.45">
      <c r="A62" s="13" t="s">
        <v>128</v>
      </c>
      <c r="B62" s="15">
        <f>'Weight% of vehicle components'!C56</f>
        <v>2.6724105455124637E-2</v>
      </c>
      <c r="C62" s="7">
        <f t="shared" si="0"/>
        <v>2.6724105455124637E-2</v>
      </c>
      <c r="D62" s="6" t="s">
        <v>370</v>
      </c>
      <c r="E62" s="1"/>
      <c r="F62" s="1"/>
      <c r="G62" s="1"/>
    </row>
    <row r="63" spans="1:10" x14ac:dyDescent="0.45">
      <c r="A63" s="13" t="s">
        <v>42</v>
      </c>
      <c r="B63" s="15">
        <f>(1500*B60)/1800</f>
        <v>2.2022022022022022E-2</v>
      </c>
      <c r="C63" s="7">
        <f t="shared" si="0"/>
        <v>2.2022022022022022E-2</v>
      </c>
      <c r="D63" s="12" t="s">
        <v>45</v>
      </c>
      <c r="E63" s="1"/>
      <c r="F63" s="1"/>
      <c r="G63" s="1"/>
    </row>
    <row r="64" spans="1:10" x14ac:dyDescent="0.45">
      <c r="A64" s="13" t="s">
        <v>46</v>
      </c>
      <c r="B64" s="15">
        <f>'Weight% of vehicle components'!H56</f>
        <v>6.1657119272018071E-2</v>
      </c>
      <c r="C64" s="7">
        <f t="shared" si="0"/>
        <v>6.1657119272018071E-2</v>
      </c>
      <c r="D64" s="6" t="s">
        <v>373</v>
      </c>
      <c r="E64" s="1"/>
      <c r="F64" s="1"/>
      <c r="G64" s="1"/>
    </row>
    <row r="65" spans="1:7" x14ac:dyDescent="0.45">
      <c r="A65" s="13" t="s">
        <v>55</v>
      </c>
      <c r="B65" s="15">
        <f>'Weight% of vehicle components'!F56</f>
        <v>4.5081401642415218E-2</v>
      </c>
      <c r="C65" s="7">
        <f t="shared" si="0"/>
        <v>4.5081401642415218E-2</v>
      </c>
      <c r="D65" s="12" t="s">
        <v>58</v>
      </c>
      <c r="E65" s="1"/>
      <c r="F65" s="1"/>
      <c r="G65" s="1"/>
    </row>
    <row r="66" spans="1:7" x14ac:dyDescent="0.45">
      <c r="A66" s="13" t="s">
        <v>56</v>
      </c>
      <c r="B66" s="15">
        <f>'Weight% of vehicle components'!G56</f>
        <v>7.1393303275366762E-2</v>
      </c>
      <c r="C66" s="7">
        <f t="shared" si="0"/>
        <v>7.1393303275366762E-2</v>
      </c>
      <c r="D66" s="12" t="s">
        <v>59</v>
      </c>
      <c r="E66" s="1"/>
      <c r="F66" s="1"/>
      <c r="G66" s="1"/>
    </row>
    <row r="67" spans="1:7" x14ac:dyDescent="0.45">
      <c r="A67" s="13" t="s">
        <v>69</v>
      </c>
      <c r="B67" s="15">
        <f>B60</f>
        <v>2.6426426426426425E-2</v>
      </c>
      <c r="C67" s="7">
        <f t="shared" si="0"/>
        <v>2.6426426426426425E-2</v>
      </c>
      <c r="D67" s="1" t="s">
        <v>47</v>
      </c>
      <c r="E67" s="1"/>
      <c r="F67" s="1"/>
      <c r="G67" s="1"/>
    </row>
    <row r="68" spans="1:7" x14ac:dyDescent="0.45">
      <c r="A68" s="13" t="s">
        <v>48</v>
      </c>
      <c r="B68" s="15">
        <f>91/3330</f>
        <v>2.7327327327327327E-2</v>
      </c>
      <c r="C68" s="15">
        <f>B68*2</f>
        <v>5.4654654654654654E-2</v>
      </c>
      <c r="D68" s="6" t="s">
        <v>370</v>
      </c>
      <c r="E68" s="1"/>
      <c r="F68" s="1"/>
      <c r="G68" s="1"/>
    </row>
    <row r="69" spans="1:7" x14ac:dyDescent="0.45">
      <c r="A69" s="13" t="s">
        <v>129</v>
      </c>
      <c r="B69" s="15">
        <f>90/3330</f>
        <v>2.7027027027027029E-2</v>
      </c>
      <c r="C69" s="15">
        <f t="shared" ref="C69:C79" si="1">B69*2</f>
        <v>5.4054054054054057E-2</v>
      </c>
      <c r="D69" s="6" t="s">
        <v>370</v>
      </c>
      <c r="E69" s="1"/>
      <c r="F69" s="1"/>
      <c r="G69" s="1"/>
    </row>
    <row r="70" spans="1:7" x14ac:dyDescent="0.45">
      <c r="A70" s="13" t="s">
        <v>134</v>
      </c>
      <c r="B70" s="15">
        <f>'Weight% of vehicle components'!D57</f>
        <v>2.4774776482856274E-2</v>
      </c>
      <c r="C70" s="15">
        <f t="shared" si="1"/>
        <v>4.9549552965712548E-2</v>
      </c>
      <c r="D70" s="6" t="s">
        <v>370</v>
      </c>
      <c r="E70" s="1"/>
      <c r="F70" s="1"/>
      <c r="G70" s="1"/>
    </row>
    <row r="71" spans="1:7" x14ac:dyDescent="0.45">
      <c r="A71" s="13" t="s">
        <v>136</v>
      </c>
      <c r="B71" s="15">
        <f>'Weight% of vehicle components'!C57</f>
        <v>2.7635154504731162E-2</v>
      </c>
      <c r="C71" s="15">
        <f t="shared" si="1"/>
        <v>5.5270309009462323E-2</v>
      </c>
      <c r="D71" s="6" t="s">
        <v>370</v>
      </c>
      <c r="E71" s="1"/>
      <c r="F71" s="1"/>
      <c r="G71" s="1"/>
    </row>
    <row r="72" spans="1:7" x14ac:dyDescent="0.45">
      <c r="A72" s="13" t="s">
        <v>135</v>
      </c>
      <c r="B72" s="15">
        <f>'Weight% of vehicle components'!D58</f>
        <v>2.4502526191835874E-2</v>
      </c>
      <c r="C72" s="15">
        <f t="shared" si="1"/>
        <v>4.9005052383671747E-2</v>
      </c>
      <c r="D72" s="6" t="s">
        <v>370</v>
      </c>
      <c r="E72" s="1"/>
      <c r="F72" s="1"/>
      <c r="G72" s="1"/>
    </row>
    <row r="73" spans="1:7" x14ac:dyDescent="0.45">
      <c r="A73" s="13" t="s">
        <v>137</v>
      </c>
      <c r="B73" s="15">
        <f>'Weight% of vehicle components'!C58</f>
        <v>2.7331471488195654E-2</v>
      </c>
      <c r="C73" s="15">
        <f t="shared" si="1"/>
        <v>5.4662942976391307E-2</v>
      </c>
      <c r="D73" s="6" t="s">
        <v>370</v>
      </c>
      <c r="E73" s="1"/>
      <c r="F73" s="1"/>
      <c r="G73" s="1"/>
    </row>
    <row r="74" spans="1:7" x14ac:dyDescent="0.45">
      <c r="A74" s="13" t="s">
        <v>130</v>
      </c>
      <c r="B74" s="15">
        <f>(B68*1500)/1800</f>
        <v>2.277277277277277E-2</v>
      </c>
      <c r="C74" s="15">
        <f t="shared" si="1"/>
        <v>4.5545545545545539E-2</v>
      </c>
      <c r="D74" s="12" t="s">
        <v>131</v>
      </c>
      <c r="E74" s="1"/>
      <c r="F74" s="1"/>
      <c r="G74" s="1"/>
    </row>
    <row r="75" spans="1:7" x14ac:dyDescent="0.45">
      <c r="A75" s="13" t="s">
        <v>133</v>
      </c>
      <c r="B75" s="15">
        <f>(B69*1500)/1800</f>
        <v>2.2522522522522521E-2</v>
      </c>
      <c r="C75" s="15">
        <f t="shared" si="1"/>
        <v>4.5045045045045043E-2</v>
      </c>
      <c r="D75" s="12" t="s">
        <v>132</v>
      </c>
      <c r="E75" s="1"/>
      <c r="F75" s="1"/>
      <c r="G75" s="1"/>
    </row>
    <row r="76" spans="1:7" ht="32" x14ac:dyDescent="0.45">
      <c r="A76" s="13" t="s">
        <v>63</v>
      </c>
      <c r="B76" s="15">
        <f>10%*0.5</f>
        <v>0.05</v>
      </c>
      <c r="C76" s="15">
        <f t="shared" si="1"/>
        <v>0.1</v>
      </c>
      <c r="D76" s="40" t="s">
        <v>375</v>
      </c>
      <c r="E76" s="1" t="s">
        <v>539</v>
      </c>
      <c r="F76" s="1"/>
      <c r="G76" s="1"/>
    </row>
    <row r="77" spans="1:7" x14ac:dyDescent="0.45">
      <c r="A77" s="13" t="s">
        <v>64</v>
      </c>
      <c r="B77" s="15">
        <f>'Weight% of vehicle components'!H57</f>
        <v>2.3856479818501881E-2</v>
      </c>
      <c r="C77" s="15">
        <f t="shared" si="1"/>
        <v>4.7712959637003761E-2</v>
      </c>
      <c r="D77" s="6" t="s">
        <v>380</v>
      </c>
      <c r="E77" s="1" t="s">
        <v>540</v>
      </c>
      <c r="F77" s="1"/>
      <c r="G77" s="1"/>
    </row>
    <row r="78" spans="1:7" x14ac:dyDescent="0.45">
      <c r="A78" s="13" t="s">
        <v>65</v>
      </c>
      <c r="B78" s="15">
        <f>'Weight% of vehicle components'!F57</f>
        <v>1.744297432592094E-2</v>
      </c>
      <c r="C78" s="15">
        <f t="shared" si="1"/>
        <v>3.4885948651841879E-2</v>
      </c>
      <c r="D78" s="12" t="s">
        <v>67</v>
      </c>
      <c r="E78" s="1"/>
      <c r="F78" s="1"/>
      <c r="G78" s="1"/>
    </row>
    <row r="79" spans="1:7" x14ac:dyDescent="0.45">
      <c r="A79" s="13" t="s">
        <v>66</v>
      </c>
      <c r="B79" s="15">
        <f>'Weight% of vehicle components'!G57</f>
        <v>2.7623621065571476E-2</v>
      </c>
      <c r="C79" s="15">
        <f t="shared" si="1"/>
        <v>5.5247242131142953E-2</v>
      </c>
      <c r="D79" s="12" t="s">
        <v>68</v>
      </c>
      <c r="E79" s="1"/>
      <c r="F79" s="1"/>
      <c r="G79" s="1"/>
    </row>
    <row r="80" spans="1:7" ht="48" x14ac:dyDescent="0.45">
      <c r="A80" s="13" t="s">
        <v>165</v>
      </c>
      <c r="B80" s="15">
        <f>(44+53)/3330</f>
        <v>2.9129129129129128E-2</v>
      </c>
      <c r="C80" s="15">
        <f>B80</f>
        <v>2.9129129129129128E-2</v>
      </c>
      <c r="D80" s="6" t="s">
        <v>370</v>
      </c>
      <c r="E80" s="1"/>
      <c r="F80" s="1"/>
      <c r="G80" s="1"/>
    </row>
    <row r="81" spans="1:7" ht="44.5" customHeight="1" x14ac:dyDescent="0.45">
      <c r="A81" s="13" t="s">
        <v>532</v>
      </c>
      <c r="B81" s="15">
        <f>'Weight% of vehicle components'!D59</f>
        <v>2.6408278228978663E-2</v>
      </c>
      <c r="C81" s="15">
        <f t="shared" ref="C81:C87" si="2">B81</f>
        <v>2.6408278228978663E-2</v>
      </c>
      <c r="D81" s="6" t="s">
        <v>370</v>
      </c>
      <c r="E81" s="1"/>
      <c r="F81" s="1"/>
      <c r="G81" s="1"/>
    </row>
    <row r="82" spans="1:7" ht="44.5" customHeight="1" x14ac:dyDescent="0.45">
      <c r="A82" s="13" t="s">
        <v>531</v>
      </c>
      <c r="B82" s="15">
        <f>'Weight% of vehicle components'!C59</f>
        <v>2.9457252603944203E-2</v>
      </c>
      <c r="C82" s="15">
        <f t="shared" si="2"/>
        <v>2.9457252603944203E-2</v>
      </c>
      <c r="D82" s="6" t="s">
        <v>370</v>
      </c>
      <c r="E82" s="1"/>
      <c r="F82" s="1"/>
      <c r="G82" s="1"/>
    </row>
    <row r="83" spans="1:7" ht="48" x14ac:dyDescent="0.45">
      <c r="A83" s="13" t="s">
        <v>167</v>
      </c>
      <c r="B83" s="15">
        <f>(B80*1500)/1800</f>
        <v>2.4274274274274272E-2</v>
      </c>
      <c r="C83" s="15">
        <f t="shared" si="2"/>
        <v>2.4274274274274272E-2</v>
      </c>
      <c r="D83" s="12" t="s">
        <v>560</v>
      </c>
      <c r="E83" s="1"/>
      <c r="F83" s="1"/>
      <c r="G83" s="1"/>
    </row>
    <row r="84" spans="1:7" ht="48" x14ac:dyDescent="0.45">
      <c r="A84" s="13" t="s">
        <v>168</v>
      </c>
      <c r="B84" s="15">
        <f>'Weight% of vehicle components'!H59</f>
        <v>2.3856479818501881E-2</v>
      </c>
      <c r="C84" s="15">
        <f t="shared" si="2"/>
        <v>2.3856479818501881E-2</v>
      </c>
      <c r="D84" s="6" t="s">
        <v>380</v>
      </c>
      <c r="E84" s="1" t="s">
        <v>541</v>
      </c>
      <c r="F84" s="1"/>
      <c r="G84" s="1"/>
    </row>
    <row r="85" spans="1:7" ht="48" x14ac:dyDescent="0.45">
      <c r="A85" s="13" t="s">
        <v>169</v>
      </c>
      <c r="B85" s="15">
        <f>'Weight% of vehicle components'!G59</f>
        <v>2.7623621065571476E-2</v>
      </c>
      <c r="C85" s="15">
        <f t="shared" si="2"/>
        <v>2.7623621065571476E-2</v>
      </c>
      <c r="D85" s="12" t="s">
        <v>172</v>
      </c>
      <c r="E85" s="1"/>
      <c r="F85" s="1"/>
      <c r="G85" s="1"/>
    </row>
    <row r="86" spans="1:7" ht="48" x14ac:dyDescent="0.45">
      <c r="A86" s="13" t="s">
        <v>170</v>
      </c>
      <c r="B86" s="15">
        <f>'Weight% of vehicle components'!F59</f>
        <v>1.744297432592094E-2</v>
      </c>
      <c r="C86" s="15">
        <f t="shared" si="2"/>
        <v>1.744297432592094E-2</v>
      </c>
      <c r="D86" s="12" t="s">
        <v>173</v>
      </c>
      <c r="E86" s="1"/>
      <c r="F86" s="1"/>
      <c r="G86" s="1"/>
    </row>
    <row r="87" spans="1:7" ht="48" x14ac:dyDescent="0.45">
      <c r="A87" s="13" t="s">
        <v>171</v>
      </c>
      <c r="B87" s="15">
        <f>(B80*1500)/8000</f>
        <v>5.4617117117117114E-3</v>
      </c>
      <c r="C87" s="15">
        <f t="shared" si="2"/>
        <v>5.4617117117117114E-3</v>
      </c>
      <c r="D87" s="12" t="s">
        <v>174</v>
      </c>
      <c r="E87" s="1"/>
      <c r="F87" s="1"/>
      <c r="G87" s="1"/>
    </row>
    <row r="88" spans="1:7" x14ac:dyDescent="0.45">
      <c r="A88" s="13" t="s">
        <v>71</v>
      </c>
      <c r="B88" s="15">
        <f>99/3330</f>
        <v>2.9729729729729731E-2</v>
      </c>
      <c r="C88" s="15">
        <f>B88*2</f>
        <v>5.9459459459459463E-2</v>
      </c>
      <c r="D88" s="6" t="s">
        <v>370</v>
      </c>
      <c r="E88" s="1"/>
      <c r="F88" s="1"/>
      <c r="G88" s="1"/>
    </row>
    <row r="89" spans="1:7" ht="16.5" customHeight="1" x14ac:dyDescent="0.45">
      <c r="A89" s="13" t="s">
        <v>138</v>
      </c>
      <c r="B89" s="15">
        <f>'Weight% of vehicle components'!D60</f>
        <v>1.7424018625305512E-2</v>
      </c>
      <c r="C89" s="15">
        <f t="shared" ref="C89:C100" si="3">B89*2</f>
        <v>3.4848037250611023E-2</v>
      </c>
      <c r="D89" s="6" t="s">
        <v>370</v>
      </c>
      <c r="E89" s="1"/>
      <c r="F89" s="1"/>
      <c r="G89" s="1"/>
    </row>
    <row r="90" spans="1:7" ht="16.5" customHeight="1" x14ac:dyDescent="0.45">
      <c r="A90" s="13" t="s">
        <v>139</v>
      </c>
      <c r="B90" s="15">
        <f>'Weight% of vehicle components'!C60</f>
        <v>1.9435713058272467E-2</v>
      </c>
      <c r="C90" s="15">
        <f t="shared" si="3"/>
        <v>3.8871426116544934E-2</v>
      </c>
      <c r="D90" s="6" t="s">
        <v>370</v>
      </c>
      <c r="E90" s="1"/>
      <c r="F90" s="1"/>
      <c r="G90" s="1"/>
    </row>
    <row r="91" spans="1:7" ht="16.5" customHeight="1" x14ac:dyDescent="0.45">
      <c r="A91" s="13" t="s">
        <v>73</v>
      </c>
      <c r="B91" s="7">
        <f>(B88*1600)/1800</f>
        <v>2.6426426426426428E-2</v>
      </c>
      <c r="C91" s="15">
        <f t="shared" si="3"/>
        <v>5.2852852852852857E-2</v>
      </c>
      <c r="D91" s="12" t="s">
        <v>74</v>
      </c>
      <c r="E91" s="1"/>
      <c r="F91" s="1"/>
      <c r="G91" s="1"/>
    </row>
    <row r="92" spans="1:7" ht="16.5" customHeight="1" x14ac:dyDescent="0.45">
      <c r="A92" s="13" t="s">
        <v>75</v>
      </c>
      <c r="B92" s="15">
        <f>'Weight% of vehicle components'!H60</f>
        <v>5.5053414965773578E-3</v>
      </c>
      <c r="C92" s="15">
        <f t="shared" si="3"/>
        <v>1.1010682993154716E-2</v>
      </c>
      <c r="D92" s="6" t="s">
        <v>381</v>
      </c>
      <c r="E92" s="1"/>
      <c r="F92" s="1"/>
      <c r="G92" s="1"/>
    </row>
    <row r="93" spans="1:7" ht="16.5" customHeight="1" x14ac:dyDescent="0.45">
      <c r="A93" s="13" t="s">
        <v>76</v>
      </c>
      <c r="B93" s="15">
        <f>'Weight% of vehicle components'!G60</f>
        <v>6.374681784362647E-3</v>
      </c>
      <c r="C93" s="15">
        <f t="shared" si="3"/>
        <v>1.2749363568725294E-2</v>
      </c>
      <c r="D93" s="6" t="s">
        <v>381</v>
      </c>
      <c r="E93" s="1"/>
      <c r="F93" s="1"/>
      <c r="G93" s="1"/>
    </row>
    <row r="94" spans="1:7" ht="16.5" customHeight="1" x14ac:dyDescent="0.45">
      <c r="A94" s="13" t="s">
        <v>77</v>
      </c>
      <c r="B94" s="15">
        <f>'Weight% of vehicle components'!F60</f>
        <v>4.0253017675202169E-3</v>
      </c>
      <c r="C94" s="15">
        <f t="shared" si="3"/>
        <v>8.0506035350404338E-3</v>
      </c>
      <c r="D94" s="6" t="s">
        <v>381</v>
      </c>
      <c r="E94" s="1"/>
      <c r="F94" s="1"/>
      <c r="G94" s="1"/>
    </row>
    <row r="95" spans="1:7" ht="16.5" customHeight="1" x14ac:dyDescent="0.45">
      <c r="A95" s="13" t="s">
        <v>78</v>
      </c>
      <c r="B95" s="15">
        <f>90/8000</f>
        <v>1.125E-2</v>
      </c>
      <c r="C95" s="15">
        <f t="shared" si="3"/>
        <v>2.2499999999999999E-2</v>
      </c>
      <c r="D95" s="6" t="s">
        <v>381</v>
      </c>
      <c r="E95" s="1"/>
      <c r="F95" s="1"/>
      <c r="G95" s="1"/>
    </row>
    <row r="96" spans="1:7" ht="16.5" customHeight="1" x14ac:dyDescent="0.45">
      <c r="A96" s="13" t="s">
        <v>82</v>
      </c>
      <c r="B96" s="15">
        <f>36/3330</f>
        <v>1.0810810810810811E-2</v>
      </c>
      <c r="C96" s="15">
        <f t="shared" si="3"/>
        <v>2.1621621621621623E-2</v>
      </c>
      <c r="D96" s="6" t="s">
        <v>370</v>
      </c>
      <c r="E96" s="1"/>
      <c r="F96" s="1"/>
      <c r="G96" s="1"/>
    </row>
    <row r="97" spans="1:7" ht="32" x14ac:dyDescent="0.45">
      <c r="A97" s="13" t="s">
        <v>83</v>
      </c>
      <c r="B97" s="15">
        <f>22.1/2810</f>
        <v>7.8647686832740218E-3</v>
      </c>
      <c r="C97" s="15">
        <f t="shared" si="3"/>
        <v>1.5729537366548044E-2</v>
      </c>
      <c r="D97" s="6" t="s">
        <v>370</v>
      </c>
      <c r="E97" s="1"/>
      <c r="F97" s="1"/>
      <c r="G97" s="1"/>
    </row>
    <row r="98" spans="1:7" ht="16.5" customHeight="1" x14ac:dyDescent="0.45">
      <c r="A98" s="13" t="s">
        <v>84</v>
      </c>
      <c r="B98" s="15">
        <f>58.5/13000</f>
        <v>4.4999999999999997E-3</v>
      </c>
      <c r="C98" s="15">
        <f t="shared" si="3"/>
        <v>8.9999999999999993E-3</v>
      </c>
      <c r="D98" s="6" t="s">
        <v>382</v>
      </c>
      <c r="E98" s="1"/>
      <c r="F98" s="1"/>
      <c r="G98" s="1"/>
    </row>
    <row r="99" spans="1:7" x14ac:dyDescent="0.45">
      <c r="A99" s="13" t="s">
        <v>87</v>
      </c>
      <c r="B99" s="15">
        <f>B97</f>
        <v>7.8647686832740218E-3</v>
      </c>
      <c r="C99" s="15">
        <f t="shared" si="3"/>
        <v>1.5729537366548044E-2</v>
      </c>
      <c r="D99" s="12" t="s">
        <v>88</v>
      </c>
      <c r="E99" s="1"/>
      <c r="F99" s="1"/>
      <c r="G99" s="1"/>
    </row>
    <row r="100" spans="1:7" ht="16.5" customHeight="1" x14ac:dyDescent="0.45">
      <c r="A100" s="13" t="s">
        <v>85</v>
      </c>
      <c r="B100" s="15">
        <f>60/8000</f>
        <v>7.4999999999999997E-3</v>
      </c>
      <c r="C100" s="15">
        <f t="shared" si="3"/>
        <v>1.4999999999999999E-2</v>
      </c>
      <c r="D100" s="6" t="s">
        <v>383</v>
      </c>
      <c r="E100" s="1"/>
      <c r="F100" s="1"/>
      <c r="G100" s="1"/>
    </row>
    <row r="101" spans="1:7" ht="16.5" customHeight="1" x14ac:dyDescent="0.45">
      <c r="A101" s="13" t="s">
        <v>186</v>
      </c>
      <c r="B101" s="15">
        <f>(8.5+2+24+23+6+30)/3330</f>
        <v>2.8078078078078078E-2</v>
      </c>
      <c r="C101" s="15">
        <f>(8.5+2*2+24*2+23*2+6*7+30)/3330</f>
        <v>5.3603603603603604E-2</v>
      </c>
      <c r="D101" s="6" t="s">
        <v>370</v>
      </c>
      <c r="E101" s="1"/>
      <c r="F101" s="15"/>
      <c r="G101" s="1"/>
    </row>
    <row r="102" spans="1:7" ht="16.5" customHeight="1" x14ac:dyDescent="0.45">
      <c r="A102" s="13" t="s">
        <v>534</v>
      </c>
      <c r="B102" s="15">
        <f>'Weight% of vehicle components'!D51</f>
        <v>2.5373665480427045E-2</v>
      </c>
      <c r="C102" s="15">
        <f>(8.5+2*2+1.8*2+23*2+6*7+30)/2810</f>
        <v>4.7722419928825623E-2</v>
      </c>
      <c r="D102" s="6" t="s">
        <v>370</v>
      </c>
      <c r="E102" s="1"/>
      <c r="F102" s="15"/>
      <c r="G102" s="1"/>
    </row>
    <row r="103" spans="1:7" ht="16.5" customHeight="1" x14ac:dyDescent="0.45">
      <c r="A103" s="13" t="s">
        <v>533</v>
      </c>
      <c r="B103" s="15">
        <f>'Weight% of vehicle components'!C51</f>
        <v>2.5373665480427045E-2</v>
      </c>
      <c r="C103" s="15">
        <f>(8.5+2*2+1.8*2+23*2+6*7+30)/2810</f>
        <v>4.7722419928825623E-2</v>
      </c>
      <c r="D103" s="6" t="s">
        <v>370</v>
      </c>
      <c r="E103" s="1"/>
      <c r="F103" s="15"/>
      <c r="G103" s="1"/>
    </row>
    <row r="104" spans="1:7" ht="16.5" customHeight="1" x14ac:dyDescent="0.45">
      <c r="A104" s="13" t="s">
        <v>188</v>
      </c>
      <c r="B104" s="15">
        <f>(B102*1600)/1800</f>
        <v>2.2554369315935151E-2</v>
      </c>
      <c r="C104" s="15">
        <f>(C102*1600)/1800</f>
        <v>4.2419928825622774E-2</v>
      </c>
      <c r="D104" s="12" t="s">
        <v>189</v>
      </c>
      <c r="E104" s="1"/>
      <c r="F104" s="1"/>
      <c r="G104" s="1"/>
    </row>
    <row r="105" spans="1:7" ht="16.5" customHeight="1" x14ac:dyDescent="0.45">
      <c r="A105" s="13" t="s">
        <v>190</v>
      </c>
      <c r="B105" s="15">
        <f>'Weight% of vehicle components'!H51</f>
        <v>3.2397782397782398E-3</v>
      </c>
      <c r="C105" s="15">
        <f>(C101*1500)/13000</f>
        <v>6.1850311850311845E-3</v>
      </c>
      <c r="D105" s="12" t="s">
        <v>194</v>
      </c>
      <c r="E105" s="1"/>
      <c r="F105" s="1"/>
      <c r="G105" s="1"/>
    </row>
    <row r="106" spans="1:7" ht="16.5" customHeight="1" x14ac:dyDescent="0.45">
      <c r="A106" s="13" t="s">
        <v>191</v>
      </c>
      <c r="B106" s="15">
        <f>(B101*1500)/8000</f>
        <v>5.2646396396396396E-3</v>
      </c>
      <c r="C106" s="15">
        <f>(C101*1500)/8000</f>
        <v>1.0050675675675675E-2</v>
      </c>
      <c r="D106" s="12" t="s">
        <v>195</v>
      </c>
      <c r="E106" s="1"/>
      <c r="F106" s="1"/>
      <c r="G106" s="1"/>
    </row>
    <row r="107" spans="1:7" ht="16.5" customHeight="1" x14ac:dyDescent="0.45">
      <c r="A107" s="13" t="s">
        <v>192</v>
      </c>
      <c r="B107" s="15">
        <f>'Weight% of vehicle components'!F51</f>
        <v>2.255436931593515E-3</v>
      </c>
      <c r="C107" s="15">
        <f>(C102*1600)/18000</f>
        <v>4.2419928825622776E-3</v>
      </c>
      <c r="D107" s="12" t="s">
        <v>196</v>
      </c>
      <c r="E107" s="1"/>
      <c r="F107" s="1"/>
      <c r="G107" s="1"/>
    </row>
    <row r="108" spans="1:7" ht="16.5" customHeight="1" x14ac:dyDescent="0.45">
      <c r="A108" s="13" t="s">
        <v>193</v>
      </c>
      <c r="B108" s="15">
        <f>'Weight% of vehicle components'!G51</f>
        <v>2.8998474834773767E-3</v>
      </c>
      <c r="C108" s="15">
        <f>(C102*1600)/14000</f>
        <v>5.4539908490086426E-3</v>
      </c>
      <c r="D108" s="12" t="s">
        <v>197</v>
      </c>
      <c r="E108" s="1"/>
      <c r="F108" s="1"/>
      <c r="G108" s="1"/>
    </row>
    <row r="109" spans="1:7" ht="16.5" customHeight="1" x14ac:dyDescent="0.45">
      <c r="A109" s="42" t="s">
        <v>79</v>
      </c>
      <c r="B109" s="42"/>
      <c r="C109" s="42"/>
      <c r="D109" s="42"/>
      <c r="E109" s="42"/>
      <c r="F109" s="1"/>
      <c r="G109" s="1"/>
    </row>
    <row r="110" spans="1:7" x14ac:dyDescent="0.45">
      <c r="A110" s="13" t="s">
        <v>294</v>
      </c>
      <c r="B110" s="15">
        <v>0.625</v>
      </c>
      <c r="C110" s="15"/>
      <c r="D110" s="6" t="s">
        <v>1</v>
      </c>
      <c r="E110" s="7" t="s">
        <v>2</v>
      </c>
      <c r="F110" s="1"/>
      <c r="G110" s="1"/>
    </row>
    <row r="111" spans="1:7" x14ac:dyDescent="0.45">
      <c r="A111" s="13" t="s">
        <v>293</v>
      </c>
      <c r="B111" s="15">
        <f>100%-B110</f>
        <v>0.375</v>
      </c>
      <c r="C111" s="15"/>
      <c r="D111" s="6" t="s">
        <v>1</v>
      </c>
      <c r="E111" s="7"/>
      <c r="F111" s="1"/>
      <c r="G111" s="1"/>
    </row>
    <row r="112" spans="1:7" x14ac:dyDescent="0.45">
      <c r="A112" s="13" t="s">
        <v>296</v>
      </c>
      <c r="B112" s="26">
        <v>0.68</v>
      </c>
      <c r="C112" s="26"/>
      <c r="D112" s="6" t="s">
        <v>384</v>
      </c>
      <c r="E112" s="7"/>
      <c r="F112" s="1"/>
      <c r="G112" s="1"/>
    </row>
    <row r="113" spans="1:7" x14ac:dyDescent="0.45">
      <c r="A113" s="13" t="s">
        <v>297</v>
      </c>
      <c r="B113" s="15">
        <v>0.32</v>
      </c>
      <c r="C113" s="15"/>
      <c r="D113" s="6" t="s">
        <v>384</v>
      </c>
      <c r="E113" s="7"/>
      <c r="F113" s="1"/>
      <c r="G113" s="1"/>
    </row>
    <row r="114" spans="1:7" ht="48" x14ac:dyDescent="0.45">
      <c r="A114" s="13" t="s">
        <v>80</v>
      </c>
      <c r="B114" s="15">
        <v>1</v>
      </c>
      <c r="C114" s="15"/>
      <c r="D114" s="12"/>
      <c r="E114" s="1" t="s">
        <v>81</v>
      </c>
      <c r="F114" s="1"/>
      <c r="G114" s="1"/>
    </row>
    <row r="115" spans="1:7" x14ac:dyDescent="0.45">
      <c r="A115" s="13" t="s">
        <v>89</v>
      </c>
      <c r="B115" s="15">
        <v>1</v>
      </c>
      <c r="C115" s="15"/>
      <c r="D115" s="12"/>
      <c r="E115" s="1"/>
      <c r="F115" s="1"/>
      <c r="G115" s="1"/>
    </row>
    <row r="116" spans="1:7" ht="48" x14ac:dyDescent="0.45">
      <c r="A116" s="13" t="s">
        <v>108</v>
      </c>
      <c r="B116" s="15">
        <f>21%*64%</f>
        <v>0.13439999999999999</v>
      </c>
      <c r="C116" s="15"/>
      <c r="D116" s="40" t="s">
        <v>107</v>
      </c>
      <c r="E116" t="s">
        <v>385</v>
      </c>
      <c r="F116" s="1"/>
      <c r="G116" s="1"/>
    </row>
    <row r="117" spans="1:7" x14ac:dyDescent="0.45">
      <c r="A117" s="42" t="s">
        <v>99</v>
      </c>
      <c r="B117" s="42"/>
      <c r="C117" s="42"/>
      <c r="D117" s="42"/>
      <c r="E117" s="42"/>
      <c r="F117" s="1"/>
      <c r="G117" s="1"/>
    </row>
    <row r="118" spans="1:7" ht="32" x14ac:dyDescent="0.45">
      <c r="A118" s="2" t="s">
        <v>346</v>
      </c>
      <c r="B118" s="31">
        <f>((123+226+119)/(2505000+2390000+1235000+1602000)+(141+134+86+90)/(2505000+2390000+1235000+1602000)+58/(2505000+2390000+1235000+1602000)+44/(2505000+2390000+1235000+1602000)+(15+21+9)/(2505000+2390000+1235000+1602000)+(23+23+24)/(2505000+2390000+1235000+1602000)+22/(2505000+2390000+1235000+1602000))/B28</f>
        <v>6.1193224556381107E-4</v>
      </c>
      <c r="C118" s="31"/>
      <c r="D118" s="6" t="s">
        <v>386</v>
      </c>
      <c r="E118" t="s">
        <v>542</v>
      </c>
      <c r="F118" s="1"/>
      <c r="G118" s="1"/>
    </row>
    <row r="119" spans="1:7" ht="32" x14ac:dyDescent="0.45">
      <c r="A119" s="2" t="s">
        <v>347</v>
      </c>
      <c r="B119" s="31">
        <f>((181+66)/(2505000+2390000+1235000+1602000)+(141+117+49+89)/(2505000+2390000+1235000+1602000)+(296+277+312+105)/(2505000+2390000+1235000+1602000)+21/(2505000+2390000+1235000+1602000))/B36</f>
        <v>1.4050116782020161E-3</v>
      </c>
      <c r="C119" s="31"/>
      <c r="D119" s="6" t="s">
        <v>386</v>
      </c>
      <c r="E119" t="s">
        <v>543</v>
      </c>
      <c r="F119" s="1"/>
      <c r="G119" s="1"/>
    </row>
    <row r="120" spans="1:7" ht="32" x14ac:dyDescent="0.45">
      <c r="A120" s="2" t="s">
        <v>103</v>
      </c>
      <c r="B120" s="15">
        <f>(0.8%+2%)/2</f>
        <v>1.4E-2</v>
      </c>
      <c r="C120" s="15"/>
      <c r="D120" s="6" t="s">
        <v>387</v>
      </c>
      <c r="E120" s="1"/>
      <c r="F120" s="1"/>
      <c r="G120" s="1"/>
    </row>
    <row r="121" spans="1:7" ht="32" x14ac:dyDescent="0.45">
      <c r="A121" s="2" t="s">
        <v>330</v>
      </c>
      <c r="B121" s="32">
        <f>(432/(2505000+2390000+1235000+1602000)+(266+130+190+216)/(2505000+2390000+1235000+1602000)+(43+72+31)/(2505000+2390000+1235000+1602000)+31/(2505000+2390000+1235000+1602000))/B55</f>
        <v>9.4507968741325873E-4</v>
      </c>
      <c r="C121" s="32"/>
      <c r="D121" s="6" t="s">
        <v>386</v>
      </c>
      <c r="E121" t="s">
        <v>544</v>
      </c>
      <c r="F121" s="1"/>
      <c r="G121" s="1"/>
    </row>
    <row r="122" spans="1:7" ht="32" x14ac:dyDescent="0.45">
      <c r="A122" s="2" t="s">
        <v>331</v>
      </c>
      <c r="B122" s="31">
        <f>((640+295+20+42)/(2505000+2390000+1235000+1602000)+(336+328+84+166)/(2505000+2390000+1235000+1602000)+(199+184+140)/(2505000+2390000+1235000+1602000)+3180/(2505000+2390000+1235000+1602000)+(114+16+16+42)/(2505000+2390000+1235000+1602000))/B80</f>
        <v>2.5760742609372753E-2</v>
      </c>
      <c r="C122" s="31"/>
      <c r="D122" s="6" t="s">
        <v>386</v>
      </c>
      <c r="E122" t="s">
        <v>545</v>
      </c>
      <c r="F122" s="1"/>
      <c r="G122" s="1"/>
    </row>
    <row r="123" spans="1:7" x14ac:dyDescent="0.45">
      <c r="A123" s="13" t="s">
        <v>92</v>
      </c>
      <c r="B123" s="31">
        <f>16.9%/((86.65%+86.9%+89.65%+92.4%+93.69%)/5)</f>
        <v>0.18807451757216942</v>
      </c>
      <c r="C123" s="31"/>
      <c r="D123" s="6" t="s">
        <v>94</v>
      </c>
      <c r="E123" t="s">
        <v>388</v>
      </c>
      <c r="F123" s="1"/>
      <c r="G123" s="1"/>
    </row>
    <row r="124" spans="1:7" ht="32" x14ac:dyDescent="0.45">
      <c r="A124" s="13" t="s">
        <v>93</v>
      </c>
      <c r="B124" s="17">
        <f>((17.32%+17.16%+17.2%)/3)/((86.65%+86.9%+89.65%+92.4%+93.69%)/5)</f>
        <v>0.19170988300058611</v>
      </c>
      <c r="C124" s="17"/>
      <c r="D124" s="18" t="s">
        <v>95</v>
      </c>
      <c r="E124" s="1"/>
      <c r="F124" s="1"/>
      <c r="G124" s="1"/>
    </row>
    <row r="125" spans="1:7" x14ac:dyDescent="0.45">
      <c r="A125" s="13" t="s">
        <v>97</v>
      </c>
      <c r="B125" s="31">
        <f>16.9%/((86.65%+86.9%+89.65%+92.4%+93.69%)/5)</f>
        <v>0.18807451757216942</v>
      </c>
      <c r="C125" s="31"/>
      <c r="D125" s="6" t="s">
        <v>94</v>
      </c>
      <c r="E125" s="1" t="s">
        <v>546</v>
      </c>
      <c r="F125" s="1"/>
      <c r="G125" s="1"/>
    </row>
    <row r="126" spans="1:7" x14ac:dyDescent="0.45">
      <c r="A126" s="13" t="s">
        <v>98</v>
      </c>
      <c r="B126" s="15">
        <f>50%/((86.65%+86.9%+89.65%+92.4%+93.69%)/5)</f>
        <v>0.55643348394132974</v>
      </c>
      <c r="C126" s="15"/>
      <c r="D126" s="6" t="s">
        <v>389</v>
      </c>
      <c r="E126" s="1"/>
      <c r="F126" s="1"/>
      <c r="G126" s="1"/>
    </row>
    <row r="127" spans="1:7" x14ac:dyDescent="0.45">
      <c r="A127" s="13" t="s">
        <v>90</v>
      </c>
      <c r="B127" s="15">
        <f>((18%+5.2%)/(5.7%+2.7%+18%+5.7%+2.3%+5.2%+1.5%+3.3%))/((86.65%+86.9%+89.65%+92.4%+93.69%)/5)</f>
        <v>0.58149805529003806</v>
      </c>
      <c r="C127" s="15"/>
      <c r="D127" s="6" t="s">
        <v>91</v>
      </c>
      <c r="E127" s="1"/>
      <c r="F127" s="1"/>
      <c r="G127" s="1"/>
    </row>
    <row r="128" spans="1:7" x14ac:dyDescent="0.45">
      <c r="A128" s="13" t="s">
        <v>101</v>
      </c>
      <c r="B128" s="15">
        <f>(5.8%/(5.8%+8.2%+9.2%+4.8%+2.8%+3.1%+3.1%+1%+5.5%))/((86.65%+86.9%+89.65%+92.4%+93.69%)/5)</f>
        <v>0.14838226238435459</v>
      </c>
      <c r="C128" s="15"/>
      <c r="D128" s="6" t="s">
        <v>91</v>
      </c>
      <c r="E128" s="1"/>
      <c r="F128" s="1"/>
      <c r="G128" s="1"/>
    </row>
    <row r="129" spans="1:7" x14ac:dyDescent="0.45">
      <c r="A129" s="13" t="s">
        <v>213</v>
      </c>
      <c r="B129" s="26">
        <v>0.3</v>
      </c>
      <c r="C129" s="26"/>
      <c r="D129" s="12" t="s">
        <v>390</v>
      </c>
      <c r="E129" s="1"/>
      <c r="F129" s="1"/>
      <c r="G129" s="1"/>
    </row>
    <row r="130" spans="1:7" ht="32" x14ac:dyDescent="0.45">
      <c r="A130" s="13" t="s">
        <v>290</v>
      </c>
      <c r="B130" s="26">
        <f>(44/(44+53))*21.5%+(53/(44+53))*1%</f>
        <v>0.10298969072164949</v>
      </c>
      <c r="C130" s="26"/>
      <c r="D130" s="6" t="s">
        <v>370</v>
      </c>
      <c r="E130" s="1"/>
      <c r="F130" s="1"/>
      <c r="G130" s="1"/>
    </row>
    <row r="131" spans="1:7" ht="32" x14ac:dyDescent="0.45">
      <c r="A131" s="13" t="s">
        <v>291</v>
      </c>
      <c r="B131" s="26">
        <f>(1/3)*1%+(2/3)*21.5%</f>
        <v>0.14666666666666664</v>
      </c>
      <c r="C131" s="26"/>
      <c r="D131" s="6" t="s">
        <v>370</v>
      </c>
      <c r="E131" s="1"/>
      <c r="F131" s="1"/>
      <c r="G131" s="1"/>
    </row>
    <row r="132" spans="1:7" x14ac:dyDescent="0.45">
      <c r="A132" s="13" t="s">
        <v>326</v>
      </c>
      <c r="B132" s="26">
        <v>0.183</v>
      </c>
      <c r="C132" s="26"/>
      <c r="D132" s="6" t="s">
        <v>391</v>
      </c>
      <c r="E132" s="1"/>
      <c r="F132" s="1"/>
      <c r="G132" s="1"/>
    </row>
    <row r="133" spans="1:7" x14ac:dyDescent="0.45">
      <c r="A133" s="13" t="s">
        <v>102</v>
      </c>
      <c r="B133" s="15">
        <f>(5.5%/(5.8%+8.2%+9.2%+4.8%+2.8%+3.1%+3.1%+1%+5.5%))/((86.65%+86.9%+89.65%+92.4%+93.69%)/5)</f>
        <v>0.14070731777826728</v>
      </c>
      <c r="C133" s="15"/>
      <c r="D133" s="6" t="s">
        <v>91</v>
      </c>
      <c r="E133" s="1"/>
      <c r="F133" s="1"/>
      <c r="G133" s="1"/>
    </row>
    <row r="134" spans="1:7" ht="32" x14ac:dyDescent="0.45">
      <c r="A134" s="13" t="s">
        <v>238</v>
      </c>
      <c r="B134" s="7">
        <f>(100%-B123)*0.017</f>
        <v>1.3802733201273121E-2</v>
      </c>
      <c r="C134" s="7"/>
      <c r="D134" s="1" t="s">
        <v>392</v>
      </c>
      <c r="E134" s="1"/>
      <c r="F134" s="1"/>
      <c r="G134" s="1"/>
    </row>
    <row r="135" spans="1:7" x14ac:dyDescent="0.45">
      <c r="A135" s="13" t="s">
        <v>240</v>
      </c>
      <c r="B135" s="7">
        <f>(100%-B157-B170-B125)*0.2%</f>
        <v>1.3934614299719403E-3</v>
      </c>
      <c r="C135" s="7"/>
      <c r="D135" s="1" t="s">
        <v>547</v>
      </c>
      <c r="E135" s="1"/>
      <c r="F135" s="1"/>
      <c r="G135" s="1"/>
    </row>
    <row r="136" spans="1:7" x14ac:dyDescent="0.45">
      <c r="A136" s="42" t="s">
        <v>100</v>
      </c>
      <c r="B136" s="42"/>
      <c r="C136" s="42"/>
      <c r="D136" s="42"/>
      <c r="E136" s="42"/>
      <c r="F136" s="1"/>
      <c r="G136" s="1"/>
    </row>
    <row r="137" spans="1:7" ht="32" x14ac:dyDescent="0.45">
      <c r="A137" s="13" t="s">
        <v>104</v>
      </c>
      <c r="B137" s="15">
        <v>0.02</v>
      </c>
      <c r="C137" s="15"/>
      <c r="D137" s="12" t="s">
        <v>393</v>
      </c>
      <c r="E137" s="1"/>
      <c r="F137" s="1"/>
      <c r="G137" s="1"/>
    </row>
    <row r="138" spans="1:7" ht="32" x14ac:dyDescent="0.45">
      <c r="A138" s="13" t="s">
        <v>318</v>
      </c>
      <c r="B138" s="15">
        <v>4.0000000000000001E-3</v>
      </c>
      <c r="C138" s="15"/>
      <c r="D138" s="6" t="s">
        <v>394</v>
      </c>
      <c r="E138" s="1"/>
      <c r="F138" s="1"/>
      <c r="G138" s="1"/>
    </row>
    <row r="139" spans="1:7" x14ac:dyDescent="0.45">
      <c r="A139" s="13" t="s">
        <v>105</v>
      </c>
      <c r="B139" s="15">
        <f>(86.65%+86.9%+89.65%+92.4%+93.69%)/5</f>
        <v>0.89857999999999993</v>
      </c>
      <c r="C139" s="15"/>
      <c r="D139" s="19" t="s">
        <v>96</v>
      </c>
      <c r="E139" s="1"/>
      <c r="F139" s="1"/>
      <c r="G139" s="1"/>
    </row>
    <row r="140" spans="1:7" x14ac:dyDescent="0.45">
      <c r="A140" s="13" t="s">
        <v>106</v>
      </c>
      <c r="B140" s="15">
        <v>1</v>
      </c>
      <c r="C140" s="15"/>
      <c r="D140" s="1"/>
      <c r="E140" s="1"/>
      <c r="F140" s="1"/>
      <c r="G140" s="1"/>
    </row>
    <row r="141" spans="1:7" x14ac:dyDescent="0.45">
      <c r="A141" s="13" t="s">
        <v>317</v>
      </c>
      <c r="B141" s="15">
        <f>2%+6%</f>
        <v>0.08</v>
      </c>
      <c r="C141" s="15"/>
      <c r="D141" s="6" t="s">
        <v>394</v>
      </c>
      <c r="E141" s="1"/>
      <c r="F141" s="1"/>
      <c r="G141" s="1"/>
    </row>
    <row r="142" spans="1:7" ht="32" x14ac:dyDescent="0.45">
      <c r="A142" s="13" t="s">
        <v>151</v>
      </c>
      <c r="B142" s="15">
        <f>(2/(66+163+55+90+84+49))*5%</f>
        <v>1.9723865877712034E-4</v>
      </c>
      <c r="C142" s="15"/>
      <c r="D142" s="1" t="s">
        <v>548</v>
      </c>
      <c r="F142" s="1"/>
      <c r="G142" s="1"/>
    </row>
    <row r="143" spans="1:7" ht="32" x14ac:dyDescent="0.45">
      <c r="A143" s="13" t="s">
        <v>152</v>
      </c>
      <c r="B143" s="38">
        <f>(1/(B40*13000))*5%</f>
        <v>3.110870693224028E-5</v>
      </c>
      <c r="C143" s="21"/>
      <c r="D143" s="1" t="s">
        <v>548</v>
      </c>
      <c r="E143" s="1"/>
      <c r="F143" s="1"/>
      <c r="G143" s="1"/>
    </row>
    <row r="144" spans="1:7" ht="32" x14ac:dyDescent="0.45">
      <c r="A144" s="13" t="s">
        <v>153</v>
      </c>
      <c r="B144" s="38">
        <f>(1/(B41*8000))*5%</f>
        <v>5.2083333333333337E-5</v>
      </c>
      <c r="C144" s="15"/>
      <c r="D144" s="1" t="s">
        <v>548</v>
      </c>
      <c r="E144" s="1"/>
      <c r="F144" s="1"/>
      <c r="G144" s="1"/>
    </row>
    <row r="145" spans="1:7" ht="32" x14ac:dyDescent="0.45">
      <c r="A145" s="13" t="s">
        <v>183</v>
      </c>
      <c r="B145" s="15">
        <f>(22/3330)*89.9%*15%</f>
        <v>8.9090090090090078E-4</v>
      </c>
      <c r="C145" s="15"/>
      <c r="D145" s="1" t="s">
        <v>549</v>
      </c>
      <c r="E145" s="1"/>
      <c r="F145" s="1"/>
      <c r="G145" s="1"/>
    </row>
    <row r="146" spans="1:7" ht="32" x14ac:dyDescent="0.45">
      <c r="A146" s="13" t="s">
        <v>164</v>
      </c>
      <c r="B146" s="15">
        <f>41%*1.92%</f>
        <v>7.8719999999999988E-3</v>
      </c>
      <c r="C146" s="15"/>
      <c r="D146" s="1" t="s">
        <v>550</v>
      </c>
      <c r="E146" s="1"/>
      <c r="F146" s="1"/>
      <c r="G146" s="1"/>
    </row>
    <row r="147" spans="1:7" x14ac:dyDescent="0.45">
      <c r="A147" s="13" t="s">
        <v>206</v>
      </c>
      <c r="B147" s="15">
        <v>4.3999999999999997E-2</v>
      </c>
      <c r="C147" s="15"/>
      <c r="D147" s="6" t="s">
        <v>395</v>
      </c>
      <c r="E147" s="1"/>
      <c r="F147" s="1"/>
      <c r="G147" s="1"/>
    </row>
    <row r="148" spans="1:7" x14ac:dyDescent="0.45">
      <c r="A148" s="13" t="s">
        <v>207</v>
      </c>
      <c r="B148" s="15">
        <f>12.5%*0.1134</f>
        <v>1.4175E-2</v>
      </c>
      <c r="C148" s="15"/>
      <c r="D148" s="35" t="s">
        <v>551</v>
      </c>
      <c r="E148" s="1"/>
      <c r="F148" s="1"/>
      <c r="G148" s="1"/>
    </row>
    <row r="149" spans="1:7" x14ac:dyDescent="0.45">
      <c r="A149" s="13" t="s">
        <v>354</v>
      </c>
      <c r="B149" s="15">
        <v>7.0000000000000007E-2</v>
      </c>
      <c r="C149" s="15"/>
      <c r="D149" s="1" t="s">
        <v>552</v>
      </c>
      <c r="E149" s="1"/>
      <c r="F149" s="1"/>
      <c r="G149" s="1"/>
    </row>
    <row r="150" spans="1:7" x14ac:dyDescent="0.45">
      <c r="A150" s="13" t="s">
        <v>208</v>
      </c>
      <c r="B150" s="15">
        <f>(1.2/178.3)*20.4%</f>
        <v>1.372966909702748E-3</v>
      </c>
      <c r="C150" s="15"/>
      <c r="D150" s="6" t="s">
        <v>396</v>
      </c>
      <c r="E150" s="1"/>
      <c r="F150" s="1"/>
      <c r="G150" s="1"/>
    </row>
    <row r="151" spans="1:7" ht="32" x14ac:dyDescent="0.45">
      <c r="A151" s="13" t="s">
        <v>315</v>
      </c>
      <c r="B151" s="15">
        <v>1.4999999999999999E-2</v>
      </c>
      <c r="C151" s="15"/>
      <c r="D151" s="6" t="s">
        <v>397</v>
      </c>
      <c r="E151" s="1"/>
      <c r="F151" s="1"/>
      <c r="G151" s="1"/>
    </row>
    <row r="152" spans="1:7" ht="32" x14ac:dyDescent="0.45">
      <c r="A152" s="13" t="s">
        <v>209</v>
      </c>
      <c r="B152" s="7">
        <f>(1.36/1000)*2*44%</f>
        <v>1.1968E-3</v>
      </c>
      <c r="C152" s="7"/>
      <c r="D152" s="1" t="s">
        <v>553</v>
      </c>
      <c r="E152" s="1"/>
      <c r="F152" s="1"/>
      <c r="G152" s="1"/>
    </row>
    <row r="153" spans="1:7" ht="32" x14ac:dyDescent="0.45">
      <c r="A153" s="13" t="s">
        <v>212</v>
      </c>
      <c r="B153" s="7">
        <f>3/45*5.31%</f>
        <v>3.5399999999999997E-3</v>
      </c>
      <c r="C153" s="7"/>
      <c r="D153" s="23" t="s">
        <v>554</v>
      </c>
      <c r="E153" s="1"/>
      <c r="F153" s="1"/>
      <c r="G153" s="1"/>
    </row>
    <row r="154" spans="1:7" ht="32" x14ac:dyDescent="0.45">
      <c r="A154" s="13" t="s">
        <v>211</v>
      </c>
      <c r="B154" s="15">
        <f>30%</f>
        <v>0.3</v>
      </c>
      <c r="C154" s="15"/>
      <c r="D154" s="22" t="s">
        <v>555</v>
      </c>
      <c r="E154" s="1"/>
      <c r="F154" s="1"/>
      <c r="G154" s="1"/>
    </row>
    <row r="155" spans="1:7" x14ac:dyDescent="0.45">
      <c r="A155" s="13" t="s">
        <v>353</v>
      </c>
      <c r="B155" s="16">
        <v>7.0000000000000007E-2</v>
      </c>
      <c r="C155" s="16"/>
      <c r="D155" t="s">
        <v>398</v>
      </c>
      <c r="E155" s="1"/>
      <c r="F155" s="1"/>
      <c r="G155" s="1"/>
    </row>
    <row r="156" spans="1:7" ht="48" x14ac:dyDescent="0.45">
      <c r="A156" s="13" t="s">
        <v>332</v>
      </c>
      <c r="B156" s="16">
        <v>0.1</v>
      </c>
      <c r="C156" s="16"/>
      <c r="D156" s="6" t="s">
        <v>370</v>
      </c>
      <c r="E156" s="1"/>
      <c r="F156" s="1"/>
      <c r="G156" s="1"/>
    </row>
    <row r="157" spans="1:7" ht="32" x14ac:dyDescent="0.45">
      <c r="A157" s="13" t="s">
        <v>333</v>
      </c>
      <c r="B157" s="15">
        <f>(0.26%*1500*50%)/((B36+B68+B69)*1500)</f>
        <v>6.2921511627906978E-3</v>
      </c>
      <c r="C157" s="15"/>
      <c r="D157" s="1" t="s">
        <v>556</v>
      </c>
      <c r="E157" s="1"/>
      <c r="F157" s="1"/>
      <c r="G157" s="1"/>
    </row>
    <row r="158" spans="1:7" ht="48" x14ac:dyDescent="0.45">
      <c r="A158" s="13" t="s">
        <v>338</v>
      </c>
      <c r="B158" s="7">
        <f>(0.26%*1500*50%)/(B55*1500)</f>
        <v>6.7325038880248845E-3</v>
      </c>
      <c r="C158" s="7"/>
      <c r="D158" s="1" t="s">
        <v>557</v>
      </c>
      <c r="E158" s="1"/>
      <c r="F158" s="1"/>
      <c r="G158" s="1"/>
    </row>
    <row r="159" spans="1:7" x14ac:dyDescent="0.45">
      <c r="A159" s="4" t="s">
        <v>349</v>
      </c>
      <c r="B159" s="7">
        <f>(0.45%+0.9%)/2</f>
        <v>6.7500000000000008E-3</v>
      </c>
      <c r="D159" s="6" t="s">
        <v>399</v>
      </c>
      <c r="E159" s="1"/>
      <c r="F159" s="1"/>
      <c r="G159" s="1"/>
    </row>
    <row r="160" spans="1:7" ht="32" x14ac:dyDescent="0.45">
      <c r="A160" s="13" t="s">
        <v>355</v>
      </c>
      <c r="B160" s="16">
        <v>0.16</v>
      </c>
      <c r="C160" s="16"/>
      <c r="D160" s="35" t="s">
        <v>400</v>
      </c>
      <c r="E160" s="1"/>
      <c r="F160" s="1"/>
      <c r="G160" s="1"/>
    </row>
    <row r="161" spans="1:9" x14ac:dyDescent="0.45">
      <c r="A161" s="13" t="s">
        <v>218</v>
      </c>
      <c r="B161" s="16">
        <v>0.19</v>
      </c>
      <c r="C161" s="16"/>
      <c r="D161" s="6" t="s">
        <v>401</v>
      </c>
      <c r="E161" s="1"/>
      <c r="F161" s="1"/>
      <c r="G161" s="1"/>
    </row>
    <row r="162" spans="1:9" ht="32" x14ac:dyDescent="0.45">
      <c r="A162" s="13" t="s">
        <v>289</v>
      </c>
      <c r="B162" s="27">
        <v>1.4999999999999999E-2</v>
      </c>
      <c r="C162" s="21"/>
      <c r="D162" s="6" t="s">
        <v>370</v>
      </c>
      <c r="E162" s="1"/>
      <c r="F162" s="1"/>
      <c r="G162" s="1"/>
    </row>
    <row r="163" spans="1:9" ht="32" x14ac:dyDescent="0.45">
      <c r="A163" s="13" t="s">
        <v>239</v>
      </c>
      <c r="B163" s="16">
        <v>1</v>
      </c>
      <c r="C163" s="16"/>
      <c r="D163" s="1"/>
      <c r="E163" s="1"/>
      <c r="F163" s="1"/>
      <c r="G163" s="1"/>
      <c r="I163" s="7"/>
    </row>
    <row r="164" spans="1:9" ht="48" x14ac:dyDescent="0.45">
      <c r="A164" s="13" t="s">
        <v>334</v>
      </c>
      <c r="B164" s="7">
        <f>3/45*(0.8%+2.8%)</f>
        <v>2.3999999999999998E-3</v>
      </c>
      <c r="C164" s="7"/>
      <c r="D164" s="6" t="s">
        <v>402</v>
      </c>
      <c r="E164" s="1"/>
      <c r="F164" s="1"/>
      <c r="G164" s="1"/>
      <c r="I164" s="5"/>
    </row>
    <row r="165" spans="1:9" ht="32" x14ac:dyDescent="0.45">
      <c r="A165" s="13" t="s">
        <v>319</v>
      </c>
      <c r="B165" s="28">
        <v>5.0000000000000002E-5</v>
      </c>
      <c r="C165" s="28"/>
      <c r="D165" s="6" t="s">
        <v>394</v>
      </c>
      <c r="E165" s="1"/>
      <c r="F165" s="1"/>
      <c r="G165" s="1"/>
      <c r="I165" s="5"/>
    </row>
    <row r="166" spans="1:9" x14ac:dyDescent="0.45">
      <c r="A166" s="13" t="s">
        <v>221</v>
      </c>
      <c r="B166" s="15">
        <v>3.0000000000000001E-3</v>
      </c>
      <c r="C166" s="15"/>
      <c r="D166" s="6" t="s">
        <v>403</v>
      </c>
      <c r="E166" s="1"/>
      <c r="F166" s="1"/>
      <c r="G166" s="1"/>
    </row>
    <row r="167" spans="1:9" x14ac:dyDescent="0.45">
      <c r="A167" s="13" t="s">
        <v>320</v>
      </c>
      <c r="B167" s="7">
        <f>15%</f>
        <v>0.15</v>
      </c>
      <c r="C167" s="7"/>
      <c r="D167" s="6" t="s">
        <v>394</v>
      </c>
      <c r="E167" s="1"/>
      <c r="F167" s="1"/>
      <c r="G167" s="1"/>
      <c r="I167" s="5"/>
    </row>
    <row r="168" spans="1:9" x14ac:dyDescent="0.45">
      <c r="A168" s="4" t="s">
        <v>350</v>
      </c>
      <c r="B168" s="7">
        <f>(0.2%+0.6%)/2</f>
        <v>4.0000000000000001E-3</v>
      </c>
      <c r="D168" s="6" t="s">
        <v>399</v>
      </c>
      <c r="E168" s="1"/>
      <c r="F168" s="1"/>
      <c r="G168" s="1"/>
      <c r="I168" s="5"/>
    </row>
    <row r="169" spans="1:9" ht="32" x14ac:dyDescent="0.45">
      <c r="A169" s="13" t="s">
        <v>316</v>
      </c>
      <c r="B169" s="15">
        <f>22%*10%*8.6%</f>
        <v>1.892E-3</v>
      </c>
      <c r="C169" s="15"/>
      <c r="D169" s="1" t="s">
        <v>404</v>
      </c>
      <c r="E169" s="1"/>
      <c r="F169" s="1"/>
      <c r="G169" s="1"/>
    </row>
    <row r="170" spans="1:9" ht="32" x14ac:dyDescent="0.45">
      <c r="A170" s="13" t="s">
        <v>337</v>
      </c>
      <c r="B170" s="7">
        <f>(9%*1500*50%*50%)/((B36+B68+B69)*1500)</f>
        <v>0.10890261627906976</v>
      </c>
      <c r="C170" s="7"/>
      <c r="D170" s="1" t="s">
        <v>405</v>
      </c>
      <c r="E170" s="1"/>
      <c r="F170" s="1"/>
      <c r="G170" s="1"/>
    </row>
    <row r="171" spans="1:9" ht="32" x14ac:dyDescent="0.45">
      <c r="A171" s="13" t="s">
        <v>335</v>
      </c>
      <c r="B171" s="7">
        <f>(9%*1500*50%*50%)/(B55*1500)</f>
        <v>0.11652410575427684</v>
      </c>
      <c r="C171" s="7"/>
      <c r="D171" s="1" t="s">
        <v>405</v>
      </c>
      <c r="E171" s="1"/>
      <c r="F171" s="1"/>
      <c r="G171" s="1"/>
    </row>
    <row r="172" spans="1:9" x14ac:dyDescent="0.45">
      <c r="A172" s="13" t="s">
        <v>336</v>
      </c>
      <c r="B172" s="7">
        <v>0.14899999999999999</v>
      </c>
      <c r="C172" s="7"/>
      <c r="D172" s="6" t="s">
        <v>391</v>
      </c>
      <c r="E172" s="1"/>
      <c r="F172" s="1"/>
      <c r="G172" s="1"/>
    </row>
    <row r="173" spans="1:9" x14ac:dyDescent="0.45">
      <c r="A173" s="4" t="s">
        <v>352</v>
      </c>
      <c r="B173" s="7">
        <f>(0%+0.85%+1.65%+1.64%)/4</f>
        <v>1.035E-2</v>
      </c>
      <c r="D173" s="6" t="s">
        <v>406</v>
      </c>
      <c r="E173" s="1"/>
      <c r="F173" s="1"/>
      <c r="G173" s="1"/>
    </row>
    <row r="174" spans="1:9" ht="32" x14ac:dyDescent="0.45">
      <c r="A174" s="13" t="s">
        <v>241</v>
      </c>
      <c r="B174" s="16">
        <f>B155</f>
        <v>7.0000000000000007E-2</v>
      </c>
      <c r="C174" s="16"/>
      <c r="D174" s="1" t="s">
        <v>558</v>
      </c>
      <c r="E174" s="1"/>
      <c r="F174" s="1"/>
      <c r="G174" s="1"/>
    </row>
    <row r="175" spans="1:9" ht="32" x14ac:dyDescent="0.45">
      <c r="A175" s="13" t="s">
        <v>245</v>
      </c>
      <c r="B175" s="16">
        <v>1</v>
      </c>
      <c r="C175" s="16"/>
      <c r="D175" s="1"/>
      <c r="E175" s="1"/>
      <c r="F175" s="1"/>
      <c r="G175" s="1"/>
    </row>
    <row r="176" spans="1:9" x14ac:dyDescent="0.45">
      <c r="A176" s="42" t="s">
        <v>225</v>
      </c>
      <c r="B176" s="42"/>
      <c r="C176" s="42"/>
      <c r="D176" s="42"/>
      <c r="E176" s="42"/>
      <c r="F176" s="1"/>
      <c r="G176" s="1"/>
    </row>
    <row r="177" spans="1:7" ht="32" x14ac:dyDescent="0.45">
      <c r="A177" s="13" t="s">
        <v>227</v>
      </c>
      <c r="B177" s="24">
        <v>0.8</v>
      </c>
      <c r="C177" s="24"/>
      <c r="E177" s="1"/>
      <c r="F177" s="1"/>
      <c r="G177" s="1"/>
    </row>
    <row r="178" spans="1:7" ht="32" x14ac:dyDescent="0.45">
      <c r="A178" s="13" t="s">
        <v>228</v>
      </c>
      <c r="B178" s="24">
        <v>0.2</v>
      </c>
      <c r="C178" s="24"/>
      <c r="D178" t="s">
        <v>226</v>
      </c>
      <c r="E178" s="1"/>
      <c r="F178" s="1"/>
      <c r="G178" s="1"/>
    </row>
    <row r="179" spans="1:7" ht="32" x14ac:dyDescent="0.45">
      <c r="A179" s="13" t="s">
        <v>229</v>
      </c>
      <c r="B179" s="7">
        <v>0.65</v>
      </c>
      <c r="C179" s="7"/>
      <c r="E179" s="1"/>
      <c r="F179" s="1"/>
      <c r="G179" s="1"/>
    </row>
    <row r="180" spans="1:7" ht="32" x14ac:dyDescent="0.45">
      <c r="A180" s="13" t="s">
        <v>230</v>
      </c>
      <c r="B180" s="7">
        <v>0.35</v>
      </c>
      <c r="C180" s="7"/>
      <c r="D180" t="s">
        <v>226</v>
      </c>
      <c r="E180" s="1"/>
      <c r="F180" s="1"/>
      <c r="G180" s="1"/>
    </row>
    <row r="181" spans="1:7" ht="32" x14ac:dyDescent="0.45">
      <c r="A181" s="13" t="s">
        <v>231</v>
      </c>
      <c r="B181" s="7">
        <v>0.17499999999999999</v>
      </c>
      <c r="C181" s="7"/>
      <c r="D181" t="s">
        <v>226</v>
      </c>
      <c r="E181" s="1"/>
      <c r="F181" s="1"/>
      <c r="G181" s="1"/>
    </row>
    <row r="182" spans="1:7" ht="32" x14ac:dyDescent="0.45">
      <c r="A182" s="13" t="s">
        <v>232</v>
      </c>
      <c r="B182" s="7">
        <v>1</v>
      </c>
      <c r="C182" s="7"/>
      <c r="D182" s="6"/>
      <c r="E182" s="1"/>
      <c r="F182" s="1"/>
      <c r="G182" s="1"/>
    </row>
    <row r="183" spans="1:7" ht="32" x14ac:dyDescent="0.45">
      <c r="A183" s="2" t="s">
        <v>233</v>
      </c>
      <c r="B183" s="7">
        <f>100%-B184</f>
        <v>0.67999999999999994</v>
      </c>
      <c r="C183" s="7"/>
      <c r="E183" s="1"/>
      <c r="F183" s="1"/>
      <c r="G183" s="1"/>
    </row>
    <row r="184" spans="1:7" ht="32" x14ac:dyDescent="0.45">
      <c r="A184" s="2" t="s">
        <v>234</v>
      </c>
      <c r="B184" s="7">
        <v>0.32</v>
      </c>
      <c r="C184" s="7"/>
      <c r="D184" t="s">
        <v>226</v>
      </c>
      <c r="E184" s="1"/>
      <c r="F184" s="1"/>
      <c r="G184" s="1"/>
    </row>
    <row r="185" spans="1:7" ht="32" x14ac:dyDescent="0.45">
      <c r="A185" s="13" t="s">
        <v>235</v>
      </c>
      <c r="B185" s="7">
        <v>1</v>
      </c>
      <c r="C185" s="7"/>
      <c r="D185" s="6"/>
      <c r="E185" s="1"/>
      <c r="F185" s="1"/>
      <c r="G185" s="1"/>
    </row>
    <row r="186" spans="1:7" ht="32" x14ac:dyDescent="0.45">
      <c r="A186" s="13" t="s">
        <v>236</v>
      </c>
      <c r="B186" s="7">
        <f>100%-B187</f>
        <v>0.66999999999999993</v>
      </c>
      <c r="C186" s="7"/>
      <c r="D186" s="1"/>
      <c r="E186" s="1"/>
      <c r="F186" s="1"/>
      <c r="G186" s="1"/>
    </row>
    <row r="187" spans="1:7" ht="32" x14ac:dyDescent="0.45">
      <c r="A187" s="13" t="s">
        <v>237</v>
      </c>
      <c r="B187" s="7">
        <v>0.33</v>
      </c>
      <c r="C187" s="7"/>
      <c r="D187" t="s">
        <v>226</v>
      </c>
      <c r="E187" s="1"/>
      <c r="F187" s="1"/>
      <c r="G187" s="1"/>
    </row>
    <row r="188" spans="1:7" ht="32" x14ac:dyDescent="0.45">
      <c r="A188" s="13" t="s">
        <v>243</v>
      </c>
      <c r="B188" s="7">
        <v>0.2</v>
      </c>
      <c r="C188" s="7"/>
      <c r="D188" t="s">
        <v>226</v>
      </c>
      <c r="E188" s="1"/>
      <c r="F188" s="1"/>
      <c r="G188" s="1"/>
    </row>
    <row r="189" spans="1:7" ht="32" x14ac:dyDescent="0.45">
      <c r="A189" s="13" t="s">
        <v>244</v>
      </c>
      <c r="B189" s="7">
        <f>100%-B191</f>
        <v>0.48</v>
      </c>
      <c r="C189" s="7"/>
      <c r="D189" s="1"/>
      <c r="E189" s="1"/>
      <c r="F189" s="1"/>
      <c r="G189" s="1"/>
    </row>
    <row r="190" spans="1:7" ht="32" x14ac:dyDescent="0.45">
      <c r="A190" s="13" t="s">
        <v>321</v>
      </c>
      <c r="B190" s="7">
        <v>0.03</v>
      </c>
      <c r="C190" s="7"/>
      <c r="D190" s="6" t="s">
        <v>394</v>
      </c>
      <c r="E190" s="1"/>
      <c r="F190" s="1"/>
      <c r="G190" s="1"/>
    </row>
    <row r="191" spans="1:7" ht="32" x14ac:dyDescent="0.45">
      <c r="A191" s="13" t="s">
        <v>246</v>
      </c>
      <c r="B191" s="7">
        <v>0.52</v>
      </c>
      <c r="C191" s="7"/>
      <c r="D191" t="s">
        <v>226</v>
      </c>
      <c r="E191" s="1"/>
      <c r="F191" s="1"/>
      <c r="G191" s="1"/>
    </row>
    <row r="192" spans="1:7" ht="32" x14ac:dyDescent="0.45">
      <c r="A192" s="13" t="s">
        <v>247</v>
      </c>
      <c r="B192" s="7">
        <v>1</v>
      </c>
      <c r="C192" s="7"/>
      <c r="D192" s="1"/>
      <c r="E192" s="1"/>
      <c r="F192" s="1"/>
      <c r="G192" s="1"/>
    </row>
    <row r="193" spans="1:9" ht="32" x14ac:dyDescent="0.45">
      <c r="A193" s="13" t="s">
        <v>248</v>
      </c>
      <c r="B193" s="7">
        <v>0</v>
      </c>
      <c r="C193" s="7"/>
      <c r="D193" t="s">
        <v>226</v>
      </c>
      <c r="E193" s="1"/>
      <c r="F193" s="1"/>
      <c r="G193" s="1"/>
    </row>
    <row r="194" spans="1:9" x14ac:dyDescent="0.45">
      <c r="A194" s="42" t="s">
        <v>249</v>
      </c>
      <c r="B194" s="42"/>
      <c r="C194" s="42"/>
      <c r="D194" s="42"/>
      <c r="E194" s="42"/>
      <c r="F194" s="1"/>
      <c r="G194" s="1"/>
    </row>
    <row r="195" spans="1:9" ht="32" x14ac:dyDescent="0.45">
      <c r="A195" s="13" t="s">
        <v>250</v>
      </c>
      <c r="B195" s="7">
        <v>1</v>
      </c>
      <c r="C195" s="7"/>
      <c r="E195" s="1"/>
      <c r="F195" s="1"/>
      <c r="G195" s="1"/>
    </row>
    <row r="196" spans="1:9" ht="32" x14ac:dyDescent="0.45">
      <c r="A196" s="13" t="s">
        <v>251</v>
      </c>
      <c r="B196" s="7">
        <v>1</v>
      </c>
      <c r="C196" s="7"/>
      <c r="E196" s="1"/>
      <c r="F196" s="1"/>
      <c r="G196" s="1"/>
    </row>
    <row r="197" spans="1:9" ht="32" x14ac:dyDescent="0.45">
      <c r="A197" s="13" t="s">
        <v>302</v>
      </c>
      <c r="B197" s="7">
        <f>100%-B181</f>
        <v>0.82499999999999996</v>
      </c>
      <c r="C197" s="7"/>
      <c r="E197" s="1"/>
      <c r="F197" s="1"/>
      <c r="G197" s="1"/>
    </row>
    <row r="198" spans="1:9" ht="32" x14ac:dyDescent="0.45">
      <c r="A198" s="13" t="s">
        <v>303</v>
      </c>
      <c r="B198" s="7">
        <v>1</v>
      </c>
      <c r="C198" s="7"/>
      <c r="E198" s="1"/>
      <c r="F198" s="1"/>
      <c r="G198" s="1"/>
    </row>
    <row r="199" spans="1:9" ht="32" x14ac:dyDescent="0.45">
      <c r="A199" s="13" t="s">
        <v>339</v>
      </c>
      <c r="B199" s="7">
        <v>1</v>
      </c>
      <c r="C199" s="7"/>
      <c r="E199" s="1"/>
      <c r="F199" s="1"/>
      <c r="G199" s="1"/>
    </row>
    <row r="200" spans="1:9" ht="32" x14ac:dyDescent="0.45">
      <c r="A200" s="13" t="s">
        <v>304</v>
      </c>
      <c r="B200" s="7">
        <v>1</v>
      </c>
      <c r="C200" s="7"/>
      <c r="E200" s="1"/>
      <c r="F200" s="1"/>
      <c r="G200" s="1"/>
    </row>
    <row r="201" spans="1:9" ht="32" x14ac:dyDescent="0.45">
      <c r="A201" s="13" t="s">
        <v>305</v>
      </c>
      <c r="B201" s="7">
        <v>1</v>
      </c>
      <c r="C201" s="7"/>
      <c r="E201" s="1"/>
      <c r="F201" s="1"/>
      <c r="G201" s="1"/>
    </row>
    <row r="202" spans="1:9" ht="32" x14ac:dyDescent="0.45">
      <c r="A202" s="13" t="s">
        <v>306</v>
      </c>
      <c r="B202" s="7">
        <v>0.95</v>
      </c>
      <c r="C202" s="7"/>
      <c r="D202" t="s">
        <v>226</v>
      </c>
      <c r="E202" s="1" t="s">
        <v>537</v>
      </c>
      <c r="F202" s="1"/>
      <c r="G202" s="1"/>
    </row>
    <row r="203" spans="1:9" ht="32" x14ac:dyDescent="0.45">
      <c r="A203" s="13" t="s">
        <v>307</v>
      </c>
      <c r="B203" s="7">
        <v>1</v>
      </c>
      <c r="C203" s="7"/>
      <c r="E203" s="1"/>
      <c r="F203" s="1"/>
      <c r="G203" s="1"/>
    </row>
    <row r="204" spans="1:9" ht="32" x14ac:dyDescent="0.45">
      <c r="A204" s="13" t="s">
        <v>308</v>
      </c>
      <c r="B204" s="7">
        <v>1</v>
      </c>
      <c r="C204" s="7"/>
      <c r="D204" s="1"/>
      <c r="E204" s="1"/>
      <c r="F204" s="1"/>
      <c r="G204" s="1"/>
    </row>
    <row r="205" spans="1:9" ht="32" x14ac:dyDescent="0.45">
      <c r="A205" s="13" t="s">
        <v>309</v>
      </c>
      <c r="B205" s="7">
        <f>100%-22%</f>
        <v>0.78</v>
      </c>
      <c r="C205" s="7"/>
      <c r="D205" s="1"/>
      <c r="E205" s="1"/>
      <c r="F205" s="1"/>
      <c r="G205" s="1"/>
      <c r="I205" s="25"/>
    </row>
    <row r="206" spans="1:9" x14ac:dyDescent="0.45">
      <c r="A206" s="13" t="s">
        <v>310</v>
      </c>
      <c r="B206" s="7">
        <v>0.5</v>
      </c>
      <c r="C206" s="7"/>
      <c r="D206" s="1"/>
      <c r="E206" s="1"/>
      <c r="F206" s="1"/>
      <c r="G206" s="1"/>
      <c r="I206" s="25"/>
    </row>
    <row r="207" spans="1:9" ht="32" x14ac:dyDescent="0.45">
      <c r="A207" s="13" t="s">
        <v>311</v>
      </c>
      <c r="B207" s="7">
        <v>1</v>
      </c>
      <c r="C207" s="7"/>
      <c r="D207" s="1"/>
      <c r="E207" s="1"/>
      <c r="F207" s="1"/>
      <c r="G207" s="1"/>
      <c r="I207" s="25"/>
    </row>
    <row r="208" spans="1:9" ht="32" x14ac:dyDescent="0.45">
      <c r="A208" s="13" t="s">
        <v>325</v>
      </c>
      <c r="B208" s="7">
        <v>1</v>
      </c>
      <c r="C208" s="7"/>
      <c r="D208" s="1"/>
      <c r="E208" s="1"/>
      <c r="F208" s="1"/>
      <c r="G208" s="1"/>
      <c r="I208" s="25"/>
    </row>
    <row r="209" spans="1:9" ht="32" x14ac:dyDescent="0.45">
      <c r="A209" s="13" t="s">
        <v>312</v>
      </c>
      <c r="B209" s="7">
        <v>0.8</v>
      </c>
      <c r="C209" s="7"/>
      <c r="D209" s="1"/>
      <c r="E209" s="1"/>
      <c r="F209" s="1"/>
      <c r="G209" s="1"/>
      <c r="I209" s="25"/>
    </row>
    <row r="210" spans="1:9" ht="32" x14ac:dyDescent="0.45">
      <c r="A210" s="13" t="s">
        <v>313</v>
      </c>
      <c r="B210" s="7">
        <v>1</v>
      </c>
      <c r="C210" s="7"/>
      <c r="D210" s="1"/>
      <c r="E210" s="1"/>
      <c r="F210" s="1"/>
      <c r="G210" s="1"/>
      <c r="I210" s="25"/>
    </row>
    <row r="211" spans="1:9" ht="32" x14ac:dyDescent="0.45">
      <c r="A211" s="13" t="s">
        <v>314</v>
      </c>
      <c r="B211" s="7">
        <v>1</v>
      </c>
      <c r="C211" s="7"/>
      <c r="D211" s="1"/>
      <c r="E211" s="1"/>
      <c r="F211" s="1"/>
      <c r="G211" s="1"/>
      <c r="I211" s="25"/>
    </row>
    <row r="212" spans="1:9" x14ac:dyDescent="0.45">
      <c r="A212" s="13"/>
      <c r="B212" s="7"/>
      <c r="C212" s="7"/>
      <c r="D212" s="1"/>
      <c r="E212" s="1"/>
      <c r="F212" s="1"/>
      <c r="G212" s="1"/>
      <c r="I212" s="25"/>
    </row>
    <row r="213" spans="1:9" x14ac:dyDescent="0.45">
      <c r="A213" s="1"/>
      <c r="B213" s="7"/>
      <c r="C213" s="7"/>
      <c r="D213" s="1"/>
      <c r="E213" s="1"/>
      <c r="F213" s="1"/>
      <c r="G213" s="1"/>
    </row>
    <row r="214" spans="1:9" x14ac:dyDescent="0.45">
      <c r="A214" s="1"/>
      <c r="B214" s="10"/>
      <c r="C214" s="10"/>
      <c r="D214" s="1"/>
      <c r="E214" s="1"/>
      <c r="F214" s="1"/>
      <c r="G214" s="1"/>
    </row>
    <row r="215" spans="1:9" x14ac:dyDescent="0.45">
      <c r="A215" s="1"/>
      <c r="B215" s="1"/>
      <c r="C215" s="1"/>
      <c r="D215" s="1"/>
      <c r="E215" s="1"/>
      <c r="F215" s="1"/>
      <c r="G215" s="1"/>
    </row>
    <row r="216" spans="1:9" x14ac:dyDescent="0.45">
      <c r="A216" s="1"/>
      <c r="B216" s="1"/>
      <c r="C216" s="1"/>
    </row>
    <row r="218" spans="1:9" x14ac:dyDescent="0.45">
      <c r="A218" s="36" t="s">
        <v>358</v>
      </c>
    </row>
    <row r="219" spans="1:9" x14ac:dyDescent="0.45">
      <c r="A219" t="s">
        <v>407</v>
      </c>
    </row>
    <row r="220" spans="1:9" x14ac:dyDescent="0.45">
      <c r="A220" t="s">
        <v>408</v>
      </c>
    </row>
    <row r="221" spans="1:9" x14ac:dyDescent="0.45">
      <c r="A221" t="s">
        <v>409</v>
      </c>
    </row>
    <row r="222" spans="1:9" x14ac:dyDescent="0.45">
      <c r="A222" t="s">
        <v>410</v>
      </c>
    </row>
    <row r="223" spans="1:9" x14ac:dyDescent="0.45">
      <c r="A223" t="s">
        <v>411</v>
      </c>
    </row>
    <row r="224" spans="1:9" x14ac:dyDescent="0.45">
      <c r="A224" t="s">
        <v>360</v>
      </c>
    </row>
    <row r="225" spans="1:1" x14ac:dyDescent="0.45">
      <c r="A225" t="s">
        <v>361</v>
      </c>
    </row>
    <row r="226" spans="1:1" x14ac:dyDescent="0.45">
      <c r="A226" t="s">
        <v>412</v>
      </c>
    </row>
    <row r="227" spans="1:1" x14ac:dyDescent="0.45">
      <c r="A227" t="s">
        <v>413</v>
      </c>
    </row>
    <row r="228" spans="1:1" x14ac:dyDescent="0.45">
      <c r="A228" t="s">
        <v>414</v>
      </c>
    </row>
    <row r="229" spans="1:1" x14ac:dyDescent="0.45">
      <c r="A229" t="s">
        <v>415</v>
      </c>
    </row>
    <row r="230" spans="1:1" x14ac:dyDescent="0.45">
      <c r="A230" t="s">
        <v>416</v>
      </c>
    </row>
    <row r="231" spans="1:1" x14ac:dyDescent="0.45">
      <c r="A231" t="s">
        <v>417</v>
      </c>
    </row>
    <row r="232" spans="1:1" x14ac:dyDescent="0.45">
      <c r="A232" t="s">
        <v>418</v>
      </c>
    </row>
    <row r="233" spans="1:1" x14ac:dyDescent="0.45">
      <c r="A233" t="s">
        <v>419</v>
      </c>
    </row>
    <row r="234" spans="1:1" x14ac:dyDescent="0.45">
      <c r="A234" t="s">
        <v>420</v>
      </c>
    </row>
    <row r="235" spans="1:1" x14ac:dyDescent="0.45">
      <c r="A235" t="s">
        <v>421</v>
      </c>
    </row>
    <row r="236" spans="1:1" x14ac:dyDescent="0.45">
      <c r="A236" t="s">
        <v>422</v>
      </c>
    </row>
    <row r="237" spans="1:1" x14ac:dyDescent="0.45">
      <c r="A237" t="s">
        <v>423</v>
      </c>
    </row>
    <row r="238" spans="1:1" x14ac:dyDescent="0.45">
      <c r="A238" t="s">
        <v>424</v>
      </c>
    </row>
    <row r="239" spans="1:1" x14ac:dyDescent="0.45">
      <c r="A239" t="s">
        <v>425</v>
      </c>
    </row>
    <row r="240" spans="1:1" x14ac:dyDescent="0.45">
      <c r="A240" t="s">
        <v>426</v>
      </c>
    </row>
    <row r="241" spans="1:1" x14ac:dyDescent="0.45">
      <c r="A241" t="s">
        <v>427</v>
      </c>
    </row>
    <row r="242" spans="1:1" x14ac:dyDescent="0.45">
      <c r="A242" t="s">
        <v>428</v>
      </c>
    </row>
    <row r="243" spans="1:1" x14ac:dyDescent="0.45">
      <c r="A243" t="s">
        <v>429</v>
      </c>
    </row>
    <row r="244" spans="1:1" x14ac:dyDescent="0.45">
      <c r="A244" t="s">
        <v>430</v>
      </c>
    </row>
    <row r="245" spans="1:1" x14ac:dyDescent="0.45">
      <c r="A245" t="s">
        <v>431</v>
      </c>
    </row>
    <row r="246" spans="1:1" x14ac:dyDescent="0.45">
      <c r="A246" t="s">
        <v>432</v>
      </c>
    </row>
    <row r="247" spans="1:1" x14ac:dyDescent="0.45">
      <c r="A247" t="s">
        <v>433</v>
      </c>
    </row>
    <row r="248" spans="1:1" x14ac:dyDescent="0.45">
      <c r="A248" t="s">
        <v>434</v>
      </c>
    </row>
    <row r="249" spans="1:1" x14ac:dyDescent="0.45">
      <c r="A249" t="s">
        <v>435</v>
      </c>
    </row>
    <row r="250" spans="1:1" x14ac:dyDescent="0.45">
      <c r="A250" t="s">
        <v>436</v>
      </c>
    </row>
    <row r="251" spans="1:1" x14ac:dyDescent="0.45">
      <c r="A251" t="s">
        <v>437</v>
      </c>
    </row>
    <row r="252" spans="1:1" x14ac:dyDescent="0.45">
      <c r="A252" t="s">
        <v>438</v>
      </c>
    </row>
    <row r="253" spans="1:1" x14ac:dyDescent="0.45">
      <c r="A253" t="s">
        <v>439</v>
      </c>
    </row>
    <row r="254" spans="1:1" x14ac:dyDescent="0.45">
      <c r="A254" t="s">
        <v>440</v>
      </c>
    </row>
    <row r="255" spans="1:1" x14ac:dyDescent="0.45">
      <c r="A255" t="s">
        <v>441</v>
      </c>
    </row>
    <row r="256" spans="1:1" x14ac:dyDescent="0.45">
      <c r="A256" t="s">
        <v>442</v>
      </c>
    </row>
    <row r="257" spans="1:1" x14ac:dyDescent="0.45">
      <c r="A257" t="s">
        <v>443</v>
      </c>
    </row>
    <row r="258" spans="1:1" x14ac:dyDescent="0.45">
      <c r="A258" t="s">
        <v>444</v>
      </c>
    </row>
    <row r="259" spans="1:1" x14ac:dyDescent="0.45">
      <c r="A259" t="s">
        <v>445</v>
      </c>
    </row>
    <row r="260" spans="1:1" x14ac:dyDescent="0.45">
      <c r="A260" t="s">
        <v>446</v>
      </c>
    </row>
    <row r="261" spans="1:1" x14ac:dyDescent="0.45">
      <c r="A261" t="s">
        <v>447</v>
      </c>
    </row>
    <row r="262" spans="1:1" x14ac:dyDescent="0.45">
      <c r="A262" t="s">
        <v>448</v>
      </c>
    </row>
    <row r="263" spans="1:1" x14ac:dyDescent="0.45">
      <c r="A263" t="s">
        <v>449</v>
      </c>
    </row>
    <row r="264" spans="1:1" x14ac:dyDescent="0.45">
      <c r="A264" t="s">
        <v>450</v>
      </c>
    </row>
    <row r="265" spans="1:1" x14ac:dyDescent="0.45">
      <c r="A265" t="s">
        <v>451</v>
      </c>
    </row>
    <row r="266" spans="1:1" x14ac:dyDescent="0.45">
      <c r="A266" t="s">
        <v>452</v>
      </c>
    </row>
    <row r="267" spans="1:1" x14ac:dyDescent="0.45">
      <c r="A267" t="s">
        <v>453</v>
      </c>
    </row>
    <row r="268" spans="1:1" x14ac:dyDescent="0.45">
      <c r="A268" t="s">
        <v>454</v>
      </c>
    </row>
    <row r="269" spans="1:1" x14ac:dyDescent="0.45">
      <c r="A269" t="s">
        <v>455</v>
      </c>
    </row>
    <row r="270" spans="1:1" x14ac:dyDescent="0.45">
      <c r="A270" t="s">
        <v>456</v>
      </c>
    </row>
    <row r="271" spans="1:1" x14ac:dyDescent="0.45">
      <c r="A271" t="s">
        <v>457</v>
      </c>
    </row>
    <row r="272" spans="1:1" x14ac:dyDescent="0.45">
      <c r="A272" t="s">
        <v>458</v>
      </c>
    </row>
    <row r="273" spans="1:1" x14ac:dyDescent="0.45">
      <c r="A273" t="s">
        <v>459</v>
      </c>
    </row>
    <row r="274" spans="1:1" x14ac:dyDescent="0.45">
      <c r="A274" t="s">
        <v>460</v>
      </c>
    </row>
    <row r="275" spans="1:1" x14ac:dyDescent="0.45">
      <c r="A275" t="s">
        <v>461</v>
      </c>
    </row>
    <row r="276" spans="1:1" x14ac:dyDescent="0.45">
      <c r="A276" t="s">
        <v>364</v>
      </c>
    </row>
    <row r="277" spans="1:1" x14ac:dyDescent="0.45">
      <c r="A277" t="s">
        <v>462</v>
      </c>
    </row>
    <row r="278" spans="1:1" x14ac:dyDescent="0.45">
      <c r="A278" t="s">
        <v>359</v>
      </c>
    </row>
    <row r="279" spans="1:1" x14ac:dyDescent="0.45">
      <c r="A279" t="s">
        <v>463</v>
      </c>
    </row>
    <row r="280" spans="1:1" x14ac:dyDescent="0.45">
      <c r="A280" t="s">
        <v>464</v>
      </c>
    </row>
    <row r="281" spans="1:1" x14ac:dyDescent="0.45">
      <c r="A281" t="s">
        <v>465</v>
      </c>
    </row>
    <row r="282" spans="1:1" x14ac:dyDescent="0.45">
      <c r="A282" t="s">
        <v>466</v>
      </c>
    </row>
    <row r="283" spans="1:1" x14ac:dyDescent="0.45">
      <c r="A283" t="s">
        <v>467</v>
      </c>
    </row>
    <row r="284" spans="1:1" x14ac:dyDescent="0.45">
      <c r="A284" t="s">
        <v>468</v>
      </c>
    </row>
    <row r="285" spans="1:1" x14ac:dyDescent="0.45">
      <c r="A285" t="s">
        <v>469</v>
      </c>
    </row>
    <row r="286" spans="1:1" x14ac:dyDescent="0.45">
      <c r="A286" t="s">
        <v>470</v>
      </c>
    </row>
    <row r="287" spans="1:1" x14ac:dyDescent="0.45">
      <c r="A287" t="s">
        <v>471</v>
      </c>
    </row>
    <row r="288" spans="1:1" x14ac:dyDescent="0.45">
      <c r="A288" t="s">
        <v>472</v>
      </c>
    </row>
    <row r="289" spans="1:1" x14ac:dyDescent="0.45">
      <c r="A289" t="s">
        <v>473</v>
      </c>
    </row>
    <row r="290" spans="1:1" x14ac:dyDescent="0.45">
      <c r="A290" t="s">
        <v>474</v>
      </c>
    </row>
    <row r="291" spans="1:1" x14ac:dyDescent="0.45">
      <c r="A291" t="s">
        <v>475</v>
      </c>
    </row>
  </sheetData>
  <sortState ref="A202:A204">
    <sortCondition ref="A202:A204"/>
  </sortState>
  <mergeCells count="8">
    <mergeCell ref="A5:E5"/>
    <mergeCell ref="A176:E176"/>
    <mergeCell ref="A194:E194"/>
    <mergeCell ref="A7:E7"/>
    <mergeCell ref="A16:E16"/>
    <mergeCell ref="A109:E109"/>
    <mergeCell ref="A117:E117"/>
    <mergeCell ref="A136:E136"/>
  </mergeCells>
  <hyperlinks>
    <hyperlink ref="D18" r:id="rId1" display="https://www.cmu.edu/me/ddl/publications/2009-TRB-Shiau-Samaras-Michalek-PHEV.pdf"/>
    <hyperlink ref="D19" r:id="rId2" display="https://publications.anl.gov/anlpubs/2006/12/58024.pdf"/>
    <hyperlink ref="D153" r:id="rId3" display="https://link.springer.com/article/10.1007/s12649-019-00783-x"/>
    <hyperlink ref="D148" r:id="rId4" display="https://www.borax.com/news-events/october-2019/borates-in-glass-manufacturing"/>
    <hyperlink ref="D160" r:id="rId5" display="https://www.sciencedirect.com/science/article/pii/S2405844019347012, (Engels et al. 2022)"/>
  </hyperlinks>
  <pageMargins left="0.7" right="0.7" top="0.78740157499999996" bottom="0.78740157499999996" header="0.3" footer="0.3"/>
  <pageSetup paperSize="9"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8"/>
  <sheetViews>
    <sheetView topLeftCell="E1" workbookViewId="0">
      <selection activeCell="T24" sqref="T24"/>
    </sheetView>
  </sheetViews>
  <sheetFormatPr baseColWidth="10" defaultRowHeight="16" x14ac:dyDescent="0.45"/>
  <cols>
    <col min="1" max="1" width="19.1796875" customWidth="1"/>
    <col min="2" max="2" width="29.453125" customWidth="1"/>
    <col min="3" max="3" width="4.7265625" customWidth="1"/>
    <col min="4" max="4" width="24.54296875" customWidth="1"/>
    <col min="5" max="5" width="22.453125" style="3" customWidth="1"/>
    <col min="6" max="6" width="4.7265625" customWidth="1"/>
    <col min="7" max="7" width="19" customWidth="1"/>
    <col min="8" max="8" width="22.26953125" customWidth="1"/>
    <col min="9" max="9" width="3.7265625" customWidth="1"/>
    <col min="10" max="10" width="17.453125" customWidth="1"/>
    <col min="11" max="11" width="22.26953125" customWidth="1"/>
    <col min="12" max="12" width="4.7265625" customWidth="1"/>
    <col min="13" max="13" width="17.453125" customWidth="1"/>
    <col min="14" max="14" width="18.7265625" customWidth="1"/>
    <col min="15" max="15" width="5.7265625" customWidth="1"/>
    <col min="16" max="16" width="17.7265625" customWidth="1"/>
    <col min="17" max="17" width="21" customWidth="1"/>
    <col min="18" max="18" width="4.81640625" customWidth="1"/>
    <col min="19" max="19" width="16.453125" customWidth="1"/>
    <col min="20" max="20" width="16.26953125" customWidth="1"/>
  </cols>
  <sheetData>
    <row r="1" spans="1:20" x14ac:dyDescent="0.45">
      <c r="A1" t="s">
        <v>110</v>
      </c>
    </row>
    <row r="3" spans="1:20" x14ac:dyDescent="0.45">
      <c r="A3" s="11" t="s">
        <v>5</v>
      </c>
      <c r="B3" s="11" t="s">
        <v>109</v>
      </c>
      <c r="D3" s="11" t="s">
        <v>5</v>
      </c>
      <c r="E3" s="20" t="s">
        <v>109</v>
      </c>
      <c r="G3" s="11" t="s">
        <v>5</v>
      </c>
      <c r="H3" s="20" t="s">
        <v>109</v>
      </c>
      <c r="J3" s="11" t="s">
        <v>5</v>
      </c>
      <c r="K3" s="20" t="s">
        <v>109</v>
      </c>
      <c r="M3" s="11" t="s">
        <v>5</v>
      </c>
      <c r="N3" s="20" t="s">
        <v>109</v>
      </c>
      <c r="P3" s="11" t="s">
        <v>5</v>
      </c>
      <c r="Q3" s="20" t="s">
        <v>109</v>
      </c>
      <c r="S3" s="11" t="s">
        <v>5</v>
      </c>
      <c r="T3" s="20" t="s">
        <v>109</v>
      </c>
    </row>
    <row r="4" spans="1:20" ht="14.25" customHeight="1" x14ac:dyDescent="0.45">
      <c r="A4" s="41" t="s">
        <v>7</v>
      </c>
      <c r="B4" s="41"/>
      <c r="C4" s="8"/>
      <c r="D4" s="41" t="s">
        <v>8</v>
      </c>
      <c r="E4" s="41"/>
      <c r="G4" s="41" t="s">
        <v>79</v>
      </c>
      <c r="H4" s="41"/>
      <c r="J4" s="41" t="s">
        <v>99</v>
      </c>
      <c r="K4" s="41"/>
      <c r="M4" s="41" t="s">
        <v>100</v>
      </c>
      <c r="N4" s="41"/>
      <c r="P4" s="41" t="s">
        <v>225</v>
      </c>
      <c r="Q4" s="41"/>
      <c r="S4" s="41" t="s">
        <v>249</v>
      </c>
      <c r="T4" s="41"/>
    </row>
    <row r="5" spans="1:20" ht="64" x14ac:dyDescent="0.45">
      <c r="A5" s="4" t="s">
        <v>13</v>
      </c>
      <c r="B5" s="29">
        <f>SUM([1]Sheet1!$C$2:$IC$2)</f>
        <v>39558382</v>
      </c>
      <c r="C5" s="1"/>
      <c r="D5" s="13" t="s">
        <v>9</v>
      </c>
      <c r="E5" s="3">
        <f>B5*'Weight%'!B17</f>
        <v>8790751.555555556</v>
      </c>
      <c r="G5" s="13" t="s">
        <v>298</v>
      </c>
      <c r="H5" s="33">
        <f>(E5+E6+E7+E8+E9)*'Weight%'!B110</f>
        <v>7766105.3808302768</v>
      </c>
      <c r="J5" s="13" t="s">
        <v>295</v>
      </c>
      <c r="K5" s="3">
        <f>H6*'Weight%'!B127</f>
        <v>2709585.105678184</v>
      </c>
      <c r="L5" s="3"/>
      <c r="M5" s="2" t="s">
        <v>348</v>
      </c>
      <c r="N5" s="3">
        <f>(E10+E11+E12+E13+E14+E15)*'Weight%'!B137</f>
        <v>95358.448261583151</v>
      </c>
      <c r="P5" s="13" t="s">
        <v>227</v>
      </c>
      <c r="Q5" s="3">
        <f>(N5+N6)*'Weight%'!B177</f>
        <v>130878.24605609976</v>
      </c>
      <c r="S5" t="s">
        <v>252</v>
      </c>
      <c r="T5" s="3">
        <f>Q5*'Weight%'!B195</f>
        <v>130878.24605609976</v>
      </c>
    </row>
    <row r="6" spans="1:20" ht="48" x14ac:dyDescent="0.45">
      <c r="A6" s="4" t="s">
        <v>14</v>
      </c>
      <c r="B6" s="29">
        <f>SUM([2]Sheet1!$D$2:$ID$2)</f>
        <v>33180014</v>
      </c>
      <c r="C6" s="1"/>
      <c r="D6" s="13" t="s">
        <v>10</v>
      </c>
      <c r="E6" s="3">
        <f>B6*'Weight%'!B18</f>
        <v>2903251.2249999996</v>
      </c>
      <c r="G6" s="13" t="s">
        <v>299</v>
      </c>
      <c r="H6" s="33">
        <f>(E5+E6+E7+E8+E9)*'Weight%'!B111</f>
        <v>4659663.2284981664</v>
      </c>
      <c r="J6" s="13" t="s">
        <v>142</v>
      </c>
      <c r="K6" s="3">
        <f>H5*'Weight%'!B128</f>
        <v>1152352.2863229061</v>
      </c>
      <c r="M6" s="2" t="s">
        <v>322</v>
      </c>
      <c r="N6" s="3">
        <f>(E40+E41+E42+E43+E44+E45+E46+E47)*'Weight%'!B138</f>
        <v>68239.35930854152</v>
      </c>
      <c r="P6" s="13" t="s">
        <v>228</v>
      </c>
      <c r="Q6" s="3">
        <f>(N5+N6)*'Weight%'!B178</f>
        <v>32719.561514024939</v>
      </c>
      <c r="S6" t="s">
        <v>253</v>
      </c>
      <c r="T6" s="3">
        <f>Q7*'Weight%'!B196</f>
        <v>52604928.3922031</v>
      </c>
    </row>
    <row r="7" spans="1:20" ht="48" x14ac:dyDescent="0.45">
      <c r="A7" s="4" t="s">
        <v>15</v>
      </c>
      <c r="B7" s="29">
        <f>SUM([3]Sheet1!$D$2:$ID$2)</f>
        <v>55703962</v>
      </c>
      <c r="C7" s="1"/>
      <c r="D7" s="13" t="s">
        <v>86</v>
      </c>
      <c r="E7" s="3">
        <f>B7*'Weight%'!B19</f>
        <v>668051.07451957301</v>
      </c>
      <c r="G7" s="13" t="s">
        <v>341</v>
      </c>
      <c r="H7" s="33">
        <f>H5+H6</f>
        <v>12425768.609328443</v>
      </c>
      <c r="J7" s="13" t="s">
        <v>343</v>
      </c>
      <c r="K7" s="3">
        <f>K5+K6</f>
        <v>3861937.3920010901</v>
      </c>
      <c r="M7" s="2" t="s">
        <v>148</v>
      </c>
      <c r="N7" s="3">
        <f>(K5+K6+K8+K11+K12+K13+K14+K15)*'Weight%'!B139</f>
        <v>76402474.67039153</v>
      </c>
      <c r="P7" s="13" t="s">
        <v>229</v>
      </c>
      <c r="Q7" s="3">
        <f>(N7+N8+N9+N10)*'Weight%'!B179</f>
        <v>52604928.3922031</v>
      </c>
      <c r="S7" t="s">
        <v>254</v>
      </c>
      <c r="T7" s="3">
        <f>(N11+N12)*'Weight%'!B198</f>
        <v>125846.38654970503</v>
      </c>
    </row>
    <row r="8" spans="1:20" ht="48" x14ac:dyDescent="0.45">
      <c r="A8" s="4" t="s">
        <v>16</v>
      </c>
      <c r="B8" s="29">
        <f>SUM([4]Sheet1!$D$2:$ID$2)</f>
        <v>318185624</v>
      </c>
      <c r="C8" s="1"/>
      <c r="D8" s="13" t="s">
        <v>12</v>
      </c>
      <c r="E8" s="3">
        <f>B9*'Weight%'!B20</f>
        <v>61942.659898477155</v>
      </c>
      <c r="G8" s="13" t="s">
        <v>300</v>
      </c>
      <c r="H8" s="33">
        <f>(E10+E11+E12+E13+E14+E15)*'Weight%'!B112</f>
        <v>3242187.2408938273</v>
      </c>
      <c r="J8" s="13" t="s">
        <v>143</v>
      </c>
      <c r="K8" s="3">
        <f>(E16+E17+E18+E19+E20+E21+E22+E23)*'Weight%'!B123</f>
        <v>23682005.755462125</v>
      </c>
      <c r="M8" s="2" t="s">
        <v>149</v>
      </c>
      <c r="N8" s="3">
        <f>K16*'Weight%'!B139</f>
        <v>981921.36999003496</v>
      </c>
      <c r="P8" s="13" t="s">
        <v>230</v>
      </c>
      <c r="Q8" s="3">
        <f>(N7+N8+N9+N10)*'Weight%'!B180</f>
        <v>28325730.672724746</v>
      </c>
      <c r="S8" t="s">
        <v>255</v>
      </c>
      <c r="T8" s="3">
        <f>N13*'Weight%'!B197</f>
        <v>110793.423773348</v>
      </c>
    </row>
    <row r="9" spans="1:20" ht="64" x14ac:dyDescent="0.45">
      <c r="A9" s="4" t="s">
        <v>17</v>
      </c>
      <c r="B9" s="29">
        <f>SUM([5]Sheet1!$C$2:$IC$2)</f>
        <v>451952</v>
      </c>
      <c r="C9" s="1"/>
      <c r="D9" s="13" t="s">
        <v>19</v>
      </c>
      <c r="E9" s="3">
        <f>B10*'Weight%'!B21</f>
        <v>1772.0943548387097</v>
      </c>
      <c r="G9" s="13" t="s">
        <v>301</v>
      </c>
      <c r="H9" s="33">
        <f>(E10+E11+E12+E13+E14+E15)*'Weight%'!B113</f>
        <v>1525735.1721853304</v>
      </c>
      <c r="J9" s="13" t="s">
        <v>144</v>
      </c>
      <c r="K9" s="3">
        <f>(E56+E57+E58+E59+E60+E61+E62+E63)*'Weight%'!B125</f>
        <v>14509472.619884869</v>
      </c>
      <c r="M9" s="2" t="s">
        <v>150</v>
      </c>
      <c r="N9" s="3">
        <f>H13*'Weight%'!B140</f>
        <v>2181475.8383754552</v>
      </c>
      <c r="P9" s="13" t="s">
        <v>231</v>
      </c>
      <c r="Q9" s="3">
        <f>N13*'Weight%'!B181</f>
        <v>23501.635345861698</v>
      </c>
      <c r="S9" t="s">
        <v>256</v>
      </c>
      <c r="T9" s="3">
        <f>Q10*'Weight%'!B199</f>
        <v>752063.91634140734</v>
      </c>
    </row>
    <row r="10" spans="1:20" ht="32" x14ac:dyDescent="0.45">
      <c r="A10" s="4" t="s">
        <v>18</v>
      </c>
      <c r="B10" s="29">
        <f>SUM([6]Sheet1!$D$2:$ID$2)</f>
        <v>286617</v>
      </c>
      <c r="C10" s="1"/>
      <c r="D10" s="13" t="s">
        <v>140</v>
      </c>
      <c r="E10" s="3">
        <f>B6*'Weight%'!B97</f>
        <v>260953.1350177936</v>
      </c>
      <c r="G10" s="13" t="s">
        <v>342</v>
      </c>
      <c r="H10" s="33">
        <f>H8+H9</f>
        <v>4767922.4130791575</v>
      </c>
      <c r="J10" s="13" t="s">
        <v>146</v>
      </c>
      <c r="K10" s="3">
        <f>(E64+E66+E68+E70+E72+E73+E74+E75)*'Weight%'!B126</f>
        <v>8959898.304494027</v>
      </c>
      <c r="M10" s="2" t="s">
        <v>317</v>
      </c>
      <c r="N10" s="3">
        <f>(E40+E41+E42+E43+E44+E45+E46+E47)*'Weight%'!B141</f>
        <v>1364787.1861708304</v>
      </c>
      <c r="P10" s="13" t="s">
        <v>232</v>
      </c>
      <c r="Q10" s="3">
        <f>(N14+N15)*'Weight%'!B182</f>
        <v>752063.91634140734</v>
      </c>
      <c r="S10" t="s">
        <v>262</v>
      </c>
      <c r="T10" s="3">
        <f>Q11*'Weight%'!B200</f>
        <v>607163.30810564756</v>
      </c>
    </row>
    <row r="11" spans="1:20" ht="64" x14ac:dyDescent="0.45">
      <c r="A11" s="4" t="s">
        <v>24</v>
      </c>
      <c r="B11" s="29">
        <f>SUM([7]Sheet1!$D$2:$ID$2)</f>
        <v>8031226</v>
      </c>
      <c r="C11" s="1"/>
      <c r="D11" s="13" t="s">
        <v>141</v>
      </c>
      <c r="E11" s="3">
        <f>B7*'Weight%'!B97</f>
        <v>438098.77587188617</v>
      </c>
      <c r="G11" s="13" t="s">
        <v>340</v>
      </c>
      <c r="H11" s="3">
        <f>(E84+E85+E86+E87+E88+E89)*'Weight%'!B114</f>
        <v>95348167.01792708</v>
      </c>
      <c r="J11" s="13" t="s">
        <v>285</v>
      </c>
      <c r="K11" s="3">
        <f>K9+K10</f>
        <v>23469370.924378894</v>
      </c>
      <c r="M11" s="2" t="s">
        <v>286</v>
      </c>
      <c r="N11" s="3">
        <f>(E56+E57+E58+E59)*'Weight%'!B142+(E60+E61+E62)*'Weight%'!B143+E63*'Weight%'!B144</f>
        <v>13665.743818105229</v>
      </c>
      <c r="P11" s="2" t="s">
        <v>233</v>
      </c>
      <c r="Q11" s="3">
        <f>(N16+N17+N18)*'Weight%'!B183</f>
        <v>607163.30810564756</v>
      </c>
      <c r="S11" t="s">
        <v>257</v>
      </c>
      <c r="T11" s="3">
        <f>Q13*'Weight%'!B201</f>
        <v>7335.8843237322099</v>
      </c>
    </row>
    <row r="12" spans="1:20" ht="48" x14ac:dyDescent="0.45">
      <c r="A12" s="4" t="s">
        <v>25</v>
      </c>
      <c r="B12" s="29">
        <f>SUM([8]Sheet1!$D$2:$ID$2)</f>
        <v>78750830</v>
      </c>
      <c r="C12" s="1"/>
      <c r="D12" s="13" t="s">
        <v>82</v>
      </c>
      <c r="E12" s="3">
        <f>B8*'Weight%'!B96</f>
        <v>3439844.5837837839</v>
      </c>
      <c r="G12" s="13" t="s">
        <v>284</v>
      </c>
      <c r="H12" s="3">
        <f>(E24+E25+E26+E27+E28+E29+E30+E31)*'Weight%'!B115</f>
        <v>14180353.160481274</v>
      </c>
      <c r="J12" s="13" t="s">
        <v>145</v>
      </c>
      <c r="K12" s="3">
        <f>(E90+E91+E92+E93+E94)*'Weight%'!B124</f>
        <v>1640896.4961290087</v>
      </c>
      <c r="M12" s="2" t="s">
        <v>184</v>
      </c>
      <c r="N12" s="3">
        <f>(E16+E17+E18+E19+E20+E21+E22+E23)*'Weight%'!B145</f>
        <v>112180.6427315998</v>
      </c>
      <c r="P12" s="2" t="s">
        <v>234</v>
      </c>
      <c r="Q12" s="3">
        <f>(N16+N17+N18)*'Weight%'!B184</f>
        <v>285723.90969677537</v>
      </c>
      <c r="S12" s="13" t="s">
        <v>266</v>
      </c>
      <c r="T12" s="3">
        <f>(N20+N21)*'Weight%'!B202</f>
        <v>62492.229843177607</v>
      </c>
    </row>
    <row r="13" spans="1:20" ht="48" x14ac:dyDescent="0.45">
      <c r="A13" s="4" t="s">
        <v>329</v>
      </c>
      <c r="B13" s="34">
        <f>SUM(B5:B12)</f>
        <v>534148607</v>
      </c>
      <c r="D13" s="13" t="s">
        <v>87</v>
      </c>
      <c r="E13" s="3">
        <f>B10*'Weight%'!B99</f>
        <v>2254.1764056939505</v>
      </c>
      <c r="G13" s="13" t="s">
        <v>108</v>
      </c>
      <c r="H13" s="3">
        <f>(E48+E49+E50+E51+E52+E53+E54+E55)*'Weight%'!B116</f>
        <v>2181475.8383754552</v>
      </c>
      <c r="J13" s="13" t="s">
        <v>220</v>
      </c>
      <c r="K13" s="3">
        <f>(E95+E96+E97+E98+E99+E100+E101+E102)*'Weight%'!B132</f>
        <v>2397216.2765962183</v>
      </c>
      <c r="M13" s="2" t="s">
        <v>185</v>
      </c>
      <c r="N13" s="3">
        <f>(E40+E41+E42+E43+E44+E45+E46+E47)*'Weight%'!B146</f>
        <v>134295.05911920971</v>
      </c>
      <c r="P13" s="13" t="s">
        <v>235</v>
      </c>
      <c r="Q13" s="3">
        <f>N19*'Weight%'!B185</f>
        <v>7335.8843237322099</v>
      </c>
      <c r="S13" t="s">
        <v>260</v>
      </c>
      <c r="T13" s="3">
        <f>N22*'Weight%'!B203</f>
        <v>869803.80265299114</v>
      </c>
    </row>
    <row r="14" spans="1:20" ht="64" x14ac:dyDescent="0.45">
      <c r="A14" s="4"/>
      <c r="B14" s="29"/>
      <c r="D14" s="13" t="s">
        <v>84</v>
      </c>
      <c r="E14" s="3">
        <f>B11*'Weight%'!B98</f>
        <v>36140.517</v>
      </c>
      <c r="J14" s="13" t="s">
        <v>214</v>
      </c>
      <c r="K14" s="3">
        <f>H11*'Weight%'!B129</f>
        <v>28604450.105378125</v>
      </c>
      <c r="M14" s="2" t="s">
        <v>206</v>
      </c>
      <c r="N14" s="3">
        <f>(E111+E112+E113+E114+E115+E116+E117+E118)*'Weight%'!B147</f>
        <v>551057.41029158526</v>
      </c>
      <c r="P14" s="13" t="s">
        <v>236</v>
      </c>
      <c r="Q14" s="3">
        <f>(N23+N24+N25+N26)*'Weight%'!B186</f>
        <v>1749693.0454042938</v>
      </c>
      <c r="S14" s="2" t="s">
        <v>258</v>
      </c>
      <c r="T14" s="3">
        <f>Q14*'Weight%'!B204</f>
        <v>1749693.0454042938</v>
      </c>
    </row>
    <row r="15" spans="1:20" ht="64" x14ac:dyDescent="0.45">
      <c r="A15" s="4"/>
      <c r="B15" s="29"/>
      <c r="D15" s="13" t="s">
        <v>85</v>
      </c>
      <c r="E15" s="3">
        <f>B12*'Weight%'!B100</f>
        <v>590631.22499999998</v>
      </c>
      <c r="J15" s="13" t="s">
        <v>292</v>
      </c>
      <c r="K15" s="3">
        <f>(E103+E104+E105+E106+E110)*'Weight%'!B130+(E107+E108+E109)*'Weight%'!B131</f>
        <v>1369913.3752248588</v>
      </c>
      <c r="M15" s="2" t="s">
        <v>207</v>
      </c>
      <c r="N15" s="3">
        <f>H12*'Weight%'!B148</f>
        <v>201006.50604982206</v>
      </c>
      <c r="P15" s="13" t="s">
        <v>237</v>
      </c>
      <c r="Q15" s="3">
        <f>(N23+N24+N25+N26)*'Weight%'!B187</f>
        <v>861789.11191554787</v>
      </c>
      <c r="S15" s="13" t="s">
        <v>355</v>
      </c>
      <c r="T15" s="3">
        <f>(H5+H6)*'Weight%'!B160</f>
        <v>1988122.9774925509</v>
      </c>
    </row>
    <row r="16" spans="1:20" ht="64" x14ac:dyDescent="0.45">
      <c r="A16" s="4"/>
      <c r="B16" s="3"/>
      <c r="D16" s="13" t="s">
        <v>113</v>
      </c>
      <c r="E16" s="3">
        <f>B5*'Weight%'!B31</f>
        <v>8068088.4209209215</v>
      </c>
      <c r="J16" s="13" t="s">
        <v>147</v>
      </c>
      <c r="K16" s="3">
        <f>H5*'Weight%'!B133</f>
        <v>1092747.8577199972</v>
      </c>
      <c r="M16" s="2" t="s">
        <v>354</v>
      </c>
      <c r="N16" s="3">
        <f>(H5+H6)*'Weight%'!B149</f>
        <v>869803.80265299114</v>
      </c>
      <c r="P16" s="13" t="s">
        <v>243</v>
      </c>
      <c r="Q16" s="3">
        <f>N33*'Weight%'!B188</f>
        <v>6455.4433905880287</v>
      </c>
      <c r="S16" s="13" t="s">
        <v>218</v>
      </c>
      <c r="T16" s="3">
        <f>(E65+E67+E69+E71+E72+E73+E74+E75)*'Weight%'!B161</f>
        <v>3034484.3926801663</v>
      </c>
    </row>
    <row r="17" spans="4:20" ht="48" x14ac:dyDescent="0.45">
      <c r="D17" s="13" t="s">
        <v>111</v>
      </c>
      <c r="E17" s="3">
        <f>B6*'Weight%'!B29</f>
        <v>7362113.8010621332</v>
      </c>
      <c r="J17" s="2" t="s">
        <v>346</v>
      </c>
      <c r="K17" s="3">
        <f>(E16+E17+E18+E19+E20+E21+E22+E23)*'Weight%'!B118</f>
        <v>77053.410257102674</v>
      </c>
      <c r="M17" s="2" t="s">
        <v>287</v>
      </c>
      <c r="N17" s="3">
        <f>(E65+E67+E69+E71+E72+E73+E74+E75)*'Weight%'!B150</f>
        <v>21927.613995575306</v>
      </c>
      <c r="P17" s="13" t="s">
        <v>244</v>
      </c>
      <c r="Q17" s="3">
        <f>(N34+N35+N36+N37)*'Weight%'!B189</f>
        <v>12394781.675274707</v>
      </c>
      <c r="S17" s="13" t="s">
        <v>288</v>
      </c>
      <c r="T17" s="3">
        <f>(E103+E104+E105+E106+E107+E108+E109+E110)*'Weight%'!B162</f>
        <v>198202.58714077872</v>
      </c>
    </row>
    <row r="18" spans="4:20" ht="48" x14ac:dyDescent="0.45">
      <c r="D18" s="13" t="s">
        <v>112</v>
      </c>
      <c r="E18" s="3">
        <f>B7*'Weight%'!B30</f>
        <v>13786822.978708504</v>
      </c>
      <c r="J18" s="2" t="s">
        <v>347</v>
      </c>
      <c r="K18" s="3">
        <f>(E56+E57+E58+E59+E60+E61+E62+E63)*'Weight%'!B119</f>
        <v>108393.09194382475</v>
      </c>
      <c r="M18" s="13" t="s">
        <v>315</v>
      </c>
      <c r="N18" s="3">
        <f>K17*'Weight%'!B151</f>
        <v>1155.8011538565402</v>
      </c>
      <c r="P18" s="13" t="s">
        <v>323</v>
      </c>
      <c r="Q18" s="3">
        <f>(E40+E41+E42+E43+E44+E45+E46+E47)*'Weight%'!B190</f>
        <v>511795.1948140614</v>
      </c>
      <c r="S18" t="s">
        <v>259</v>
      </c>
      <c r="T18" s="3">
        <f>N27*'Weight%'!B205</f>
        <v>1355652.0087885738</v>
      </c>
    </row>
    <row r="19" spans="4:20" ht="64" x14ac:dyDescent="0.45">
      <c r="D19" s="13" t="s">
        <v>20</v>
      </c>
      <c r="E19" s="3">
        <f>B8*'Weight%'!B28</f>
        <v>77874259.327327326</v>
      </c>
      <c r="J19" s="2" t="s">
        <v>103</v>
      </c>
      <c r="K19" s="3">
        <f>(E90+E91+E92+E93+E94)*'Weight%'!B120</f>
        <v>119829.76874351276</v>
      </c>
      <c r="M19" s="2" t="s">
        <v>210</v>
      </c>
      <c r="N19" s="3">
        <f>(E103*(44/(44+53))+E104*(44/(44+53))+E105*(44/(44+53))+E106*(44/(44+53))+E107*(2/3)+E108*(2/3)+E109*(2/3)+E110*(2/3))*'Weight%'!B152</f>
        <v>7335.8843237322099</v>
      </c>
      <c r="P19" s="13" t="s">
        <v>246</v>
      </c>
      <c r="Q19" s="3">
        <f>(N34+N35+N36+N37)*'Weight%'!B191</f>
        <v>13427680.148214266</v>
      </c>
      <c r="S19" t="s">
        <v>261</v>
      </c>
      <c r="T19" s="3">
        <f>(N28+N29)*'Weight%'!B206</f>
        <v>16145.946989751947</v>
      </c>
    </row>
    <row r="20" spans="4:20" ht="48" x14ac:dyDescent="0.45">
      <c r="D20" s="13" t="s">
        <v>22</v>
      </c>
      <c r="E20" s="3">
        <f>B9*'Weight%'!B33</f>
        <v>202138.13160381079</v>
      </c>
      <c r="J20" s="2" t="s">
        <v>330</v>
      </c>
      <c r="K20" s="3">
        <f>H11*'Weight%'!B121</f>
        <v>90111.615880729718</v>
      </c>
      <c r="M20" s="13" t="s">
        <v>212</v>
      </c>
      <c r="N20" s="3">
        <f>(E96+E97+E98+E100+E101+E102)*'Weight%'!B153</f>
        <v>42665.271494635097</v>
      </c>
      <c r="P20" s="13" t="s">
        <v>247</v>
      </c>
      <c r="Q20" s="3">
        <f>(N38+N39)*'Weight%'!B192</f>
        <v>651129.3962088814</v>
      </c>
      <c r="S20" s="13" t="s">
        <v>267</v>
      </c>
      <c r="T20" s="3">
        <f>N30*'Weight%'!B207</f>
        <v>250967.63084983637</v>
      </c>
    </row>
    <row r="21" spans="4:20" ht="48" x14ac:dyDescent="0.45">
      <c r="D21" s="13" t="s">
        <v>23</v>
      </c>
      <c r="E21" s="3">
        <f>B10*'Weight%'!B34</f>
        <v>114036.61685731748</v>
      </c>
      <c r="J21" s="2" t="s">
        <v>331</v>
      </c>
      <c r="K21" s="3">
        <f>(E103+E104+E105+E106+E107+E108+E109+E110)*'Weight%'!B122</f>
        <v>340389.72212302499</v>
      </c>
      <c r="M21" s="13" t="s">
        <v>211</v>
      </c>
      <c r="N21" s="3">
        <f>K17*'Weight%'!B154</f>
        <v>23116.023077130802</v>
      </c>
      <c r="S21" s="13" t="s">
        <v>324</v>
      </c>
      <c r="T21" s="3">
        <f>(N31+N32)*'Weight%'!B208</f>
        <v>2893599.4818700887</v>
      </c>
    </row>
    <row r="22" spans="4:20" ht="48" x14ac:dyDescent="0.45">
      <c r="D22" s="13" t="s">
        <v>26</v>
      </c>
      <c r="E22" s="3">
        <f>B11*'Weight%'!B32</f>
        <v>3548088.5367931034</v>
      </c>
      <c r="J22" s="13" t="s">
        <v>219</v>
      </c>
      <c r="K22" s="3">
        <f>(E16+E17+E18+E19+E20+E21+E22+E23)*'Weight%'!B134</f>
        <v>1738015.395882787</v>
      </c>
      <c r="M22" s="13" t="s">
        <v>356</v>
      </c>
      <c r="N22" s="3">
        <f>(H5+H6)*'Weight%'!B155</f>
        <v>869803.80265299114</v>
      </c>
      <c r="S22" t="s">
        <v>263</v>
      </c>
      <c r="T22" s="3">
        <f>N33*'Weight%'!B209</f>
        <v>25821.773562352115</v>
      </c>
    </row>
    <row r="23" spans="4:20" ht="32" x14ac:dyDescent="0.45">
      <c r="D23" s="13" t="s">
        <v>27</v>
      </c>
      <c r="E23" s="3">
        <f>B12*'Weight%'!B35</f>
        <v>14962657.699999999</v>
      </c>
      <c r="J23" s="13" t="s">
        <v>240</v>
      </c>
      <c r="K23" s="3">
        <f>(E56+E57+E58+E59+E60+E61+E62+E63)*'Weight%'!B135</f>
        <v>107502.01955076198</v>
      </c>
      <c r="M23" s="13" t="s">
        <v>215</v>
      </c>
      <c r="N23" s="3">
        <f>(E103*(53/(44+53))+E104*(53/(44+53))+E105*(53/(44+53))+E106*(53/(44+53))+E107*(1/3)+E108*(1/3)+E109*(1/3)+E110*(1/3))*'Weight%'!B156</f>
        <v>708392.3319635744</v>
      </c>
      <c r="S23" t="s">
        <v>264</v>
      </c>
      <c r="T23" s="3">
        <f>(Q17+Q18)*'Weight%'!B210</f>
        <v>12906576.870088769</v>
      </c>
    </row>
    <row r="24" spans="4:20" ht="32" x14ac:dyDescent="0.45">
      <c r="D24" s="13" t="s">
        <v>42</v>
      </c>
      <c r="E24" s="3">
        <f>B5*'Weight%'!B63</f>
        <v>871155.55955955957</v>
      </c>
      <c r="M24" s="13" t="s">
        <v>216</v>
      </c>
      <c r="N24" s="3">
        <f>(E76+E77+E78+E79+E80+E81+E82+E83)*'Weight%'!B157</f>
        <v>687233.83549712761</v>
      </c>
      <c r="S24" t="s">
        <v>265</v>
      </c>
      <c r="T24" s="3">
        <f>Q20*'Weight%'!B211</f>
        <v>651129.3962088814</v>
      </c>
    </row>
    <row r="25" spans="4:20" ht="32" x14ac:dyDescent="0.45">
      <c r="D25" s="13" t="s">
        <v>127</v>
      </c>
      <c r="E25" s="3">
        <f>B6*'Weight%'!B61</f>
        <v>794927.6251453592</v>
      </c>
      <c r="M25" s="13" t="s">
        <v>217</v>
      </c>
      <c r="N25" s="3">
        <f>H11*'Weight%'!B158</f>
        <v>641931.90516424016</v>
      </c>
    </row>
    <row r="26" spans="4:20" ht="32" x14ac:dyDescent="0.45">
      <c r="D26" s="13" t="s">
        <v>128</v>
      </c>
      <c r="E26" s="3">
        <f>B7*'Weight%'!B62</f>
        <v>1488638.5547562556</v>
      </c>
      <c r="M26" s="13" t="s">
        <v>349</v>
      </c>
      <c r="N26" s="3">
        <f>(K5+K6+K8+K9+K10+K12+K13+K14+K15)*'Weight%'!B159</f>
        <v>573924.08469489962</v>
      </c>
    </row>
    <row r="27" spans="4:20" ht="64" x14ac:dyDescent="0.45">
      <c r="D27" s="13" t="s">
        <v>43</v>
      </c>
      <c r="E27" s="3">
        <f>B8*'Weight%'!B60</f>
        <v>8408508.9825825822</v>
      </c>
      <c r="M27" s="13" t="s">
        <v>344</v>
      </c>
      <c r="N27" s="3">
        <f>K22*100%</f>
        <v>1738015.395882787</v>
      </c>
    </row>
    <row r="28" spans="4:20" ht="64" x14ac:dyDescent="0.45">
      <c r="D28" s="13" t="s">
        <v>55</v>
      </c>
      <c r="E28" s="3">
        <f>B9*'Weight%'!B65</f>
        <v>20374.629635092842</v>
      </c>
      <c r="M28" s="13" t="s">
        <v>345</v>
      </c>
      <c r="N28" s="3">
        <f>(E95+E96+E97+E98+E99+E100+E101+E102)*'Weight%'!B164</f>
        <v>31438.901988147125</v>
      </c>
    </row>
    <row r="29" spans="4:20" ht="48" x14ac:dyDescent="0.45">
      <c r="D29" s="13" t="s">
        <v>56</v>
      </c>
      <c r="E29" s="3">
        <f>B10*'Weight%'!B66</f>
        <v>20462.534404875794</v>
      </c>
      <c r="M29" s="13" t="s">
        <v>319</v>
      </c>
      <c r="N29" s="3">
        <f>(E40+E41+E42+E43+E44+E45+E46+E47)*'Weight%'!B165</f>
        <v>852.99199135676906</v>
      </c>
    </row>
    <row r="30" spans="4:20" ht="32" x14ac:dyDescent="0.45">
      <c r="D30" s="13" t="s">
        <v>46</v>
      </c>
      <c r="E30" s="3">
        <f>B11*'Weight%'!B64</f>
        <v>495182.25938253262</v>
      </c>
      <c r="M30" s="13" t="s">
        <v>221</v>
      </c>
      <c r="N30" s="3">
        <f>(K5+K6+K8+K9+K12+K10+K14+K13)*'Weight%'!B166</f>
        <v>250967.63084983637</v>
      </c>
    </row>
    <row r="31" spans="4:20" ht="32" x14ac:dyDescent="0.45">
      <c r="D31" s="13" t="s">
        <v>69</v>
      </c>
      <c r="E31" s="3">
        <f>B12*'Weight%'!B67</f>
        <v>2081103.0150150149</v>
      </c>
      <c r="M31" s="13" t="s">
        <v>320</v>
      </c>
      <c r="N31" s="3">
        <f>(E40+E41+E42+E43+E44+E45+E46+E47)*'Weight%'!B167</f>
        <v>2558975.9740703069</v>
      </c>
    </row>
    <row r="32" spans="4:20" ht="32" x14ac:dyDescent="0.45">
      <c r="D32" s="13" t="s">
        <v>268</v>
      </c>
      <c r="E32" s="3">
        <f t="shared" ref="E32:E39" si="0">E16+E24</f>
        <v>8939243.9804804809</v>
      </c>
      <c r="M32" s="13" t="s">
        <v>350</v>
      </c>
      <c r="N32" s="3">
        <f>(K5+K6+K8+K9+K12+K10+K14+K13)*'Weight%'!B168</f>
        <v>334623.5077997818</v>
      </c>
    </row>
    <row r="33" spans="4:14" ht="32" x14ac:dyDescent="0.45">
      <c r="D33" s="13" t="s">
        <v>269</v>
      </c>
      <c r="E33" s="3">
        <f t="shared" si="0"/>
        <v>8157041.4262074921</v>
      </c>
      <c r="M33" s="13" t="s">
        <v>222</v>
      </c>
      <c r="N33" s="3">
        <f>(E40+E41+E42+E43+E44+E45+E46+E47)*'Weight%'!B169</f>
        <v>32277.21695294014</v>
      </c>
    </row>
    <row r="34" spans="4:14" ht="32" x14ac:dyDescent="0.45">
      <c r="D34" s="13" t="s">
        <v>270</v>
      </c>
      <c r="E34" s="3">
        <f t="shared" si="0"/>
        <v>15275461.53346476</v>
      </c>
      <c r="M34" s="13" t="s">
        <v>223</v>
      </c>
      <c r="N34" s="3">
        <f>(E76+E77+E78+E79+E80+E81+E82+E83)*'Weight%'!B170</f>
        <v>11894431.768219516</v>
      </c>
    </row>
    <row r="35" spans="4:14" ht="32" x14ac:dyDescent="0.45">
      <c r="D35" s="13" t="s">
        <v>271</v>
      </c>
      <c r="E35" s="3">
        <f t="shared" si="0"/>
        <v>86282768.30990991</v>
      </c>
      <c r="M35" s="13" t="s">
        <v>224</v>
      </c>
      <c r="N35" s="3">
        <f>H11*'Weight%'!B171</f>
        <v>11110359.897073386</v>
      </c>
    </row>
    <row r="36" spans="4:14" ht="32" x14ac:dyDescent="0.45">
      <c r="D36" s="13" t="s">
        <v>272</v>
      </c>
      <c r="E36" s="3">
        <f t="shared" si="0"/>
        <v>222512.76123890362</v>
      </c>
      <c r="M36" s="13" t="s">
        <v>336</v>
      </c>
      <c r="N36" s="3">
        <f>(E95+E96+E97+E98+E99+E100+E101+E102)*'Weight%'!B172</f>
        <v>1951831.8317641341</v>
      </c>
    </row>
    <row r="37" spans="4:14" ht="32" x14ac:dyDescent="0.45">
      <c r="D37" s="13" t="s">
        <v>273</v>
      </c>
      <c r="E37" s="3">
        <f t="shared" si="0"/>
        <v>134499.15126219328</v>
      </c>
      <c r="M37" s="13" t="s">
        <v>351</v>
      </c>
      <c r="N37" s="3">
        <f>(K5+K6+K8+K9+K12+K10+K14+K13)*'Weight%'!B173</f>
        <v>865838.32643193542</v>
      </c>
    </row>
    <row r="38" spans="4:14" ht="32" x14ac:dyDescent="0.45">
      <c r="D38" s="13" t="s">
        <v>274</v>
      </c>
      <c r="E38" s="3">
        <f t="shared" si="0"/>
        <v>4043270.7961756359</v>
      </c>
      <c r="M38" s="13" t="s">
        <v>241</v>
      </c>
      <c r="N38" s="3">
        <f>H5*'Weight%'!B174</f>
        <v>543627.37665811938</v>
      </c>
    </row>
    <row r="39" spans="4:14" ht="48" x14ac:dyDescent="0.45">
      <c r="D39" s="13" t="s">
        <v>275</v>
      </c>
      <c r="E39" s="3">
        <f t="shared" si="0"/>
        <v>17043760.715015013</v>
      </c>
      <c r="M39" s="13" t="s">
        <v>242</v>
      </c>
      <c r="N39" s="3">
        <f>K23</f>
        <v>107502.01955076198</v>
      </c>
    </row>
    <row r="40" spans="4:14" x14ac:dyDescent="0.45">
      <c r="D40" s="13" t="s">
        <v>156</v>
      </c>
      <c r="E40" s="3">
        <f>B5*'Weight%'!B22</f>
        <v>1306733.3393393392</v>
      </c>
    </row>
    <row r="41" spans="4:14" x14ac:dyDescent="0.45">
      <c r="D41" s="13" t="s">
        <v>157</v>
      </c>
      <c r="E41" s="3">
        <f>B6*'Weight%'!B23</f>
        <v>838493.47847539757</v>
      </c>
    </row>
    <row r="42" spans="4:14" x14ac:dyDescent="0.45">
      <c r="D42" s="13" t="s">
        <v>158</v>
      </c>
      <c r="E42" s="3">
        <f>B7*'Weight%'!B24</f>
        <v>1570223.1001745786</v>
      </c>
    </row>
    <row r="43" spans="4:14" x14ac:dyDescent="0.45">
      <c r="D43" s="13" t="s">
        <v>159</v>
      </c>
      <c r="E43" s="3">
        <f>B8*'Weight%'!B22</f>
        <v>10510636.228228228</v>
      </c>
    </row>
    <row r="44" spans="4:14" x14ac:dyDescent="0.45">
      <c r="D44" s="13" t="s">
        <v>160</v>
      </c>
      <c r="E44" s="3">
        <f>B9*'Weight%'!B25</f>
        <v>12019.024041307666</v>
      </c>
    </row>
    <row r="45" spans="4:14" x14ac:dyDescent="0.45">
      <c r="D45" s="13" t="s">
        <v>161</v>
      </c>
      <c r="E45" s="3">
        <f>B10*'Weight%'!B26</f>
        <v>9388.46159573757</v>
      </c>
    </row>
    <row r="46" spans="4:14" x14ac:dyDescent="0.45">
      <c r="D46" s="13" t="s">
        <v>162</v>
      </c>
      <c r="E46" s="3">
        <f>B11*'Weight%'!B27</f>
        <v>210967.42651202233</v>
      </c>
    </row>
    <row r="47" spans="4:14" x14ac:dyDescent="0.45">
      <c r="D47" s="13" t="s">
        <v>163</v>
      </c>
      <c r="E47" s="3">
        <f>B12*'Weight%'!B22</f>
        <v>2601378.7687687688</v>
      </c>
    </row>
    <row r="48" spans="4:14" x14ac:dyDescent="0.45">
      <c r="D48" s="13" t="s">
        <v>117</v>
      </c>
      <c r="E48" s="3">
        <f>B5*'Weight%'!$B$44</f>
        <v>1243263.4342857143</v>
      </c>
    </row>
    <row r="49" spans="4:5" x14ac:dyDescent="0.45">
      <c r="D49" s="13" t="s">
        <v>118</v>
      </c>
      <c r="E49" s="3">
        <f>B6*'Weight%'!B45</f>
        <v>797766.65237802116</v>
      </c>
    </row>
    <row r="50" spans="4:5" x14ac:dyDescent="0.45">
      <c r="D50" s="13" t="s">
        <v>119</v>
      </c>
      <c r="E50" s="3">
        <f>B7*'Weight%'!B46</f>
        <v>1493955.1210232421</v>
      </c>
    </row>
    <row r="51" spans="4:5" x14ac:dyDescent="0.45">
      <c r="D51" s="13" t="s">
        <v>120</v>
      </c>
      <c r="E51" s="3">
        <f>B8*'Weight%'!$B$44</f>
        <v>10000119.611428572</v>
      </c>
    </row>
    <row r="52" spans="4:5" x14ac:dyDescent="0.45">
      <c r="D52" s="13" t="s">
        <v>121</v>
      </c>
      <c r="E52" s="3">
        <f>B9*'Weight%'!B47</f>
        <v>11435.242873587011</v>
      </c>
    </row>
    <row r="53" spans="4:5" x14ac:dyDescent="0.45">
      <c r="D53" s="13" t="s">
        <v>122</v>
      </c>
      <c r="E53" s="3">
        <f>B10*'Weight%'!B48</f>
        <v>8932.4506039446042</v>
      </c>
    </row>
    <row r="54" spans="4:5" x14ac:dyDescent="0.45">
      <c r="D54" s="13" t="s">
        <v>123</v>
      </c>
      <c r="E54" s="3">
        <f>B11*'Weight%'!B49</f>
        <v>200720.4372242956</v>
      </c>
    </row>
    <row r="55" spans="4:5" x14ac:dyDescent="0.45">
      <c r="D55" s="13" t="s">
        <v>124</v>
      </c>
      <c r="E55" s="3">
        <f>B12*'Weight%'!$B$44</f>
        <v>2475026.0857142857</v>
      </c>
    </row>
    <row r="56" spans="4:5" x14ac:dyDescent="0.45">
      <c r="D56" s="13" t="s">
        <v>30</v>
      </c>
      <c r="E56" s="3">
        <f>B5*'Weight%'!B39</f>
        <v>5019043.9624624625</v>
      </c>
    </row>
    <row r="57" spans="4:5" x14ac:dyDescent="0.45">
      <c r="D57" s="13" t="s">
        <v>115</v>
      </c>
      <c r="E57" s="3">
        <f>B6*'Weight%'!B37</f>
        <v>4579867.1130533759</v>
      </c>
    </row>
    <row r="58" spans="4:5" x14ac:dyDescent="0.45">
      <c r="D58" s="13" t="s">
        <v>116</v>
      </c>
      <c r="E58" s="3">
        <f>B7*'Weight%'!B38</f>
        <v>8576588.0370616075</v>
      </c>
    </row>
    <row r="59" spans="4:5" x14ac:dyDescent="0.45">
      <c r="D59" s="13" t="s">
        <v>28</v>
      </c>
      <c r="E59" s="3">
        <f>B8*'Weight%'!B36</f>
        <v>48444477.888288289</v>
      </c>
    </row>
    <row r="60" spans="4:5" x14ac:dyDescent="0.45">
      <c r="D60" s="13" t="s">
        <v>52</v>
      </c>
      <c r="E60" s="3">
        <f>B9*'Weight%'!B43</f>
        <v>52528.579310151166</v>
      </c>
    </row>
    <row r="61" spans="4:5" x14ac:dyDescent="0.45">
      <c r="D61" s="13" t="s">
        <v>60</v>
      </c>
      <c r="E61" s="3">
        <f>B10*'Weight%'!B42</f>
        <v>31913.645445749284</v>
      </c>
    </row>
    <row r="62" spans="4:5" x14ac:dyDescent="0.45">
      <c r="D62" s="13" t="s">
        <v>50</v>
      </c>
      <c r="E62" s="3">
        <f>B11*'Weight%'!B40</f>
        <v>992948.078379235</v>
      </c>
    </row>
    <row r="63" spans="4:5" x14ac:dyDescent="0.45">
      <c r="D63" s="13" t="s">
        <v>51</v>
      </c>
      <c r="E63" s="3">
        <f>B12*'Weight%'!B41</f>
        <v>9450099.5999999996</v>
      </c>
    </row>
    <row r="64" spans="4:5" x14ac:dyDescent="0.45">
      <c r="D64" s="13" t="s">
        <v>130</v>
      </c>
      <c r="E64" s="3">
        <f>B5*'Weight%'!B74</f>
        <v>900854.04454454442</v>
      </c>
    </row>
    <row r="65" spans="4:5" x14ac:dyDescent="0.45">
      <c r="D65" s="13" t="s">
        <v>133</v>
      </c>
      <c r="E65" s="3">
        <f>B5*'Weight%'!B75</f>
        <v>890954.54954954947</v>
      </c>
    </row>
    <row r="66" spans="4:5" x14ac:dyDescent="0.45">
      <c r="D66" s="13" t="s">
        <v>134</v>
      </c>
      <c r="E66" s="3">
        <f>B6*'Weight%'!B70</f>
        <v>822027.43054804194</v>
      </c>
    </row>
    <row r="67" spans="4:5" x14ac:dyDescent="0.45">
      <c r="D67" s="13" t="s">
        <v>135</v>
      </c>
      <c r="E67" s="3">
        <f>B6*'Weight%'!B72</f>
        <v>812994.16208048095</v>
      </c>
    </row>
    <row r="68" spans="4:5" x14ac:dyDescent="0.45">
      <c r="D68" s="13" t="s">
        <v>136</v>
      </c>
      <c r="E68" s="3">
        <f>B7*'Weight%'!B71</f>
        <v>1539387.5963956735</v>
      </c>
    </row>
    <row r="69" spans="4:5" x14ac:dyDescent="0.45">
      <c r="D69" s="13" t="s">
        <v>137</v>
      </c>
      <c r="E69" s="3">
        <f>B7*'Weight%'!B73</f>
        <v>1522471.2491825342</v>
      </c>
    </row>
    <row r="70" spans="4:5" x14ac:dyDescent="0.45">
      <c r="D70" s="13" t="s">
        <v>48</v>
      </c>
      <c r="E70" s="3">
        <f>B8*'Weight%'!B68</f>
        <v>8695162.697897898</v>
      </c>
    </row>
    <row r="71" spans="4:5" x14ac:dyDescent="0.45">
      <c r="D71" s="13" t="s">
        <v>129</v>
      </c>
      <c r="E71" s="3">
        <f>B8*'Weight%'!B69</f>
        <v>8599611.4594594594</v>
      </c>
    </row>
    <row r="72" spans="4:5" x14ac:dyDescent="0.45">
      <c r="D72" s="13" t="s">
        <v>65</v>
      </c>
      <c r="E72" s="3">
        <f>B9*'Weight%'!B78</f>
        <v>7883.3871325486207</v>
      </c>
    </row>
    <row r="73" spans="4:5" x14ac:dyDescent="0.45">
      <c r="D73" s="13" t="s">
        <v>66</v>
      </c>
      <c r="E73" s="3">
        <f>B10*'Weight%'!B79</f>
        <v>7917.3993989508999</v>
      </c>
    </row>
    <row r="74" spans="4:5" x14ac:dyDescent="0.45">
      <c r="D74" s="13" t="s">
        <v>64</v>
      </c>
      <c r="E74" s="3">
        <f>B11*'Weight%'!B77</f>
        <v>191596.78098682759</v>
      </c>
    </row>
    <row r="75" spans="4:5" x14ac:dyDescent="0.45">
      <c r="D75" s="13" t="s">
        <v>63</v>
      </c>
      <c r="E75" s="3">
        <f>B12*'Weight%'!B76</f>
        <v>3937541.5</v>
      </c>
    </row>
    <row r="76" spans="4:5" x14ac:dyDescent="0.45">
      <c r="D76" s="13" t="s">
        <v>276</v>
      </c>
      <c r="E76" s="3">
        <f>E56+E64+E65</f>
        <v>6810852.5565565564</v>
      </c>
    </row>
    <row r="77" spans="4:5" ht="32" x14ac:dyDescent="0.45">
      <c r="D77" s="13" t="s">
        <v>277</v>
      </c>
      <c r="E77" s="3">
        <f>E57+E66+E67</f>
        <v>6214888.7056818986</v>
      </c>
    </row>
    <row r="78" spans="4:5" x14ac:dyDescent="0.45">
      <c r="D78" s="13" t="s">
        <v>278</v>
      </c>
      <c r="E78" s="3">
        <f>E58+E68+E69</f>
        <v>11638446.882639814</v>
      </c>
    </row>
    <row r="79" spans="4:5" ht="32" x14ac:dyDescent="0.45">
      <c r="D79" s="13" t="s">
        <v>279</v>
      </c>
      <c r="E79" s="3">
        <f>E59+E70+E71</f>
        <v>65739252.045645647</v>
      </c>
    </row>
    <row r="80" spans="4:5" x14ac:dyDescent="0.45">
      <c r="D80" s="13" t="s">
        <v>280</v>
      </c>
      <c r="E80" s="3">
        <f>E60+E72+E72</f>
        <v>68295.353575248402</v>
      </c>
    </row>
    <row r="81" spans="4:5" x14ac:dyDescent="0.45">
      <c r="D81" s="13" t="s">
        <v>281</v>
      </c>
      <c r="E81" s="3">
        <f>E61+E73+E73</f>
        <v>47748.444243651087</v>
      </c>
    </row>
    <row r="82" spans="4:5" x14ac:dyDescent="0.45">
      <c r="D82" s="13" t="s">
        <v>282</v>
      </c>
      <c r="E82" s="3">
        <f>E62+E74+E74</f>
        <v>1376141.6403528901</v>
      </c>
    </row>
    <row r="83" spans="4:5" x14ac:dyDescent="0.45">
      <c r="D83" s="13" t="s">
        <v>283</v>
      </c>
      <c r="E83" s="3">
        <f>E63+E75+E75</f>
        <v>17325182.600000001</v>
      </c>
    </row>
    <row r="84" spans="4:5" ht="32" x14ac:dyDescent="0.45">
      <c r="D84" s="13" t="s">
        <v>125</v>
      </c>
      <c r="E84" s="3">
        <f>B6*'Weight%'!B56</f>
        <v>5396180.2128113881</v>
      </c>
    </row>
    <row r="85" spans="4:5" ht="32" x14ac:dyDescent="0.45">
      <c r="D85" s="13" t="s">
        <v>126</v>
      </c>
      <c r="E85" s="3">
        <f>B7*'Weight%'!B56</f>
        <v>9059327.6277580075</v>
      </c>
    </row>
    <row r="86" spans="4:5" ht="32" x14ac:dyDescent="0.45">
      <c r="D86" s="13" t="s">
        <v>39</v>
      </c>
      <c r="E86" s="3">
        <f>B8*'Weight%'!B55</f>
        <v>61439446.315915912</v>
      </c>
    </row>
    <row r="87" spans="4:5" ht="32" x14ac:dyDescent="0.45">
      <c r="D87" s="13" t="s">
        <v>54</v>
      </c>
      <c r="E87" s="3">
        <f>B10*'Weight%'!B59</f>
        <v>11534.022822580646</v>
      </c>
    </row>
    <row r="88" spans="4:5" ht="32" x14ac:dyDescent="0.45">
      <c r="D88" s="13" t="s">
        <v>41</v>
      </c>
      <c r="E88" s="3">
        <f>B11*'Weight%'!B57</f>
        <v>541479.63861920172</v>
      </c>
    </row>
    <row r="89" spans="4:5" ht="32" x14ac:dyDescent="0.45">
      <c r="D89" s="13" t="s">
        <v>53</v>
      </c>
      <c r="E89" s="3">
        <f>B12*'Weight%'!B58</f>
        <v>18900199.199999999</v>
      </c>
    </row>
    <row r="90" spans="4:5" x14ac:dyDescent="0.45">
      <c r="D90" s="13" t="s">
        <v>33</v>
      </c>
      <c r="E90" s="3">
        <f>B5*'Weight%'!B51</f>
        <v>2979434.839681515</v>
      </c>
    </row>
    <row r="91" spans="4:5" x14ac:dyDescent="0.45">
      <c r="D91" s="13" t="s">
        <v>36</v>
      </c>
      <c r="E91" s="3">
        <f>B6*'Weight%'!B52</f>
        <v>2078178.8128113879</v>
      </c>
    </row>
    <row r="92" spans="4:5" x14ac:dyDescent="0.45">
      <c r="D92" s="13" t="s">
        <v>35</v>
      </c>
      <c r="E92" s="3">
        <f>B7*'Weight%'!B50</f>
        <v>3488931.4277580073</v>
      </c>
    </row>
    <row r="93" spans="4:5" x14ac:dyDescent="0.45">
      <c r="D93" s="13" t="s">
        <v>37</v>
      </c>
      <c r="E93" s="3">
        <f>B9*'Weight%'!B53</f>
        <v>9039.0400000000009</v>
      </c>
    </row>
    <row r="94" spans="4:5" x14ac:dyDescent="0.45">
      <c r="D94" s="13" t="s">
        <v>38</v>
      </c>
      <c r="E94" s="3">
        <f>B10*'Weight%'!B54</f>
        <v>3685.0757142857142</v>
      </c>
    </row>
    <row r="95" spans="4:5" x14ac:dyDescent="0.45">
      <c r="D95" s="13" t="s">
        <v>73</v>
      </c>
      <c r="E95" s="3">
        <f>B5*'Weight%'!B91</f>
        <v>1045386.6714714715</v>
      </c>
    </row>
    <row r="96" spans="4:5" x14ac:dyDescent="0.45">
      <c r="D96" s="13" t="s">
        <v>138</v>
      </c>
      <c r="E96" s="3">
        <f>B6*'Weight%'!B89</f>
        <v>578129.18192389759</v>
      </c>
    </row>
    <row r="97" spans="4:5" x14ac:dyDescent="0.45">
      <c r="D97" s="13" t="s">
        <v>139</v>
      </c>
      <c r="E97" s="3">
        <f>B7*'Weight%'!B90</f>
        <v>1082646.2216409133</v>
      </c>
    </row>
    <row r="98" spans="4:5" x14ac:dyDescent="0.45">
      <c r="D98" s="13" t="s">
        <v>71</v>
      </c>
      <c r="E98" s="3">
        <f>B8*'Weight%'!B88</f>
        <v>9459572.6054054052</v>
      </c>
    </row>
    <row r="99" spans="4:5" x14ac:dyDescent="0.45">
      <c r="D99" s="13" t="s">
        <v>77</v>
      </c>
      <c r="E99" s="3">
        <f>B9*'Weight%'!B94</f>
        <v>1819.2431844342971</v>
      </c>
    </row>
    <row r="100" spans="4:5" x14ac:dyDescent="0.45">
      <c r="D100" s="13" t="s">
        <v>76</v>
      </c>
      <c r="E100" s="3">
        <f>B10*'Weight%'!B93</f>
        <v>1827.0921689886688</v>
      </c>
    </row>
    <row r="101" spans="4:5" x14ac:dyDescent="0.45">
      <c r="D101" s="13" t="s">
        <v>75</v>
      </c>
      <c r="E101" s="3">
        <f>B11*'Weight%'!B92</f>
        <v>44214.641766190987</v>
      </c>
    </row>
    <row r="102" spans="4:5" x14ac:dyDescent="0.45">
      <c r="D102" s="13" t="s">
        <v>78</v>
      </c>
      <c r="E102" s="3">
        <f>B12*'Weight%'!B95</f>
        <v>885946.83750000002</v>
      </c>
    </row>
    <row r="103" spans="4:5" ht="32" x14ac:dyDescent="0.45">
      <c r="D103" s="13" t="s">
        <v>175</v>
      </c>
      <c r="E103" s="3">
        <f>B5*'Weight%'!B83</f>
        <v>960251.01451451448</v>
      </c>
    </row>
    <row r="104" spans="4:5" ht="32" x14ac:dyDescent="0.45">
      <c r="D104" s="13" t="s">
        <v>176</v>
      </c>
      <c r="E104" s="3">
        <f>B6*'Weight%'!B81</f>
        <v>876227.0413534072</v>
      </c>
    </row>
    <row r="105" spans="4:5" ht="32" x14ac:dyDescent="0.45">
      <c r="D105" s="13" t="s">
        <v>177</v>
      </c>
      <c r="E105" s="3">
        <f>B7*'Weight%'!B81</f>
        <v>1471045.7269524548</v>
      </c>
    </row>
    <row r="106" spans="4:5" ht="32" x14ac:dyDescent="0.45">
      <c r="D106" s="13" t="s">
        <v>178</v>
      </c>
      <c r="E106" s="3">
        <f>B8*'Weight%'!B80</f>
        <v>9268470.1285285279</v>
      </c>
    </row>
    <row r="107" spans="4:5" ht="32" x14ac:dyDescent="0.45">
      <c r="D107" s="13" t="s">
        <v>179</v>
      </c>
      <c r="E107" s="3">
        <f>B9*'Weight%'!B86</f>
        <v>7883.3871325486207</v>
      </c>
    </row>
    <row r="108" spans="4:5" ht="32" x14ac:dyDescent="0.45">
      <c r="D108" s="13" t="s">
        <v>180</v>
      </c>
      <c r="E108" s="3">
        <f>B10*'Weight%'!B85</f>
        <v>7917.3993989508999</v>
      </c>
    </row>
    <row r="109" spans="4:5" ht="32" x14ac:dyDescent="0.45">
      <c r="D109" s="13" t="s">
        <v>181</v>
      </c>
      <c r="E109" s="3">
        <f>B11*'Weight%'!B84</f>
        <v>191596.78098682759</v>
      </c>
    </row>
    <row r="110" spans="4:5" ht="32" x14ac:dyDescent="0.45">
      <c r="D110" s="13" t="s">
        <v>182</v>
      </c>
      <c r="E110" s="3">
        <f>B12*'Weight%'!B87</f>
        <v>430114.33051801799</v>
      </c>
    </row>
    <row r="111" spans="4:5" x14ac:dyDescent="0.45">
      <c r="D111" s="13" t="s">
        <v>198</v>
      </c>
      <c r="E111" s="3">
        <f>B5*'Weight%'!B104</f>
        <v>892214.35716884141</v>
      </c>
    </row>
    <row r="112" spans="4:5" x14ac:dyDescent="0.45">
      <c r="D112" s="13" t="s">
        <v>199</v>
      </c>
      <c r="E112" s="3">
        <f>B6*'Weight%'!B102</f>
        <v>841898.5758718861</v>
      </c>
    </row>
    <row r="113" spans="4:5" x14ac:dyDescent="0.45">
      <c r="D113" s="13" t="s">
        <v>200</v>
      </c>
      <c r="E113" s="3">
        <f>B7*'Weight%'!B103</f>
        <v>1413413.6977224199</v>
      </c>
    </row>
    <row r="114" spans="4:5" x14ac:dyDescent="0.45">
      <c r="D114" s="13" t="s">
        <v>201</v>
      </c>
      <c r="E114" s="3">
        <f>B8*'Weight%'!B101</f>
        <v>8934040.7939939946</v>
      </c>
    </row>
    <row r="115" spans="4:5" x14ac:dyDescent="0.45">
      <c r="D115" s="13" t="s">
        <v>202</v>
      </c>
      <c r="E115" s="3">
        <f>B9*'Weight%'!B107</f>
        <v>1019.3492321075523</v>
      </c>
    </row>
    <row r="116" spans="4:5" x14ac:dyDescent="0.45">
      <c r="D116" s="13" t="s">
        <v>203</v>
      </c>
      <c r="E116" s="3">
        <f>B10*'Weight%'!B108</f>
        <v>831.14558617183525</v>
      </c>
    </row>
    <row r="117" spans="4:5" x14ac:dyDescent="0.45">
      <c r="D117" s="13" t="s">
        <v>204</v>
      </c>
      <c r="E117" s="3">
        <f>B11*'Weight%'!B105</f>
        <v>26019.391233541235</v>
      </c>
    </row>
    <row r="118" spans="4:5" x14ac:dyDescent="0.45">
      <c r="D118" s="13" t="s">
        <v>205</v>
      </c>
      <c r="E118" s="3">
        <f>B12*'Weight%'!B106</f>
        <v>414594.74127252254</v>
      </c>
    </row>
  </sheetData>
  <mergeCells count="7">
    <mergeCell ref="P4:Q4"/>
    <mergeCell ref="S4:T4"/>
    <mergeCell ref="A4:B4"/>
    <mergeCell ref="D4:E4"/>
    <mergeCell ref="G4:H4"/>
    <mergeCell ref="J4:K4"/>
    <mergeCell ref="M4:N4"/>
  </mergeCell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65"/>
  <sheetViews>
    <sheetView topLeftCell="A34" workbookViewId="0">
      <selection activeCell="F10" sqref="F10"/>
    </sheetView>
  </sheetViews>
  <sheetFormatPr baseColWidth="10" defaultRowHeight="16" x14ac:dyDescent="0.45"/>
  <cols>
    <col min="1" max="1" width="24.1796875" customWidth="1"/>
    <col min="2" max="2" width="20.1796875" bestFit="1" customWidth="1"/>
    <col min="3" max="3" width="38.1796875" customWidth="1"/>
    <col min="4" max="4" width="20.1796875" bestFit="1" customWidth="1"/>
    <col min="6" max="6" width="20.81640625" bestFit="1" customWidth="1"/>
    <col min="7" max="7" width="21.26953125" bestFit="1" customWidth="1"/>
  </cols>
  <sheetData>
    <row r="3" spans="1:5" ht="64" x14ac:dyDescent="0.45">
      <c r="A3" s="11" t="s">
        <v>5</v>
      </c>
      <c r="B3" s="11" t="s">
        <v>6</v>
      </c>
      <c r="C3" s="11" t="s">
        <v>357</v>
      </c>
      <c r="D3" s="11" t="s">
        <v>0</v>
      </c>
      <c r="E3" s="11" t="s">
        <v>3</v>
      </c>
    </row>
    <row r="4" spans="1:5" x14ac:dyDescent="0.45">
      <c r="A4" s="42" t="s">
        <v>8</v>
      </c>
      <c r="B4" s="42"/>
      <c r="C4" s="42"/>
      <c r="D4" s="42"/>
      <c r="E4" s="42"/>
    </row>
    <row r="5" spans="1:5" x14ac:dyDescent="0.45">
      <c r="A5" s="13" t="s">
        <v>10</v>
      </c>
      <c r="B5" s="7">
        <f>140/1600</f>
        <v>8.7499999999999994E-2</v>
      </c>
      <c r="C5" s="7">
        <f t="shared" ref="C5:C13" si="0">B5</f>
        <v>8.7499999999999994E-2</v>
      </c>
      <c r="D5" s="9" t="s">
        <v>11</v>
      </c>
    </row>
    <row r="6" spans="1:5" x14ac:dyDescent="0.45">
      <c r="A6" s="13" t="s">
        <v>86</v>
      </c>
      <c r="B6" s="7">
        <f>33.7/2810</f>
        <v>1.199288256227758E-2</v>
      </c>
      <c r="C6" s="7">
        <f t="shared" si="0"/>
        <v>1.199288256227758E-2</v>
      </c>
      <c r="D6" s="12" t="s">
        <v>370</v>
      </c>
    </row>
    <row r="7" spans="1:5" ht="48" x14ac:dyDescent="0.45">
      <c r="A7" s="13" t="s">
        <v>154</v>
      </c>
      <c r="B7" s="7">
        <f>(22+22+22+22+22)/3330</f>
        <v>3.3033033033033031E-2</v>
      </c>
      <c r="C7" s="7">
        <f t="shared" si="0"/>
        <v>3.3033033033033031E-2</v>
      </c>
      <c r="D7" s="1" t="s">
        <v>559</v>
      </c>
    </row>
    <row r="8" spans="1:5" x14ac:dyDescent="0.45">
      <c r="A8" s="13" t="s">
        <v>21</v>
      </c>
      <c r="B8" s="7">
        <f>(551+176+22+22+22+22)/2810</f>
        <v>0.29003558718861211</v>
      </c>
      <c r="C8" s="7">
        <f t="shared" si="0"/>
        <v>0.29003558718861211</v>
      </c>
      <c r="D8" s="6" t="s">
        <v>370</v>
      </c>
    </row>
    <row r="9" spans="1:5" x14ac:dyDescent="0.45">
      <c r="A9" s="13" t="s">
        <v>29</v>
      </c>
      <c r="B9" s="7">
        <f>(66+163+55+90+84+49)/2810</f>
        <v>0.18042704626334519</v>
      </c>
      <c r="C9" s="7">
        <f t="shared" si="0"/>
        <v>0.18042704626334519</v>
      </c>
      <c r="D9" s="6" t="s">
        <v>370</v>
      </c>
    </row>
    <row r="10" spans="1:5" ht="32" x14ac:dyDescent="0.45">
      <c r="A10" s="13" t="s">
        <v>34</v>
      </c>
      <c r="B10" s="7">
        <f>110/3500</f>
        <v>3.1428571428571431E-2</v>
      </c>
      <c r="C10" s="7">
        <f t="shared" si="0"/>
        <v>3.1428571428571431E-2</v>
      </c>
      <c r="D10" s="6" t="s">
        <v>376</v>
      </c>
    </row>
    <row r="11" spans="1:5" ht="32" x14ac:dyDescent="0.45">
      <c r="A11" s="13" t="s">
        <v>481</v>
      </c>
      <c r="B11" s="7">
        <f>(61+61+54)/2810</f>
        <v>6.2633451957295375E-2</v>
      </c>
      <c r="C11" s="7">
        <f t="shared" si="0"/>
        <v>6.2633451957295375E-2</v>
      </c>
      <c r="D11" s="6" t="s">
        <v>370</v>
      </c>
    </row>
    <row r="12" spans="1:5" ht="32" x14ac:dyDescent="0.45">
      <c r="A12" s="13" t="s">
        <v>40</v>
      </c>
      <c r="B12" s="15">
        <f>(243+214)/2810</f>
        <v>0.16263345195729537</v>
      </c>
      <c r="C12" s="7">
        <f t="shared" si="0"/>
        <v>0.16263345195729537</v>
      </c>
      <c r="D12" s="6" t="s">
        <v>370</v>
      </c>
    </row>
    <row r="13" spans="1:5" x14ac:dyDescent="0.45">
      <c r="A13" s="13" t="s">
        <v>44</v>
      </c>
      <c r="B13" s="15">
        <f>88/2810</f>
        <v>3.1316725978647687E-2</v>
      </c>
      <c r="C13" s="7">
        <f t="shared" si="0"/>
        <v>3.1316725978647687E-2</v>
      </c>
      <c r="D13" s="6" t="s">
        <v>370</v>
      </c>
    </row>
    <row r="14" spans="1:5" x14ac:dyDescent="0.45">
      <c r="A14" s="13" t="s">
        <v>49</v>
      </c>
      <c r="B14" s="15">
        <f>91/2810</f>
        <v>3.2384341637010677E-2</v>
      </c>
      <c r="C14" s="15">
        <f t="shared" ref="C14:C15" si="1">B14*2</f>
        <v>6.4768683274021355E-2</v>
      </c>
      <c r="D14" s="6" t="s">
        <v>370</v>
      </c>
    </row>
    <row r="15" spans="1:5" x14ac:dyDescent="0.45">
      <c r="A15" s="13" t="s">
        <v>70</v>
      </c>
      <c r="B15" s="15">
        <f>90/2810</f>
        <v>3.2028469750889681E-2</v>
      </c>
      <c r="C15" s="15">
        <f t="shared" si="1"/>
        <v>6.4056939501779361E-2</v>
      </c>
      <c r="D15" s="6" t="s">
        <v>370</v>
      </c>
    </row>
    <row r="16" spans="1:5" ht="64" x14ac:dyDescent="0.45">
      <c r="A16" s="13" t="s">
        <v>166</v>
      </c>
      <c r="B16" s="15">
        <f>(44+53)/2810</f>
        <v>3.4519572953736657E-2</v>
      </c>
      <c r="C16" s="15">
        <f t="shared" ref="C16" si="2">B16</f>
        <v>3.4519572953736657E-2</v>
      </c>
      <c r="D16" s="6" t="s">
        <v>370</v>
      </c>
    </row>
    <row r="17" spans="1:10" x14ac:dyDescent="0.45">
      <c r="A17" s="13" t="s">
        <v>72</v>
      </c>
      <c r="B17" s="15">
        <f>64/2810</f>
        <v>2.2775800711743774E-2</v>
      </c>
      <c r="C17" s="15">
        <f t="shared" ref="C17:C18" si="3">B17*2</f>
        <v>4.5551601423487548E-2</v>
      </c>
      <c r="D17" s="6" t="s">
        <v>370</v>
      </c>
    </row>
    <row r="18" spans="1:10" ht="32" x14ac:dyDescent="0.45">
      <c r="A18" s="13" t="s">
        <v>83</v>
      </c>
      <c r="B18" s="15">
        <f>22.1/2810</f>
        <v>7.8647686832740218E-3</v>
      </c>
      <c r="C18" s="15">
        <f t="shared" si="3"/>
        <v>1.5729537366548044E-2</v>
      </c>
      <c r="D18" s="6" t="s">
        <v>370</v>
      </c>
    </row>
    <row r="19" spans="1:10" x14ac:dyDescent="0.45">
      <c r="A19" s="13" t="s">
        <v>187</v>
      </c>
      <c r="B19" s="15">
        <f>(8.5+2+1.8+23+6+30)/2810</f>
        <v>2.5373665480427045E-2</v>
      </c>
      <c r="C19" s="15">
        <f>(8.5+2*2+1.8*2+23*2+6*7+30)/2810</f>
        <v>4.7722419928825623E-2</v>
      </c>
      <c r="D19" s="6" t="s">
        <v>370</v>
      </c>
    </row>
    <row r="20" spans="1:10" ht="32" x14ac:dyDescent="0.45">
      <c r="A20" s="13" t="s">
        <v>484</v>
      </c>
      <c r="B20" s="7">
        <f>100%-('Weight%'!B28+'Weight%'!B36+'Weight%'!B44+'Weight%'!B22+'Weight%'!B55+'Weight%'!B60+'Weight%'!B68+'Weight%'!B69+'Weight%'!B80+'Weight%'!B88+'Weight%'!B96+'Weight%'!B101)</f>
        <v>0.166919776919777</v>
      </c>
      <c r="C20" s="15"/>
      <c r="D20" s="6"/>
    </row>
    <row r="21" spans="1:10" ht="32" x14ac:dyDescent="0.45">
      <c r="A21" s="13" t="s">
        <v>482</v>
      </c>
      <c r="B21" s="15">
        <f>B5+SUM(B7:B20)</f>
        <v>1.2008742639436591</v>
      </c>
      <c r="C21" s="15"/>
      <c r="D21" s="6"/>
    </row>
    <row r="22" spans="1:10" ht="32" x14ac:dyDescent="0.45">
      <c r="A22" s="13" t="s">
        <v>483</v>
      </c>
      <c r="B22" s="7">
        <f>B6+SUM(B7:B20)</f>
        <v>1.1253671465059367</v>
      </c>
      <c r="C22" s="15"/>
      <c r="D22" s="6"/>
    </row>
    <row r="23" spans="1:10" x14ac:dyDescent="0.45">
      <c r="A23" s="13"/>
      <c r="B23" s="7"/>
      <c r="C23" s="15"/>
      <c r="D23" s="6"/>
    </row>
    <row r="24" spans="1:10" x14ac:dyDescent="0.45">
      <c r="A24" s="37" t="s">
        <v>504</v>
      </c>
    </row>
    <row r="25" spans="1:10" x14ac:dyDescent="0.45">
      <c r="A25" t="s">
        <v>476</v>
      </c>
      <c r="B25" t="s">
        <v>477</v>
      </c>
      <c r="C25" t="s">
        <v>487</v>
      </c>
      <c r="D25" t="s">
        <v>488</v>
      </c>
      <c r="E25" t="s">
        <v>478</v>
      </c>
      <c r="F25" t="s">
        <v>489</v>
      </c>
      <c r="G25" t="s">
        <v>486</v>
      </c>
      <c r="H25" t="s">
        <v>485</v>
      </c>
      <c r="I25" t="s">
        <v>490</v>
      </c>
      <c r="J25" t="s">
        <v>505</v>
      </c>
    </row>
    <row r="26" spans="1:10" x14ac:dyDescent="0.45">
      <c r="A26" t="s">
        <v>479</v>
      </c>
      <c r="B26" s="7">
        <f>400/1800</f>
        <v>0.22222222222222221</v>
      </c>
      <c r="C26" s="7">
        <f>33.7/2810</f>
        <v>1.199288256227758E-2</v>
      </c>
      <c r="D26" s="7">
        <f>140/1600</f>
        <v>8.7499999999999994E-2</v>
      </c>
      <c r="F26" s="7">
        <f>2700/19700</f>
        <v>0.13705583756345177</v>
      </c>
      <c r="G26" s="15">
        <f>115/18600</f>
        <v>6.1827956989247311E-3</v>
      </c>
      <c r="J26" s="14" t="s">
        <v>506</v>
      </c>
    </row>
    <row r="27" spans="1:10" x14ac:dyDescent="0.45">
      <c r="A27" t="s">
        <v>480</v>
      </c>
      <c r="C27" s="15">
        <f>(243+214)/2810</f>
        <v>0.16263345195729537</v>
      </c>
      <c r="D27" s="15">
        <f>(243+214)/2810</f>
        <v>0.16263345195729537</v>
      </c>
      <c r="E27" s="15">
        <f>(450+193)/3330</f>
        <v>0.19309309309309308</v>
      </c>
      <c r="G27" s="15">
        <f>499/12400</f>
        <v>4.0241935483870971E-2</v>
      </c>
      <c r="H27" s="15">
        <f>0.5/(13.416-6)</f>
        <v>6.7421790722761596E-2</v>
      </c>
      <c r="I27" s="15">
        <v>0.24</v>
      </c>
      <c r="J27" s="6" t="s">
        <v>509</v>
      </c>
    </row>
    <row r="28" spans="1:10" x14ac:dyDescent="0.45">
      <c r="A28" s="13" t="s">
        <v>495</v>
      </c>
      <c r="B28" s="7">
        <f>350/4647</f>
        <v>7.5317409081127606E-2</v>
      </c>
      <c r="C28" s="7">
        <f>(61+61+54)/2810</f>
        <v>6.2633451957295375E-2</v>
      </c>
      <c r="D28" s="7">
        <f>(61+61+54)/2810</f>
        <v>6.2633451957295375E-2</v>
      </c>
      <c r="F28" s="7">
        <f>40/2000</f>
        <v>0.02</v>
      </c>
      <c r="G28" s="15">
        <f>(F28*18000*0.5)/14000</f>
        <v>1.2857142857142857E-2</v>
      </c>
      <c r="J28" s="6" t="s">
        <v>510</v>
      </c>
    </row>
    <row r="29" spans="1:10" x14ac:dyDescent="0.45">
      <c r="A29" s="13" t="s">
        <v>501</v>
      </c>
      <c r="C29" s="15">
        <f>22.1/2810</f>
        <v>7.8647686832740218E-3</v>
      </c>
      <c r="D29" s="15">
        <f>22.1/2810</f>
        <v>7.8647686832740218E-3</v>
      </c>
      <c r="E29" s="15">
        <f>36/3330</f>
        <v>1.0810810810810811E-2</v>
      </c>
      <c r="G29" s="26">
        <f>D29</f>
        <v>7.8647686832740218E-3</v>
      </c>
      <c r="H29" s="15">
        <f>58.5/13000</f>
        <v>4.4999999999999997E-3</v>
      </c>
      <c r="I29" s="15">
        <f>60/8000</f>
        <v>7.4999999999999997E-3</v>
      </c>
      <c r="J29" s="6" t="s">
        <v>514</v>
      </c>
    </row>
    <row r="30" spans="1:10" x14ac:dyDescent="0.45">
      <c r="A30" s="13" t="s">
        <v>502</v>
      </c>
      <c r="B30" s="15">
        <f>(C30*1600)/1800</f>
        <v>2.2554369315935151E-2</v>
      </c>
      <c r="C30" s="15">
        <f>(8.5+2+1.8+23+6+30)/2810</f>
        <v>2.5373665480427045E-2</v>
      </c>
      <c r="D30" s="15">
        <f>(8.5+2+1.8+23+6+30)/2810</f>
        <v>2.5373665480427045E-2</v>
      </c>
      <c r="E30" s="15">
        <f>(8.5+2+24+23+6+30)/3330</f>
        <v>2.8078078078078078E-2</v>
      </c>
      <c r="F30" s="15">
        <f>(C30*1600)/18000</f>
        <v>2.255436931593515E-3</v>
      </c>
      <c r="G30" s="15">
        <f>(C30*1600)/14000</f>
        <v>2.8998474834773767E-3</v>
      </c>
      <c r="H30" s="15">
        <f>(E30*1500)/13000</f>
        <v>3.2397782397782398E-3</v>
      </c>
      <c r="I30" s="15">
        <f>(E30*1500)/8000</f>
        <v>5.2646396396396396E-3</v>
      </c>
      <c r="J30" s="6" t="s">
        <v>370</v>
      </c>
    </row>
    <row r="31" spans="1:10" ht="32" x14ac:dyDescent="0.45">
      <c r="A31" s="13" t="s">
        <v>491</v>
      </c>
      <c r="B31" s="7">
        <f t="shared" ref="B31:I31" si="4">(22+22+22+22+22)/3330</f>
        <v>3.3033033033033031E-2</v>
      </c>
      <c r="C31" s="7">
        <f t="shared" si="4"/>
        <v>3.3033033033033031E-2</v>
      </c>
      <c r="D31" s="7">
        <f t="shared" si="4"/>
        <v>3.3033033033033031E-2</v>
      </c>
      <c r="E31" s="7">
        <f t="shared" si="4"/>
        <v>3.3033033033033031E-2</v>
      </c>
      <c r="F31" s="7">
        <f t="shared" si="4"/>
        <v>3.3033033033033031E-2</v>
      </c>
      <c r="G31" s="7">
        <f t="shared" si="4"/>
        <v>3.3033033033033031E-2</v>
      </c>
      <c r="H31" s="7">
        <f t="shared" si="4"/>
        <v>3.3033033033033031E-2</v>
      </c>
      <c r="I31" s="7">
        <f t="shared" si="4"/>
        <v>3.3033033033033031E-2</v>
      </c>
      <c r="J31" s="1" t="s">
        <v>372</v>
      </c>
    </row>
    <row r="32" spans="1:10" x14ac:dyDescent="0.45">
      <c r="A32" s="13" t="s">
        <v>492</v>
      </c>
      <c r="B32" s="7">
        <f>(E32*1500)/1800</f>
        <v>0.20395395395395396</v>
      </c>
      <c r="C32" s="7">
        <f>(551+176+22+22+22+22)/2810</f>
        <v>0.29003558718861211</v>
      </c>
      <c r="D32" s="7">
        <f>(551+176+22+22+22+22)/2810</f>
        <v>0.29003558718861211</v>
      </c>
      <c r="E32" s="7">
        <f>(551+176+22+22+22+22)/3330</f>
        <v>0.24474474474474475</v>
      </c>
      <c r="F32" s="7">
        <f>(1521+2599)/(13416-6000)</f>
        <v>0.55555555555555558</v>
      </c>
      <c r="G32" s="7">
        <f>(13000*F32)/18000</f>
        <v>0.40123456790123457</v>
      </c>
      <c r="H32" s="7">
        <f>(1521+2599)/(13416-6000)</f>
        <v>0.55555555555555558</v>
      </c>
      <c r="I32" s="7">
        <f>3230/17000</f>
        <v>0.19</v>
      </c>
      <c r="J32" s="6" t="s">
        <v>508</v>
      </c>
    </row>
    <row r="33" spans="1:10" x14ac:dyDescent="0.45">
      <c r="A33" s="13" t="s">
        <v>493</v>
      </c>
      <c r="B33" s="7">
        <f>(1500*E33)/1800</f>
        <v>0.12687687687687688</v>
      </c>
      <c r="C33" s="7">
        <f>(66+163+55+90+84+49)/2810</f>
        <v>0.18042704626334519</v>
      </c>
      <c r="D33" s="7">
        <f>(66+163+55+90+84+49)/2810</f>
        <v>0.18042704626334519</v>
      </c>
      <c r="E33" s="7">
        <f>(66+163+55+90+84+49)/3330</f>
        <v>0.15225225225225225</v>
      </c>
      <c r="F33" s="7">
        <f>(H33*13000)/14000</f>
        <v>0.1443693173062105</v>
      </c>
      <c r="G33" s="7">
        <f>(H33*13000)/18000</f>
        <v>0.11228724679371928</v>
      </c>
      <c r="H33" s="7">
        <f>1.153/(13.416-6)</f>
        <v>0.15547464940668823</v>
      </c>
      <c r="I33" s="7">
        <v>0.12</v>
      </c>
      <c r="J33" s="6" t="s">
        <v>508</v>
      </c>
    </row>
    <row r="34" spans="1:10" x14ac:dyDescent="0.45">
      <c r="A34" s="13" t="s">
        <v>494</v>
      </c>
      <c r="B34" s="7">
        <f>110/3500</f>
        <v>3.1428571428571431E-2</v>
      </c>
      <c r="C34" s="7">
        <f>110/3500</f>
        <v>3.1428571428571431E-2</v>
      </c>
      <c r="D34" s="7">
        <f>110/3500</f>
        <v>3.1428571428571431E-2</v>
      </c>
      <c r="E34" s="7">
        <f t="shared" ref="E34:I34" si="5">110/3500</f>
        <v>3.1428571428571431E-2</v>
      </c>
      <c r="F34" s="7">
        <f t="shared" si="5"/>
        <v>3.1428571428571431E-2</v>
      </c>
      <c r="G34" s="7">
        <f t="shared" si="5"/>
        <v>3.1428571428571431E-2</v>
      </c>
      <c r="H34" s="7">
        <f>110/3500</f>
        <v>3.1428571428571431E-2</v>
      </c>
      <c r="I34" s="7">
        <f t="shared" si="5"/>
        <v>3.1428571428571431E-2</v>
      </c>
      <c r="J34" s="6" t="s">
        <v>376</v>
      </c>
    </row>
    <row r="35" spans="1:10" x14ac:dyDescent="0.45">
      <c r="A35" s="13" t="s">
        <v>496</v>
      </c>
      <c r="B35" s="15">
        <f>(1500*E35)/1800</f>
        <v>2.2022022022022022E-2</v>
      </c>
      <c r="C35" s="15">
        <f>88/2810</f>
        <v>3.1316725978647687E-2</v>
      </c>
      <c r="D35" s="15">
        <f>88/2810</f>
        <v>3.1316725978647687E-2</v>
      </c>
      <c r="E35" s="15">
        <f>88/3330</f>
        <v>2.6426426426426425E-2</v>
      </c>
      <c r="F35" s="15">
        <f>(H35*13000)/18000</f>
        <v>5.5997542850293652E-2</v>
      </c>
      <c r="G35" s="15">
        <f>(H35*13000)/14000</f>
        <v>7.1996840807520418E-2</v>
      </c>
      <c r="H35" s="15">
        <f>0.575/(13.416-6)</f>
        <v>7.7535059331175826E-2</v>
      </c>
      <c r="I35" s="26">
        <f>E35</f>
        <v>2.6426426426426425E-2</v>
      </c>
      <c r="J35" s="6" t="s">
        <v>507</v>
      </c>
    </row>
    <row r="36" spans="1:10" x14ac:dyDescent="0.45">
      <c r="A36" s="13" t="s">
        <v>497</v>
      </c>
      <c r="B36" s="15">
        <f>(E36*1500)/1800</f>
        <v>2.277277277277277E-2</v>
      </c>
      <c r="C36" s="15">
        <f>91/2810</f>
        <v>3.2384341637010677E-2</v>
      </c>
      <c r="D36" s="15">
        <f>91/2810</f>
        <v>3.2384341637010677E-2</v>
      </c>
      <c r="E36" s="15">
        <f>91/3330</f>
        <v>2.7327327327327327E-2</v>
      </c>
      <c r="F36" s="15">
        <f>(13000*H36)/18000</f>
        <v>2.1666666666666667E-2</v>
      </c>
      <c r="G36" s="15">
        <f>(13000*H36)/14000</f>
        <v>2.7857142857142858E-2</v>
      </c>
      <c r="H36" s="15">
        <v>0.03</v>
      </c>
      <c r="I36" s="15">
        <f>10%*0.5</f>
        <v>0.05</v>
      </c>
      <c r="J36" s="6" t="s">
        <v>511</v>
      </c>
    </row>
    <row r="37" spans="1:10" x14ac:dyDescent="0.45">
      <c r="A37" s="13" t="s">
        <v>498</v>
      </c>
      <c r="B37" s="15">
        <f>(E37*1500)/1800</f>
        <v>2.2522522522522521E-2</v>
      </c>
      <c r="C37" s="15">
        <f>90/2810</f>
        <v>3.2028469750889681E-2</v>
      </c>
      <c r="D37" s="15">
        <f>90/2810</f>
        <v>3.2028469750889681E-2</v>
      </c>
      <c r="E37" s="15">
        <f>90/3330</f>
        <v>2.7027027027027029E-2</v>
      </c>
      <c r="F37" s="15">
        <f>(13000*H37)/18000</f>
        <v>2.1666666666666667E-2</v>
      </c>
      <c r="G37" s="15">
        <f>(13000*H37)/14000</f>
        <v>2.7857142857142858E-2</v>
      </c>
      <c r="H37" s="15">
        <v>0.03</v>
      </c>
      <c r="I37" s="15">
        <f>10%*0.5</f>
        <v>0.05</v>
      </c>
      <c r="J37" s="6" t="s">
        <v>511</v>
      </c>
    </row>
    <row r="38" spans="1:10" ht="48" x14ac:dyDescent="0.45">
      <c r="A38" s="13" t="s">
        <v>499</v>
      </c>
      <c r="B38" s="15">
        <f>(E38*1500)/1800</f>
        <v>2.4274274274274272E-2</v>
      </c>
      <c r="C38" s="15">
        <f>(44+53)/2810</f>
        <v>3.4519572953736657E-2</v>
      </c>
      <c r="D38" s="15">
        <f>(44+53)/2810</f>
        <v>3.4519572953736657E-2</v>
      </c>
      <c r="E38" s="15">
        <f>(44+53)/3330</f>
        <v>2.9129129129129128E-2</v>
      </c>
      <c r="F38" s="15">
        <f>(H38*13000)/18000</f>
        <v>2.1666666666666667E-2</v>
      </c>
      <c r="G38" s="15">
        <f>(H38*13000)/14000</f>
        <v>2.7857142857142858E-2</v>
      </c>
      <c r="H38" s="15">
        <f>2%+1%</f>
        <v>0.03</v>
      </c>
      <c r="I38" s="15">
        <f>(E38*1500)/8000</f>
        <v>5.4617117117117114E-3</v>
      </c>
      <c r="J38" s="6" t="s">
        <v>512</v>
      </c>
    </row>
    <row r="39" spans="1:10" x14ac:dyDescent="0.45">
      <c r="A39" s="13" t="s">
        <v>500</v>
      </c>
      <c r="B39" s="7">
        <f>(E39*1600)/1800</f>
        <v>2.6426426426426428E-2</v>
      </c>
      <c r="C39" s="15">
        <f>64/2810</f>
        <v>2.2775800711743774E-2</v>
      </c>
      <c r="D39" s="15">
        <f>64/2810</f>
        <v>2.2775800711743774E-2</v>
      </c>
      <c r="E39" s="15">
        <f>99/3330</f>
        <v>2.9729729729729731E-2</v>
      </c>
      <c r="F39" s="15">
        <f>90/18000</f>
        <v>5.0000000000000001E-3</v>
      </c>
      <c r="G39" s="15">
        <f>90/14000</f>
        <v>6.4285714285714285E-3</v>
      </c>
      <c r="H39" s="15">
        <f>90/13000</f>
        <v>6.9230769230769233E-3</v>
      </c>
      <c r="I39" s="15">
        <f>90/8000</f>
        <v>1.125E-2</v>
      </c>
      <c r="J39" s="6" t="s">
        <v>513</v>
      </c>
    </row>
    <row r="40" spans="1:10" x14ac:dyDescent="0.45">
      <c r="A40" s="13" t="s">
        <v>503</v>
      </c>
      <c r="B40" s="7">
        <f>1-SUM(B26:B39)</f>
        <v>0.16659554607026172</v>
      </c>
      <c r="C40" s="26">
        <f>E40</f>
        <v>0.16691977691977689</v>
      </c>
      <c r="D40" s="26">
        <f>E40</f>
        <v>0.16691977691977689</v>
      </c>
      <c r="E40" s="7">
        <f>1-SUM(E26:E39)</f>
        <v>0.16691977691977689</v>
      </c>
      <c r="F40" s="7">
        <f>(H40*13000)/18000</f>
        <v>0.15387150904950256</v>
      </c>
      <c r="G40" s="26">
        <f>(H40*13000)/14000</f>
        <v>0.19783479734936044</v>
      </c>
      <c r="H40" s="7">
        <f>(1.58)/(13.416-6)</f>
        <v>0.21305285868392665</v>
      </c>
      <c r="I40" s="26">
        <f>1-SUM(I26:I39)</f>
        <v>0.22963561776061769</v>
      </c>
      <c r="J40" s="6" t="s">
        <v>515</v>
      </c>
    </row>
    <row r="41" spans="1:10" x14ac:dyDescent="0.45">
      <c r="A41" s="13" t="s">
        <v>516</v>
      </c>
      <c r="B41" s="26">
        <f t="shared" ref="B41:I41" si="6">SUM(B26:B40)</f>
        <v>1</v>
      </c>
      <c r="C41" s="26">
        <f t="shared" si="6"/>
        <v>1.1253671465059365</v>
      </c>
      <c r="D41" s="26">
        <f t="shared" si="6"/>
        <v>1.2008742639436587</v>
      </c>
      <c r="E41" s="26">
        <f t="shared" si="6"/>
        <v>1</v>
      </c>
      <c r="F41" s="26">
        <f t="shared" si="6"/>
        <v>1.2035668037182121</v>
      </c>
      <c r="G41" s="26">
        <f t="shared" si="6"/>
        <v>1.0078615475201291</v>
      </c>
      <c r="H41" s="26">
        <f t="shared" si="6"/>
        <v>1.2381643733245677</v>
      </c>
      <c r="I41" s="26">
        <f t="shared" si="6"/>
        <v>1</v>
      </c>
    </row>
    <row r="42" spans="1:10" ht="64" x14ac:dyDescent="0.45">
      <c r="A42" s="13" t="s">
        <v>535</v>
      </c>
      <c r="B42" s="26">
        <f>B26+B27+B28+B29+B30</f>
        <v>0.32009400061928495</v>
      </c>
      <c r="C42" s="26">
        <f t="shared" ref="C42:I42" si="7">C26+C27+C28+C29+C30</f>
        <v>0.27049822064056933</v>
      </c>
      <c r="D42" s="26">
        <f t="shared" si="7"/>
        <v>0.34600533807829176</v>
      </c>
      <c r="E42" s="26">
        <f t="shared" si="7"/>
        <v>0.23198198198198197</v>
      </c>
      <c r="F42" s="26">
        <f t="shared" si="7"/>
        <v>0.15931127449504529</v>
      </c>
      <c r="G42" s="26">
        <f t="shared" si="7"/>
        <v>7.004649020668996E-2</v>
      </c>
      <c r="H42" s="26">
        <f t="shared" si="7"/>
        <v>7.5161568962539838E-2</v>
      </c>
      <c r="I42" s="26">
        <f t="shared" si="7"/>
        <v>0.25276463963963963</v>
      </c>
    </row>
    <row r="43" spans="1:10" ht="64" x14ac:dyDescent="0.45">
      <c r="A43" s="13" t="s">
        <v>536</v>
      </c>
      <c r="B43" s="26">
        <f>SUM(B31:B40)</f>
        <v>0.67990599938071505</v>
      </c>
      <c r="C43" s="26">
        <f t="shared" ref="C43:I43" si="8">SUM(C31:C40)</f>
        <v>0.85486892586536711</v>
      </c>
      <c r="D43" s="26">
        <f t="shared" si="8"/>
        <v>0.85486892586536711</v>
      </c>
      <c r="E43" s="26">
        <f t="shared" si="8"/>
        <v>0.76801801801801806</v>
      </c>
      <c r="F43" s="26">
        <f t="shared" si="8"/>
        <v>1.044255529223167</v>
      </c>
      <c r="G43" s="26">
        <f t="shared" si="8"/>
        <v>0.93781505731343917</v>
      </c>
      <c r="H43" s="26">
        <f t="shared" si="8"/>
        <v>1.1630028043620277</v>
      </c>
      <c r="I43" s="26">
        <f t="shared" si="8"/>
        <v>0.7472353603603602</v>
      </c>
    </row>
    <row r="44" spans="1:10" x14ac:dyDescent="0.45">
      <c r="A44" s="13"/>
      <c r="B44" s="15"/>
    </row>
    <row r="45" spans="1:10" x14ac:dyDescent="0.45">
      <c r="A45" s="37" t="s">
        <v>517</v>
      </c>
      <c r="B45" s="15"/>
      <c r="C45" s="15"/>
      <c r="D45" s="6"/>
    </row>
    <row r="46" spans="1:10" x14ac:dyDescent="0.45">
      <c r="A46" t="s">
        <v>476</v>
      </c>
      <c r="B46" t="s">
        <v>477</v>
      </c>
      <c r="C46" t="s">
        <v>487</v>
      </c>
      <c r="D46" t="s">
        <v>488</v>
      </c>
      <c r="E46" t="s">
        <v>478</v>
      </c>
      <c r="F46" t="s">
        <v>489</v>
      </c>
      <c r="G46" t="s">
        <v>486</v>
      </c>
      <c r="H46" t="s">
        <v>485</v>
      </c>
      <c r="I46" t="s">
        <v>490</v>
      </c>
    </row>
    <row r="47" spans="1:10" x14ac:dyDescent="0.45">
      <c r="A47" t="s">
        <v>479</v>
      </c>
      <c r="B47" s="15">
        <f>B26</f>
        <v>0.22222222222222221</v>
      </c>
      <c r="C47" s="15">
        <f t="shared" ref="C47:I47" si="9">C26</f>
        <v>1.199288256227758E-2</v>
      </c>
      <c r="D47" s="15">
        <f t="shared" si="9"/>
        <v>8.7499999999999994E-2</v>
      </c>
      <c r="E47" s="15">
        <f t="shared" si="9"/>
        <v>0</v>
      </c>
      <c r="F47" s="15">
        <f t="shared" si="9"/>
        <v>0.13705583756345177</v>
      </c>
      <c r="G47" s="15">
        <f t="shared" si="9"/>
        <v>6.1827956989247311E-3</v>
      </c>
      <c r="H47" s="15">
        <f t="shared" si="9"/>
        <v>0</v>
      </c>
      <c r="I47" s="15">
        <f t="shared" si="9"/>
        <v>0</v>
      </c>
    </row>
    <row r="48" spans="1:10" x14ac:dyDescent="0.45">
      <c r="A48" t="s">
        <v>480</v>
      </c>
      <c r="B48" s="15">
        <f>B27</f>
        <v>0</v>
      </c>
      <c r="C48" s="15">
        <f t="shared" ref="C48:I48" si="10">C27</f>
        <v>0.16263345195729537</v>
      </c>
      <c r="D48" s="15">
        <f t="shared" si="10"/>
        <v>0.16263345195729537</v>
      </c>
      <c r="E48" s="15">
        <f t="shared" si="10"/>
        <v>0.19309309309309308</v>
      </c>
      <c r="F48" s="15">
        <f t="shared" si="10"/>
        <v>0</v>
      </c>
      <c r="G48" s="15">
        <f t="shared" si="10"/>
        <v>4.0241935483870971E-2</v>
      </c>
      <c r="H48" s="15">
        <f t="shared" si="10"/>
        <v>6.7421790722761596E-2</v>
      </c>
      <c r="I48" s="15">
        <f t="shared" si="10"/>
        <v>0.24</v>
      </c>
    </row>
    <row r="49" spans="1:9" x14ac:dyDescent="0.45">
      <c r="A49" s="13" t="s">
        <v>495</v>
      </c>
      <c r="B49" s="15">
        <f>B28</f>
        <v>7.5317409081127606E-2</v>
      </c>
      <c r="C49" s="15">
        <f t="shared" ref="C49:I49" si="11">C28</f>
        <v>6.2633451957295375E-2</v>
      </c>
      <c r="D49" s="15">
        <f t="shared" si="11"/>
        <v>6.2633451957295375E-2</v>
      </c>
      <c r="E49" s="15">
        <f t="shared" si="11"/>
        <v>0</v>
      </c>
      <c r="F49" s="15">
        <f t="shared" si="11"/>
        <v>0.02</v>
      </c>
      <c r="G49" s="15">
        <f t="shared" si="11"/>
        <v>1.2857142857142857E-2</v>
      </c>
      <c r="H49" s="15">
        <f t="shared" si="11"/>
        <v>0</v>
      </c>
      <c r="I49" s="15">
        <f t="shared" si="11"/>
        <v>0</v>
      </c>
    </row>
    <row r="50" spans="1:9" x14ac:dyDescent="0.45">
      <c r="A50" s="13" t="s">
        <v>501</v>
      </c>
      <c r="B50" s="15">
        <f>B29</f>
        <v>0</v>
      </c>
      <c r="C50" s="15">
        <f t="shared" ref="C50:I50" si="12">C29</f>
        <v>7.8647686832740218E-3</v>
      </c>
      <c r="D50" s="15">
        <f t="shared" si="12"/>
        <v>7.8647686832740218E-3</v>
      </c>
      <c r="E50" s="15">
        <f t="shared" si="12"/>
        <v>1.0810810810810811E-2</v>
      </c>
      <c r="F50" s="15">
        <f t="shared" si="12"/>
        <v>0</v>
      </c>
      <c r="G50" s="15">
        <f t="shared" si="12"/>
        <v>7.8647686832740218E-3</v>
      </c>
      <c r="H50" s="15">
        <f t="shared" si="12"/>
        <v>4.4999999999999997E-3</v>
      </c>
      <c r="I50" s="15">
        <f t="shared" si="12"/>
        <v>7.4999999999999997E-3</v>
      </c>
    </row>
    <row r="51" spans="1:9" x14ac:dyDescent="0.45">
      <c r="A51" s="13" t="s">
        <v>502</v>
      </c>
      <c r="B51" s="15">
        <f>(C51*1600)/1800</f>
        <v>2.2554369315935151E-2</v>
      </c>
      <c r="C51" s="15">
        <f>(8.5+2+1.8+23+6+30)/2810</f>
        <v>2.5373665480427045E-2</v>
      </c>
      <c r="D51" s="15">
        <f>(8.5+2+1.8+23+6+30)/2810</f>
        <v>2.5373665480427045E-2</v>
      </c>
      <c r="E51" s="15">
        <f>(8.5+2+24+23+6+30)/3330</f>
        <v>2.8078078078078078E-2</v>
      </c>
      <c r="F51" s="15">
        <f>(C51*1600)/18000</f>
        <v>2.255436931593515E-3</v>
      </c>
      <c r="G51" s="15">
        <f>(C51*1600)/14000</f>
        <v>2.8998474834773767E-3</v>
      </c>
      <c r="H51" s="15">
        <f>(E51*1500)/13000</f>
        <v>3.2397782397782398E-3</v>
      </c>
      <c r="I51" s="15">
        <f>(E51*1500)/8000</f>
        <v>5.2646396396396396E-3</v>
      </c>
    </row>
    <row r="52" spans="1:9" ht="32" x14ac:dyDescent="0.45">
      <c r="A52" s="13" t="s">
        <v>491</v>
      </c>
      <c r="B52" s="15">
        <f t="shared" ref="B52:B61" si="13">B31</f>
        <v>3.3033033033033031E-2</v>
      </c>
      <c r="C52" s="7">
        <f t="shared" ref="C52:D61" si="14">C31/C$43*(1-C$42)</f>
        <v>2.8188714838175758E-2</v>
      </c>
      <c r="D52" s="7">
        <f t="shared" si="14"/>
        <v>2.5271040526848407E-2</v>
      </c>
      <c r="E52" s="7">
        <f t="shared" ref="E52:E61" si="15">E31</f>
        <v>3.3033033033033031E-2</v>
      </c>
      <c r="F52" s="7">
        <f t="shared" ref="F52:H61" si="16">F31/F$43*(1-F$42)</f>
        <v>2.6593585250884313E-2</v>
      </c>
      <c r="G52" s="7">
        <f t="shared" si="16"/>
        <v>3.2756122615677265E-2</v>
      </c>
      <c r="H52" s="7">
        <f t="shared" si="16"/>
        <v>2.6268396196548614E-2</v>
      </c>
      <c r="I52" s="7">
        <f t="shared" ref="I52:I61" si="17">I31</f>
        <v>3.3033033033033031E-2</v>
      </c>
    </row>
    <row r="53" spans="1:9" x14ac:dyDescent="0.45">
      <c r="A53" s="13" t="s">
        <v>492</v>
      </c>
      <c r="B53" s="15">
        <f t="shared" si="13"/>
        <v>0.20395395395395396</v>
      </c>
      <c r="C53" s="7">
        <f t="shared" si="14"/>
        <v>0.24750165847643843</v>
      </c>
      <c r="D53" s="7">
        <f t="shared" si="14"/>
        <v>0.22188398718162486</v>
      </c>
      <c r="E53" s="7">
        <f t="shared" si="15"/>
        <v>0.24474474474474475</v>
      </c>
      <c r="F53" s="7">
        <f t="shared" si="16"/>
        <v>0.44725575194669076</v>
      </c>
      <c r="G53" s="7">
        <f t="shared" si="16"/>
        <v>0.39787108530658505</v>
      </c>
      <c r="H53" s="7">
        <f t="shared" si="16"/>
        <v>0.44178666330559041</v>
      </c>
      <c r="I53" s="7">
        <f t="shared" si="17"/>
        <v>0.19</v>
      </c>
    </row>
    <row r="54" spans="1:9" x14ac:dyDescent="0.45">
      <c r="A54" s="13" t="s">
        <v>493</v>
      </c>
      <c r="B54" s="15">
        <f t="shared" si="13"/>
        <v>0.12687687687687688</v>
      </c>
      <c r="C54" s="7">
        <f t="shared" si="14"/>
        <v>0.15396728938350215</v>
      </c>
      <c r="D54" s="7">
        <f t="shared" si="14"/>
        <v>0.13803089754734207</v>
      </c>
      <c r="E54" s="7">
        <f t="shared" si="15"/>
        <v>0.15225225225225225</v>
      </c>
      <c r="F54" s="7">
        <f t="shared" si="16"/>
        <v>0.11622601362567522</v>
      </c>
      <c r="G54" s="7">
        <f t="shared" si="16"/>
        <v>0.11134596149477974</v>
      </c>
      <c r="H54" s="7">
        <f t="shared" si="16"/>
        <v>0.12363592786197711</v>
      </c>
      <c r="I54" s="7">
        <f t="shared" si="17"/>
        <v>0.12</v>
      </c>
    </row>
    <row r="55" spans="1:9" x14ac:dyDescent="0.45">
      <c r="A55" s="13" t="s">
        <v>494</v>
      </c>
      <c r="B55" s="15">
        <f t="shared" si="13"/>
        <v>3.1428571428571431E-2</v>
      </c>
      <c r="C55" s="7">
        <f t="shared" si="14"/>
        <v>2.6819548688892941E-2</v>
      </c>
      <c r="D55" s="7">
        <f t="shared" si="14"/>
        <v>2.4043589986972917E-2</v>
      </c>
      <c r="E55" s="7">
        <f t="shared" si="15"/>
        <v>3.1428571428571431E-2</v>
      </c>
      <c r="F55" s="7">
        <f t="shared" si="16"/>
        <v>2.5301896824412792E-2</v>
      </c>
      <c r="G55" s="7">
        <f t="shared" si="16"/>
        <v>3.1165110945772945E-2</v>
      </c>
      <c r="H55" s="7">
        <f t="shared" si="16"/>
        <v>2.4992502667001974E-2</v>
      </c>
      <c r="I55" s="7">
        <f t="shared" si="17"/>
        <v>3.1428571428571431E-2</v>
      </c>
    </row>
    <row r="56" spans="1:9" x14ac:dyDescent="0.45">
      <c r="A56" s="13" t="s">
        <v>496</v>
      </c>
      <c r="B56" s="15">
        <f t="shared" si="13"/>
        <v>2.2022022022022022E-2</v>
      </c>
      <c r="C56" s="7">
        <f t="shared" si="14"/>
        <v>2.6724105455124637E-2</v>
      </c>
      <c r="D56" s="7">
        <f t="shared" si="14"/>
        <v>2.3958025609795076E-2</v>
      </c>
      <c r="E56" s="7">
        <f t="shared" si="15"/>
        <v>2.6426426426426425E-2</v>
      </c>
      <c r="F56" s="7">
        <f t="shared" si="16"/>
        <v>4.5081401642415218E-2</v>
      </c>
      <c r="G56" s="7">
        <f t="shared" si="16"/>
        <v>7.1393303275366762E-2</v>
      </c>
      <c r="H56" s="7">
        <f t="shared" si="16"/>
        <v>6.1657119272018071E-2</v>
      </c>
      <c r="I56" s="7">
        <f t="shared" si="17"/>
        <v>2.6426426426426425E-2</v>
      </c>
    </row>
    <row r="57" spans="1:9" x14ac:dyDescent="0.45">
      <c r="A57" s="13" t="s">
        <v>497</v>
      </c>
      <c r="B57" s="15">
        <f t="shared" si="13"/>
        <v>2.277277277277277E-2</v>
      </c>
      <c r="C57" s="7">
        <f t="shared" si="14"/>
        <v>2.7635154504731162E-2</v>
      </c>
      <c r="D57" s="7">
        <f t="shared" si="14"/>
        <v>2.4774776482856274E-2</v>
      </c>
      <c r="E57" s="7">
        <f t="shared" si="15"/>
        <v>2.7327327327327327E-2</v>
      </c>
      <c r="F57" s="7">
        <f t="shared" si="16"/>
        <v>1.744297432592094E-2</v>
      </c>
      <c r="G57" s="7">
        <f t="shared" si="16"/>
        <v>2.7623621065571476E-2</v>
      </c>
      <c r="H57" s="7">
        <f t="shared" si="16"/>
        <v>2.3856479818501881E-2</v>
      </c>
      <c r="I57" s="7">
        <f t="shared" si="17"/>
        <v>0.05</v>
      </c>
    </row>
    <row r="58" spans="1:9" x14ac:dyDescent="0.45">
      <c r="A58" s="13" t="s">
        <v>498</v>
      </c>
      <c r="B58" s="15">
        <f t="shared" si="13"/>
        <v>2.2522522522522521E-2</v>
      </c>
      <c r="C58" s="7">
        <f t="shared" si="14"/>
        <v>2.7331471488195654E-2</v>
      </c>
      <c r="D58" s="7">
        <f t="shared" si="14"/>
        <v>2.4502526191835874E-2</v>
      </c>
      <c r="E58" s="7">
        <f t="shared" si="15"/>
        <v>2.7027027027027029E-2</v>
      </c>
      <c r="F58" s="7">
        <f t="shared" si="16"/>
        <v>1.744297432592094E-2</v>
      </c>
      <c r="G58" s="7">
        <f t="shared" si="16"/>
        <v>2.7623621065571476E-2</v>
      </c>
      <c r="H58" s="7">
        <f t="shared" si="16"/>
        <v>2.3856479818501881E-2</v>
      </c>
      <c r="I58" s="7">
        <f t="shared" si="17"/>
        <v>0.05</v>
      </c>
    </row>
    <row r="59" spans="1:9" ht="48" x14ac:dyDescent="0.45">
      <c r="A59" s="13" t="s">
        <v>499</v>
      </c>
      <c r="B59" s="15">
        <f t="shared" si="13"/>
        <v>2.4274274274274272E-2</v>
      </c>
      <c r="C59" s="7">
        <f t="shared" si="14"/>
        <v>2.9457252603944203E-2</v>
      </c>
      <c r="D59" s="7">
        <f t="shared" si="14"/>
        <v>2.6408278228978663E-2</v>
      </c>
      <c r="E59" s="7">
        <f t="shared" si="15"/>
        <v>2.9129129129129128E-2</v>
      </c>
      <c r="F59" s="7">
        <f t="shared" si="16"/>
        <v>1.744297432592094E-2</v>
      </c>
      <c r="G59" s="7">
        <f t="shared" si="16"/>
        <v>2.7623621065571476E-2</v>
      </c>
      <c r="H59" s="7">
        <f t="shared" si="16"/>
        <v>2.3856479818501881E-2</v>
      </c>
      <c r="I59" s="7">
        <f t="shared" si="17"/>
        <v>5.4617117117117114E-3</v>
      </c>
    </row>
    <row r="60" spans="1:9" x14ac:dyDescent="0.45">
      <c r="A60" s="13" t="s">
        <v>500</v>
      </c>
      <c r="B60" s="15">
        <f t="shared" si="13"/>
        <v>2.6426426426426428E-2</v>
      </c>
      <c r="C60" s="7">
        <f t="shared" si="14"/>
        <v>1.9435713058272467E-2</v>
      </c>
      <c r="D60" s="7">
        <f t="shared" si="14"/>
        <v>1.7424018625305512E-2</v>
      </c>
      <c r="E60" s="7">
        <f t="shared" si="15"/>
        <v>2.9729729729729731E-2</v>
      </c>
      <c r="F60" s="7">
        <f t="shared" si="16"/>
        <v>4.0253017675202169E-3</v>
      </c>
      <c r="G60" s="7">
        <f t="shared" si="16"/>
        <v>6.374681784362647E-3</v>
      </c>
      <c r="H60" s="7">
        <f t="shared" si="16"/>
        <v>5.5053414965773578E-3</v>
      </c>
      <c r="I60" s="7">
        <f t="shared" si="17"/>
        <v>1.125E-2</v>
      </c>
    </row>
    <row r="61" spans="1:9" x14ac:dyDescent="0.45">
      <c r="A61" s="13" t="s">
        <v>503</v>
      </c>
      <c r="B61" s="15">
        <f t="shared" si="13"/>
        <v>0.16659554607026172</v>
      </c>
      <c r="C61" s="7">
        <f t="shared" si="14"/>
        <v>0.14244087086215332</v>
      </c>
      <c r="D61" s="7">
        <f t="shared" si="14"/>
        <v>0.12769752154014863</v>
      </c>
      <c r="E61" s="7">
        <f t="shared" si="15"/>
        <v>0.16691977691977689</v>
      </c>
      <c r="F61" s="7">
        <f t="shared" si="16"/>
        <v>0.12387585146959312</v>
      </c>
      <c r="G61" s="7">
        <f t="shared" si="16"/>
        <v>0.19617638117405126</v>
      </c>
      <c r="H61" s="7">
        <f t="shared" si="16"/>
        <v>0.16942304078224099</v>
      </c>
      <c r="I61" s="7">
        <f t="shared" si="17"/>
        <v>0.22963561776061769</v>
      </c>
    </row>
    <row r="62" spans="1:9" x14ac:dyDescent="0.45">
      <c r="A62" s="13" t="s">
        <v>516</v>
      </c>
      <c r="B62" s="7">
        <f t="shared" ref="B62:I62" si="18">SUM(B47:B61)</f>
        <v>1</v>
      </c>
      <c r="C62" s="7">
        <f t="shared" si="18"/>
        <v>1</v>
      </c>
      <c r="D62" s="7">
        <f t="shared" si="18"/>
        <v>1</v>
      </c>
      <c r="E62" s="7">
        <f t="shared" si="18"/>
        <v>1</v>
      </c>
      <c r="F62" s="7">
        <f t="shared" si="18"/>
        <v>0.99999999999999967</v>
      </c>
      <c r="G62" s="7">
        <f t="shared" si="18"/>
        <v>0.99999999999999989</v>
      </c>
      <c r="H62" s="7">
        <f t="shared" si="18"/>
        <v>1</v>
      </c>
      <c r="I62" s="7">
        <f t="shared" si="18"/>
        <v>1</v>
      </c>
    </row>
    <row r="63" spans="1:9" x14ac:dyDescent="0.45">
      <c r="A63" s="13"/>
      <c r="B63" s="15"/>
    </row>
    <row r="64" spans="1:9" x14ac:dyDescent="0.45">
      <c r="A64" s="13"/>
      <c r="B64" s="15"/>
    </row>
    <row r="65" spans="1:2" x14ac:dyDescent="0.45">
      <c r="A65" s="13"/>
      <c r="B65" s="15"/>
    </row>
  </sheetData>
  <mergeCells count="1">
    <mergeCell ref="A4:E4"/>
  </mergeCells>
  <hyperlinks>
    <hyperlink ref="D5" r:id="rId1" display="https://www.cmu.edu/me/ddl/publications/2009-TRB-Shiau-Samaras-Michalek-PHEV.pdf"/>
    <hyperlink ref="D6" r:id="rId2" display="https://publications.anl.gov/anlpubs/2006/12/58024.pdf"/>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Weight%</vt:lpstr>
      <vt:lpstr>Flow_amounts</vt:lpstr>
      <vt:lpstr>Weight% of vehicle components</vt:lpstr>
    </vt:vector>
  </TitlesOfParts>
  <Company>Empa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Berr, Marcus</dc:creator>
  <cp:lastModifiedBy>Berr, Marcus</cp:lastModifiedBy>
  <dcterms:created xsi:type="dcterms:W3CDTF">2022-04-14T07:19:16Z</dcterms:created>
  <dcterms:modified xsi:type="dcterms:W3CDTF">2023-05-15T17:31:42Z</dcterms:modified>
</cp:coreProperties>
</file>