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ma\Desktop\BW2 Methodology paper\LCIA method\LCIA_data\"/>
    </mc:Choice>
  </mc:AlternateContent>
  <bookViews>
    <workbookView xWindow="0" yWindow="0" windowWidth="24980" windowHeight="12680"/>
  </bookViews>
  <sheets>
    <sheet name="Tabelle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8" i="1" l="1"/>
  <c r="B118" i="1"/>
  <c r="C119" i="1"/>
  <c r="B119" i="1"/>
  <c r="C120" i="1"/>
  <c r="D119" i="1" l="1"/>
  <c r="D118" i="1"/>
  <c r="B120" i="1"/>
  <c r="D120" i="1" s="1"/>
  <c r="C112" i="1" l="1"/>
  <c r="B112" i="1"/>
  <c r="C113" i="1"/>
  <c r="B113" i="1"/>
  <c r="C114" i="1"/>
  <c r="D113" i="1" l="1"/>
  <c r="D112" i="1"/>
  <c r="B114" i="1"/>
  <c r="D114" i="1" s="1"/>
  <c r="C106" i="1" l="1"/>
  <c r="B106" i="1"/>
  <c r="C107" i="1"/>
  <c r="B107" i="1"/>
  <c r="C108" i="1"/>
  <c r="D107" i="1" l="1"/>
  <c r="D106" i="1"/>
  <c r="B108" i="1"/>
  <c r="D108" i="1" s="1"/>
  <c r="C94" i="1" l="1"/>
  <c r="B94" i="1"/>
  <c r="C95" i="1"/>
  <c r="B95" i="1"/>
  <c r="C96" i="1"/>
  <c r="D94" i="1" l="1"/>
  <c r="D95" i="1"/>
  <c r="B96" i="1"/>
  <c r="D96" i="1" s="1"/>
  <c r="C88" i="1" l="1"/>
  <c r="B88" i="1"/>
  <c r="D88" i="1" l="1"/>
  <c r="C89" i="1"/>
  <c r="B89" i="1"/>
  <c r="C90" i="1"/>
  <c r="D89" i="1" l="1"/>
  <c r="B90" i="1"/>
  <c r="D90" i="1" s="1"/>
  <c r="C76" i="1" l="1"/>
  <c r="B76" i="1" l="1"/>
  <c r="D76" i="1" s="1"/>
  <c r="C77" i="1"/>
  <c r="B77" i="1"/>
  <c r="C78" i="1"/>
  <c r="D77" i="1" l="1"/>
  <c r="B78" i="1"/>
  <c r="D78" i="1" s="1"/>
  <c r="C70" i="1" l="1"/>
  <c r="B70" i="1"/>
  <c r="C71" i="1"/>
  <c r="B71" i="1"/>
  <c r="C72" i="1"/>
  <c r="D70" i="1" l="1"/>
  <c r="D71" i="1"/>
  <c r="B72" i="1"/>
  <c r="D72" i="1" s="1"/>
  <c r="C100" i="1" l="1"/>
  <c r="B100" i="1"/>
  <c r="C101" i="1"/>
  <c r="B101" i="1"/>
  <c r="C102" i="1"/>
  <c r="D101" i="1" l="1"/>
  <c r="D100" i="1"/>
  <c r="B102" i="1"/>
  <c r="D102" i="1" s="1"/>
  <c r="C64" i="1" l="1"/>
  <c r="B64" i="1"/>
  <c r="C65" i="1"/>
  <c r="B65" i="1"/>
  <c r="C66" i="1"/>
  <c r="D65" i="1" l="1"/>
  <c r="D64" i="1"/>
  <c r="B66" i="1"/>
  <c r="D66" i="1" s="1"/>
  <c r="C82" i="1" l="1"/>
  <c r="B82" i="1"/>
  <c r="C83" i="1"/>
  <c r="B83" i="1"/>
  <c r="C84" i="1"/>
  <c r="D82" i="1" l="1"/>
  <c r="D83" i="1"/>
  <c r="B84" i="1"/>
  <c r="D84" i="1" s="1"/>
  <c r="C48" i="1" l="1"/>
  <c r="B48" i="1"/>
  <c r="C58" i="1" l="1"/>
  <c r="B58" i="1"/>
  <c r="C59" i="1"/>
  <c r="B59" i="1"/>
  <c r="D59" i="1" l="1"/>
  <c r="D58" i="1"/>
  <c r="C60" i="1"/>
  <c r="B60" i="1" l="1"/>
  <c r="D60" i="1" s="1"/>
  <c r="I52" i="1" l="1"/>
  <c r="H52" i="1"/>
  <c r="I53" i="1"/>
  <c r="H53" i="1"/>
  <c r="I54" i="1"/>
  <c r="J53" i="1" l="1"/>
  <c r="J52" i="1"/>
  <c r="H54" i="1"/>
  <c r="J54" i="1" s="1"/>
  <c r="F52" i="1" l="1"/>
  <c r="E52" i="1"/>
  <c r="F53" i="1"/>
  <c r="E53" i="1"/>
  <c r="F54" i="1"/>
  <c r="G52" i="1" l="1"/>
  <c r="G53" i="1"/>
  <c r="E54" i="1"/>
  <c r="G54" i="1" s="1"/>
  <c r="C53" i="1" l="1"/>
  <c r="L53" i="1" s="1"/>
  <c r="B53" i="1"/>
  <c r="K53" i="1" s="1"/>
  <c r="M53" i="1" l="1"/>
  <c r="D53" i="1"/>
  <c r="B54" i="1" l="1"/>
  <c r="K54" i="1" s="1"/>
  <c r="C54" i="1"/>
  <c r="L54" i="1" s="1"/>
  <c r="M54" i="1" l="1"/>
  <c r="D54" i="1"/>
  <c r="C52" i="1"/>
  <c r="L52" i="1" s="1"/>
  <c r="B52" i="1"/>
  <c r="K52" i="1" s="1"/>
  <c r="M52" i="1" l="1"/>
  <c r="D52" i="1"/>
  <c r="C46" i="1"/>
  <c r="B46" i="1"/>
  <c r="D46" i="1" l="1"/>
  <c r="B47" i="1" l="1"/>
  <c r="C47" i="1"/>
  <c r="D47" i="1" l="1"/>
  <c r="D48" i="1" l="1"/>
  <c r="K29" i="1"/>
  <c r="J29" i="1"/>
  <c r="G29" i="1"/>
  <c r="F29" i="1"/>
  <c r="C29" i="1"/>
  <c r="B29" i="1"/>
  <c r="K28" i="1"/>
  <c r="J28" i="1"/>
  <c r="G28" i="1"/>
  <c r="F28" i="1"/>
  <c r="C28" i="1"/>
  <c r="B28" i="1"/>
  <c r="C42" i="1"/>
  <c r="B42" i="1"/>
  <c r="C41" i="1"/>
  <c r="B41" i="1"/>
  <c r="C40" i="1"/>
  <c r="B40" i="1"/>
  <c r="C36" i="1"/>
  <c r="B36" i="1"/>
  <c r="C35" i="1"/>
  <c r="B35" i="1"/>
  <c r="C34" i="1"/>
  <c r="B34" i="1"/>
  <c r="J30" i="1"/>
  <c r="K30" i="1"/>
  <c r="G30" i="1"/>
  <c r="F30" i="1"/>
  <c r="C30" i="1"/>
  <c r="B30" i="1"/>
  <c r="B9" i="1" l="1"/>
  <c r="B11" i="1"/>
  <c r="D40" i="1"/>
  <c r="D42" i="1" l="1"/>
  <c r="D41" i="1"/>
  <c r="B10" i="1" l="1"/>
  <c r="D30" i="1" l="1"/>
  <c r="E30" i="1" s="1"/>
  <c r="D36" i="1"/>
  <c r="D34" i="1" l="1"/>
  <c r="D35" i="1"/>
  <c r="D10" i="1" l="1"/>
  <c r="D9" i="1"/>
  <c r="D11" i="1"/>
  <c r="C10" i="1"/>
  <c r="C9" i="1"/>
  <c r="L29" i="1" l="1"/>
  <c r="M29" i="1" s="1"/>
  <c r="L28" i="1"/>
  <c r="M28" i="1" s="1"/>
  <c r="L30" i="1"/>
  <c r="M30" i="1" s="1"/>
  <c r="H28" i="1"/>
  <c r="I28" i="1" s="1"/>
  <c r="H29" i="1"/>
  <c r="I29" i="1" s="1"/>
  <c r="H30" i="1" l="1"/>
  <c r="I30" i="1" s="1"/>
  <c r="C11" i="1"/>
  <c r="E11" i="1" l="1"/>
  <c r="B16" i="1" s="1"/>
  <c r="D29" i="1"/>
  <c r="E29" i="1" s="1"/>
  <c r="E10" i="1" l="1"/>
  <c r="B15" i="1" s="1"/>
  <c r="D16" i="1"/>
  <c r="C16" i="1"/>
  <c r="B23" i="1" s="1"/>
  <c r="D28" i="1"/>
  <c r="E28" i="1" s="1"/>
  <c r="H23" i="1" l="1"/>
  <c r="E66" i="1" s="1"/>
  <c r="I23" i="1"/>
  <c r="E78" i="1" s="1"/>
  <c r="J23" i="1"/>
  <c r="E72" i="1" s="1"/>
  <c r="K23" i="1"/>
  <c r="N23" i="1" s="1"/>
  <c r="E102" i="1" s="1"/>
  <c r="N30" i="1"/>
  <c r="C23" i="1"/>
  <c r="E36" i="1"/>
  <c r="E16" i="1"/>
  <c r="C15" i="1"/>
  <c r="D15" i="1"/>
  <c r="J22" i="1" s="1"/>
  <c r="E9" i="1"/>
  <c r="K22" i="1" l="1"/>
  <c r="N22" i="1" s="1"/>
  <c r="H22" i="1"/>
  <c r="I22" i="1"/>
  <c r="D23" i="1"/>
  <c r="E42" i="1" s="1"/>
  <c r="E71" i="1"/>
  <c r="E77" i="1"/>
  <c r="E84" i="1"/>
  <c r="E65" i="1"/>
  <c r="B22" i="1"/>
  <c r="C22" i="1"/>
  <c r="E35" i="1"/>
  <c r="N29" i="1"/>
  <c r="B14" i="1"/>
  <c r="D14" i="1"/>
  <c r="E15" i="1"/>
  <c r="C14" i="1"/>
  <c r="K21" i="1" l="1"/>
  <c r="N21" i="1" s="1"/>
  <c r="J21" i="1"/>
  <c r="I21" i="1"/>
  <c r="E76" i="1" s="1"/>
  <c r="H21" i="1"/>
  <c r="E64" i="1" s="1"/>
  <c r="D22" i="1"/>
  <c r="L23" i="1"/>
  <c r="E90" i="1" s="1"/>
  <c r="M23" i="1"/>
  <c r="E96" i="1" s="1"/>
  <c r="E23" i="1"/>
  <c r="E70" i="1"/>
  <c r="E83" i="1"/>
  <c r="E101" i="1"/>
  <c r="N28" i="1"/>
  <c r="E34" i="1"/>
  <c r="B21" i="1"/>
  <c r="C21" i="1"/>
  <c r="D21" i="1" s="1"/>
  <c r="E14" i="1"/>
  <c r="E22" i="1" l="1"/>
  <c r="L22" i="1"/>
  <c r="M22" i="1"/>
  <c r="E95" i="1" s="1"/>
  <c r="E41" i="1"/>
  <c r="L21" i="1"/>
  <c r="M21" i="1"/>
  <c r="E94" i="1" s="1"/>
  <c r="E21" i="1"/>
  <c r="F21" i="1" s="1"/>
  <c r="G21" i="1" s="1"/>
  <c r="E58" i="1" s="1"/>
  <c r="O23" i="1"/>
  <c r="P23" i="1" s="1"/>
  <c r="Q23" i="1" s="1"/>
  <c r="E48" i="1"/>
  <c r="F23" i="1"/>
  <c r="E89" i="1"/>
  <c r="E82" i="1"/>
  <c r="E100" i="1"/>
  <c r="E40" i="1"/>
  <c r="E108" i="1" l="1"/>
  <c r="O21" i="1"/>
  <c r="P21" i="1" s="1"/>
  <c r="Q21" i="1" s="1"/>
  <c r="G23" i="1"/>
  <c r="E60" i="1" s="1"/>
  <c r="N54" i="1"/>
  <c r="O22" i="1"/>
  <c r="P22" i="1" s="1"/>
  <c r="Q22" i="1" s="1"/>
  <c r="E47" i="1"/>
  <c r="F22" i="1"/>
  <c r="E88" i="1"/>
  <c r="N52" i="1"/>
  <c r="E46" i="1"/>
  <c r="E120" i="1"/>
  <c r="E114" i="1"/>
  <c r="N53" i="1" l="1"/>
  <c r="G22" i="1"/>
  <c r="E59" i="1" s="1"/>
  <c r="E107" i="1"/>
  <c r="E119" i="1"/>
  <c r="E113" i="1"/>
  <c r="E106" i="1"/>
  <c r="E118" i="1" l="1"/>
  <c r="E112" i="1"/>
</calcChain>
</file>

<file path=xl/sharedStrings.xml><?xml version="1.0" encoding="utf-8"?>
<sst xmlns="http://schemas.openxmlformats.org/spreadsheetml/2006/main" count="167" uniqueCount="61">
  <si>
    <t>BACI global trade data</t>
  </si>
  <si>
    <t>year</t>
  </si>
  <si>
    <t>BEV</t>
  </si>
  <si>
    <t>Netweight (kg)</t>
  </si>
  <si>
    <t>Trade Value ($)</t>
  </si>
  <si>
    <t>PHEVcomp</t>
  </si>
  <si>
    <t>PHEVspark</t>
  </si>
  <si>
    <t>$/kg</t>
  </si>
  <si>
    <t>BEV weight</t>
  </si>
  <si>
    <t>PHEV weight</t>
  </si>
  <si>
    <t>Term</t>
  </si>
  <si>
    <t>Value</t>
  </si>
  <si>
    <t>Unit</t>
  </si>
  <si>
    <t>Source</t>
  </si>
  <si>
    <t>kg</t>
  </si>
  <si>
    <t>see Excel sheet "Inventory flows_Swiss_EV" tab "Additional_data_Co"</t>
  </si>
  <si>
    <t>$/piece</t>
  </si>
  <si>
    <t>total</t>
  </si>
  <si>
    <t>EV average</t>
  </si>
  <si>
    <t>EV data</t>
  </si>
  <si>
    <t>LIB data</t>
  </si>
  <si>
    <t>BEV: LIB weight</t>
  </si>
  <si>
    <t>PHEV: LIB weight</t>
  </si>
  <si>
    <t>Shares of EVs sold per year*</t>
  </si>
  <si>
    <t>*the distribution of different EV types is needed for calculating the shares of the different sizes of LIBs used in the EVs. For the years 2014 to 2016, where no specific EV trade data is given in BACI, the average distribution from the years 2017 to 2019 is considered.</t>
  </si>
  <si>
    <t>LIB weight in average EV</t>
  </si>
  <si>
    <t>Cell weight in average EV</t>
  </si>
  <si>
    <t>Cell data</t>
  </si>
  <si>
    <t>Average EV weight</t>
  </si>
  <si>
    <t>Weights in Netweight (kg)</t>
  </si>
  <si>
    <t>Cobalt powder in average EV</t>
  </si>
  <si>
    <t>Cobalt powder data</t>
  </si>
  <si>
    <t>Cobalt intermediate data</t>
  </si>
  <si>
    <t>Cobalt matte data</t>
  </si>
  <si>
    <t>EV pieces sold per year</t>
  </si>
  <si>
    <t>Nickel matte data</t>
  </si>
  <si>
    <t>Nickel sulfide data</t>
  </si>
  <si>
    <t>Cobalt intermediate</t>
  </si>
  <si>
    <t>Cobalt content of cobalt intermediate in average EV</t>
  </si>
  <si>
    <t>Cobalt ore data</t>
  </si>
  <si>
    <t>Cobalt content of cobalt ore in average EV</t>
  </si>
  <si>
    <t>EV wiring data</t>
  </si>
  <si>
    <t>EV wiring in average EV</t>
  </si>
  <si>
    <t>EV body data</t>
  </si>
  <si>
    <t>EV body in average EV</t>
  </si>
  <si>
    <t>Al wire data</t>
  </si>
  <si>
    <t>Al wire in average EV</t>
  </si>
  <si>
    <t>EV chassis data</t>
  </si>
  <si>
    <t>EV chassis in average EV</t>
  </si>
  <si>
    <t>EV motor data</t>
  </si>
  <si>
    <t>EV motor in average EV</t>
  </si>
  <si>
    <t>Al foil data</t>
  </si>
  <si>
    <t>Al foil in average EV</t>
  </si>
  <si>
    <t>Al plate data</t>
  </si>
  <si>
    <t>Al plate in average EV</t>
  </si>
  <si>
    <t>Al unwrought data</t>
  </si>
  <si>
    <t>Al unwrought in average EV</t>
  </si>
  <si>
    <t>Al oxide data</t>
  </si>
  <si>
    <t>Al oxide in average EV</t>
  </si>
  <si>
    <t>BX ore data</t>
  </si>
  <si>
    <t>BX ore in average 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</si>
</sst>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2" x14ac:knownFonts="1">
    <font>
      <sz val="10"/>
      <color theme="1"/>
      <name val="Segoe UI"/>
      <family val="2"/>
    </font>
    <font>
      <sz val="10"/>
      <color theme="1"/>
      <name val="Segoe UI"/>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7">
    <xf numFmtId="0" fontId="0" fillId="0" borderId="0" xfId="0"/>
    <xf numFmtId="0" fontId="0" fillId="0" borderId="0" xfId="0" applyAlignment="1">
      <alignment wrapText="1"/>
    </xf>
    <xf numFmtId="0" fontId="0" fillId="0" borderId="0" xfId="0" applyFont="1" applyFill="1"/>
    <xf numFmtId="0" fontId="0" fillId="0" borderId="0" xfId="0" applyFill="1"/>
    <xf numFmtId="9" fontId="0" fillId="0" borderId="0" xfId="1" applyFont="1"/>
    <xf numFmtId="9" fontId="0" fillId="0" borderId="0" xfId="0" applyNumberFormat="1"/>
    <xf numFmtId="0" fontId="0" fillId="0" borderId="0" xfId="1" applyNumberFormat="1" applyFont="1"/>
    <xf numFmtId="1" fontId="0" fillId="0" borderId="0" xfId="1" applyNumberFormat="1" applyFont="1"/>
    <xf numFmtId="43" fontId="0" fillId="0" borderId="0" xfId="0" applyNumberFormat="1"/>
    <xf numFmtId="1" fontId="0" fillId="0" borderId="0" xfId="1" applyNumberFormat="1" applyFont="1" applyAlignment="1">
      <alignment wrapText="1"/>
    </xf>
    <xf numFmtId="164" fontId="0" fillId="0" borderId="0" xfId="0" applyNumberFormat="1"/>
    <xf numFmtId="43" fontId="0" fillId="0" borderId="0" xfId="2" applyFont="1"/>
    <xf numFmtId="164" fontId="0" fillId="0" borderId="0" xfId="2" applyNumberFormat="1" applyFont="1"/>
    <xf numFmtId="9" fontId="0" fillId="0" borderId="0" xfId="1" applyFont="1" applyAlignment="1">
      <alignment wrapText="1"/>
    </xf>
    <xf numFmtId="1" fontId="0" fillId="0" borderId="0" xfId="0" applyNumberFormat="1"/>
    <xf numFmtId="2" fontId="0" fillId="0" borderId="0" xfId="2" applyNumberFormat="1" applyFont="1"/>
    <xf numFmtId="2" fontId="0" fillId="0" borderId="0" xfId="0" applyNumberFormat="1"/>
  </cellXfs>
  <cellStyles count="3">
    <cellStyle name="Komma" xfId="2" builtinId="3"/>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38" Type="http://schemas.openxmlformats.org/officeDocument/2006/relationships/externalLink" Target="externalLinks/externalLink137.xml"/><Relationship Id="rId16" Type="http://schemas.openxmlformats.org/officeDocument/2006/relationships/externalLink" Target="externalLinks/externalLink1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28" Type="http://schemas.openxmlformats.org/officeDocument/2006/relationships/externalLink" Target="externalLinks/externalLink127.xml"/><Relationship Id="rId144" Type="http://schemas.openxmlformats.org/officeDocument/2006/relationships/externalLink" Target="externalLinks/externalLink143.xml"/><Relationship Id="rId149" Type="http://schemas.openxmlformats.org/officeDocument/2006/relationships/theme" Target="theme/theme1.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18" Type="http://schemas.openxmlformats.org/officeDocument/2006/relationships/externalLink" Target="externalLinks/externalLink117.xml"/><Relationship Id="rId134" Type="http://schemas.openxmlformats.org/officeDocument/2006/relationships/externalLink" Target="externalLinks/externalLink133.xml"/><Relationship Id="rId139" Type="http://schemas.openxmlformats.org/officeDocument/2006/relationships/externalLink" Target="externalLinks/externalLink13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50" Type="http://schemas.openxmlformats.org/officeDocument/2006/relationships/styles" Target="styles.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16" Type="http://schemas.openxmlformats.org/officeDocument/2006/relationships/externalLink" Target="externalLinks/externalLink115.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137" Type="http://schemas.openxmlformats.org/officeDocument/2006/relationships/externalLink" Target="externalLinks/externalLink13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51"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calcChain" Target="calcChain.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3"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ma/Desktop/BW2%20Methodology%20paper/LCIA%20method/Inventory_data/Inventory%20flows_Swiss_EV.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comp_Global_Netweight_2018.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plate_notrectangular_Global_Netweight_2017.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plate_rectangular_Global_Netweight_2017.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plate_notrectangular_Global_TradeValue_2017.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plate_rectangular_Global_TradeValue_2017.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plate_notrectangular_Global_Netweight_2018.xlsx"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plate_rectangular_Global_Netweight_2018.xlsx"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plate_notrectangular_Global_TradeValue_2018.xlsx"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plate_rectangular_Global_TradeValue_2018.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_plate_notrectangular_Global_Netweight.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_plate_rectangular_Global_Netweigh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comp_Global_TradeValue_2018.xlsx"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_plate_notrectangular_Global_TradeValue.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plate_data/Al_plate_rectangular_Global_TradeValue.xlsx"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wire_higher7mm_Global_Netweight_2017.xlsx"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wire_lower7mm_Global_Netweight_2017.xlsx"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wire_higher7mm_Global_TradeValue_2017.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wire_lower7mm_Global_TradeValue_2017.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wire_higher7mm_Global_Netweight_2018.xlsx"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wire_lower7mm_Global_Netweight_2018.xlsx"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wire_higher7mm_Global_TradeValue_2018.xlsx"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wire_lower7mm_Global_TradeValue_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spark_Global_Netweight_2018.xlsx"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_wire_higher7mm_Global_Netweight.xlsx"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_wire_lower7mm_Global_Netweight.xlsx"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_wire_higher7mm_Global_TradeValue.xlsx"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wire_data/Al_wire_lower7mm_Global_TradeValue.xlsx"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alloyed)_Global_Netweight_2017.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notalloyed)_Global_Netweight_2017.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alloyed)_Global_TradeValue_2017.xlsx"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notalloyed)_Global_TradeValue_2017.xlsx"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alloyed)_Global_Netweight_2018.xlsx"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notalloyed)_Global_Netweight_2018.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spark_Global_TradeValue_2018.xlsx"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alloyed)_Global_TradeValue_2018.xlsx"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notalloyed)_Global_TradeValue_2018.xlsx"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alloyed)_Global_Netweight.xlsx"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notalloyed)_Global_Netweight.xlsx"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alloyed)_Global_TradeValue.xlsx"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Al_unwrought_data/Al_unwrought(notalloyed)_Global_TradeValue.xlsx"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Al_oxide_data/Al_oxide_Global_Netweight_2017.xlsx"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Al_oxide_data/Al_oxide_Global_TradeValue_2017.xlsx"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Al_oxide_data/Al_oxide_Global_Netweight_2018.xlsx"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Al_oxide_data/Al_oxide_Global_TradeValue_2018.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BEV_Global_Netweight.xlsx"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Al_oxide_data/Al_oxide_Global_Netweight.xlsx"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Al_oxide_data/Al_oxide_Global_TradeValue.xlsx"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BX_ore_data/BX_ore_Global_Netweight_2017.xlsx"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BX_ore_data/BX_ore_Global_TradeValue_2017.xlsx"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BX_ore_data/BX_ore_Global_Netweight_2018.xlsx"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BX_ore_data/BX_ore_Global_TradeValue_2018.xlsx"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BX_ore_data/BX_ore_Global_Netweight.xlsx"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BX_ore_data/BX_ore_Global_TradeValue.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BEV_Global_TradeValu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comp_Global_Netweight.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spark_Global_TradeValue.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spark_Global_Netweight.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LIB_data/LIB_Global_Netweight_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BEV_Global_Netweight_2017.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LIB_data/LIB_Global_TradeValue_2017.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LIB_data/LIB_Global_Netweight_201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LIB_data/LIB_Global_TradeValue_2018.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LIB_data/LIB_Global_Netweight.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LIB_data/LIB_Global_TradeValue.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Cell_data/Cell_Global_disaggregated_2017.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Cell_data/Cell_Global_disaggregated_2018.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Cell_data/Cell_Global_disaggregated.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Co_powder_data/Cobalt%20powder%20global%20disagregated_2017.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Co_powder_data/Cobalt%20powder%20global%20disagregated_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BEV_Global_TradeValue_2017.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4_Co_powder_data/Cobalt%20powder%20global%20disagregated.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Cobalt_matte_global_disaggregated_2017.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_matte_Global_Netweight_2017.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_matte_Global_TradeValue_2017.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_sulfide_Global_Netweight_2017.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_sulfide_Global_TradeValue_2017.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Cobalt_matte_global_disaggregated_2018.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_matte_Global_Netweight_2018.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_matte_Global_TradeValue_2018.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_sulfide_Global_Netweight_20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comp_Global_Netweight_2017.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_sulfide_Global_TradeValue_2018.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Cobalt_matte_global_disaggregated.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20matte_netweight_globa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20matte_TradeValue_global.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20sulfide_netweight_global.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5_Co_intermediate_data/Nickel%20sulfide_tradevalue_global.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Co_ore_data/Cobalt_ore_Global_Netweight_2017.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Co_ore_data/Cobalt_ore_Global_TradeValue_2017.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Co_ore_data/Cobalt_ore_Global_Netweight_2018.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Co_ore_data/Cobalt_ore_Global_TradeValue_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comp_Global_TradeValue_2017.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Co_ore_data/Cobalt_ores_netweight_global.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6_Co_ore_data/Cobalt_ores_TradeValue_global.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body_data/EV_body_Global_Netweight_2017.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body_data/EV_body_Global_TradeValue_2017.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body_data/EV_body_Global_Netweight_2018.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body_data/EV_body_Global_TradeValue_2018.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body_data/EV_body_Global_Netweight.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body_data/EV_body_Global_TradeValue.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chassis_data/EV_chassis_Global_Netweight_2017.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chassis_data/EV_chassis_Global_TradeValue_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spark_Global_Netweight_2017.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chassis_data/EV_chassis_Global_Netweight_2018.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chassis_data/EV_chassis_Global_TradeValue_2018.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chassis_data/EV_chassis_Global_Netweight.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chassis_data/EV_chassis_Global_TradeValue.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75kW)_Global_Netweight_2017.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over75kW)_Global_Netweight_2017.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75kW)_Global_Netweight_2017.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375kW)_Global_Netweight_2017.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75kW)_Global_TradeValue_2017.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over75kW)_Global_TradeValue_201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PHEVspark_Global_TradeValue_2017.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75kW)_Global_TradeValue_2017.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375kW)_Global_TradeValue_2017.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75kW)_Global_Netweight_2018.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over75kW)_Global_Netweight_2018.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75kW)_Global_Netweight_2018.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375kW)_Global_Netweight_2018.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75kW)_Global_TradeValue_2018.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over75kW)_Global_TradeValue_2018.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75kW)_Global_TradeValue_2018.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375kW)_Global_TradeValue_201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BEV_Global_Netweight_2018.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75kW)_Global_Netweight.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over75kW)_Global_Netweight.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75kW)_Global_Netweight.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375kW)_Global_Netweight.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75kW)_Global_TradeValue.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AC,over75kW)_Global_TradeValue.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75kW)_Global_TradeValue.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motor_data/Electric_motor(DC,375kW)_Global_TradeValue.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wiring_data/EV_wiring_Global_Netweight_2017.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wiring_data/EV_wiring_Global_TradeValue_201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1_EV_data/BEV_Global_TradeValue_2018.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wiring_data/EV_wiring_Global_Netweight_2018.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wiring_data/EV_wiring_Global_TradeValue_2018.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wiring_data/EV_wiring_Global_Netweight.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2_EV_wiring_data/EV_wiring_Global_TradeValue.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foil_data/Al_foil_Global_Netweight_2017.xlsx"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foil_data/Al_foil_Global_TradeValue_2017.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foil_data/Al_foil_Global_Netweight_2018.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foil_data/Al_foil_Global_TradeValue_2018.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foil_data/Al_foil_Global_Netweight.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Users/bma/Desktop/BW2%20Methodology%20paper/BACI_data_filter/03_Al_foil_data/Al_foil_Global_Trade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BACI data"/>
      <sheetName val="Additional_data_Co"/>
      <sheetName val="Co_SC"/>
      <sheetName val="Co_SC_cut-off"/>
      <sheetName val="Co_SC_check"/>
      <sheetName val="Co_SC_cor"/>
      <sheetName val="Co_SC_temp_rel"/>
      <sheetName val="Additional_data_Al"/>
      <sheetName val="Al_SC"/>
      <sheetName val="Al_SC_cut-off"/>
      <sheetName val="Al_SC_check"/>
      <sheetName val="Al_SC_cor"/>
      <sheetName val="Al_SC_temp_rel"/>
      <sheetName val="Flows_Co_Al content"/>
    </sheetNames>
    <sheetDataSet>
      <sheetData sheetId="0"/>
      <sheetData sheetId="1"/>
      <sheetData sheetId="2">
        <row r="68">
          <cell r="B68">
            <v>0.625</v>
          </cell>
        </row>
        <row r="129">
          <cell r="B129">
            <v>4.9339450000000007E-2</v>
          </cell>
        </row>
      </sheetData>
      <sheetData sheetId="3"/>
      <sheetData sheetId="4"/>
      <sheetData sheetId="5"/>
      <sheetData sheetId="6"/>
      <sheetData sheetId="7"/>
      <sheetData sheetId="8">
        <row r="35">
          <cell r="B35">
            <v>0.22</v>
          </cell>
        </row>
        <row r="36">
          <cell r="B36">
            <v>0.16</v>
          </cell>
        </row>
        <row r="71">
          <cell r="B71">
            <v>0.1</v>
          </cell>
        </row>
        <row r="72">
          <cell r="B72">
            <v>0.04</v>
          </cell>
        </row>
        <row r="107">
          <cell r="B107">
            <v>0.2</v>
          </cell>
        </row>
        <row r="108">
          <cell r="B108">
            <v>0.15</v>
          </cell>
        </row>
        <row r="149">
          <cell r="B149">
            <v>2.3333333333333334E-2</v>
          </cell>
        </row>
        <row r="150">
          <cell r="B150">
            <v>2.6249999999999999E-2</v>
          </cell>
        </row>
        <row r="191">
          <cell r="B191">
            <v>0.14070731777826728</v>
          </cell>
        </row>
        <row r="238">
          <cell r="B238">
            <v>0.14838226238435459</v>
          </cell>
        </row>
        <row r="239">
          <cell r="B239">
            <v>0.25818513654877695</v>
          </cell>
        </row>
        <row r="240">
          <cell r="B240">
            <v>0.15246277459992436</v>
          </cell>
        </row>
        <row r="241">
          <cell r="B241">
            <v>0.19170988300058611</v>
          </cell>
        </row>
        <row r="242">
          <cell r="B242">
            <v>0.15246277459992436</v>
          </cell>
        </row>
        <row r="317">
          <cell r="B317">
            <v>0.21</v>
          </cell>
        </row>
        <row r="377">
          <cell r="B377">
            <v>0.997</v>
          </cell>
        </row>
        <row r="378">
          <cell r="B378">
            <v>0.89857999999999993</v>
          </cell>
        </row>
        <row r="472">
          <cell r="B472">
            <v>0.52</v>
          </cell>
        </row>
        <row r="473">
          <cell r="B473">
            <v>0.997</v>
          </cell>
        </row>
        <row r="548">
          <cell r="B548">
            <v>0.41</v>
          </cell>
        </row>
      </sheetData>
      <sheetData sheetId="9"/>
      <sheetData sheetId="10"/>
      <sheetData sheetId="11"/>
      <sheetData sheetId="12"/>
      <sheetData sheetId="13"/>
      <sheetData sheetId="1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comp_Global_Netweight_2018"/>
    </sheetNames>
    <sheetDataSet>
      <sheetData sheetId="0">
        <row r="237">
          <cell r="IE237">
            <v>16996157</v>
          </cell>
        </row>
      </sheetData>
      <sheetData sheetId="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1949340.3883199999</v>
          </cell>
        </row>
      </sheetData>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35204447.472479992</v>
          </cell>
        </row>
      </sheetData>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6470389.392479999</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115903555.40087993</v>
          </cell>
        </row>
      </sheetData>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2079082.9191599998</v>
          </cell>
        </row>
      </sheetData>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37761997.001040012</v>
          </cell>
        </row>
      </sheetData>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6894617.0248800023</v>
          </cell>
        </row>
      </sheetData>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132706536.18300001</v>
          </cell>
        </row>
      </sheetData>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2009580.5667600008</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38293924.888440005</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comp_Global_TradeValue_2018"/>
    </sheetNames>
    <sheetDataSet>
      <sheetData sheetId="0">
        <row r="237">
          <cell r="IE237">
            <v>312524326</v>
          </cell>
        </row>
      </sheetData>
      <sheetData sheetId="1"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8430270.6508800015</v>
          </cell>
        </row>
      </sheetData>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165425112.79007998</v>
          </cell>
        </row>
      </sheetData>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775508.9901000004</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266687.10509999993</v>
          </cell>
        </row>
      </sheetData>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2488214.2116000005</v>
          </cell>
        </row>
      </sheetData>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1198198.0803000003</v>
          </cell>
        </row>
      </sheetData>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782152.13309999974</v>
          </cell>
        </row>
      </sheetData>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258869.48880000002</v>
          </cell>
        </row>
      </sheetData>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2607841.5479999995</v>
          </cell>
        </row>
      </sheetData>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1349317.9479000005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spark_Global_Netweight_2018"/>
    </sheetNames>
    <sheetDataSet>
      <sheetData sheetId="0">
        <row r="237">
          <cell r="IE237">
            <v>519739715</v>
          </cell>
        </row>
      </sheetData>
      <sheetData sheetId="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656608.65659999987</v>
          </cell>
        </row>
      </sheetData>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252980.02859999987</v>
          </cell>
        </row>
      </sheetData>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2007583.2114000008</v>
          </cell>
        </row>
      </sheetData>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1186757.0052000007</v>
          </cell>
        </row>
      </sheetData>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96848238.446959987</v>
          </cell>
        </row>
      </sheetData>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93415312.150159985</v>
          </cell>
        </row>
      </sheetData>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207223612.38488013</v>
          </cell>
        </row>
      </sheetData>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179677265.86263999</v>
          </cell>
        </row>
      </sheetData>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98305634.437920004</v>
          </cell>
        </row>
      </sheetData>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88362167.821200013</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spark_Global_TradeValue_201"/>
    </sheetNames>
    <sheetDataSet>
      <sheetData sheetId="0">
        <row r="237">
          <cell r="IE237">
            <v>11642558723</v>
          </cell>
        </row>
      </sheetData>
      <sheetData sheetId="1"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232198743.54768002</v>
          </cell>
        </row>
      </sheetData>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202771094.11832002</v>
          </cell>
        </row>
      </sheetData>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95490943.329600006</v>
          </cell>
        </row>
      </sheetData>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84347311.630400032</v>
          </cell>
        </row>
      </sheetData>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195956461.53719997</v>
          </cell>
        </row>
      </sheetData>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161077633.34935999</v>
          </cell>
        </row>
      </sheetData>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252427594.64286011</v>
          </cell>
        </row>
      </sheetData>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89584920.927319974</v>
          </cell>
        </row>
      </sheetData>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242315146.510528</v>
          </cell>
        </row>
      </sheetData>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115638934.87873995</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EV_Global_Netweight"/>
    </sheetNames>
    <sheetDataSet>
      <sheetData sheetId="0">
        <row r="237">
          <cell r="IE237">
            <v>1133867101</v>
          </cell>
        </row>
      </sheetData>
      <sheetData sheetId="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234969471.33732796</v>
          </cell>
        </row>
      </sheetData>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95218683.925091997</v>
          </cell>
        </row>
      </sheetData>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651285728.01219189</v>
          </cell>
        </row>
      </sheetData>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26864924.128951989</v>
          </cell>
        </row>
      </sheetData>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764119924.92326379</v>
          </cell>
        </row>
      </sheetData>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35071537.050367996</v>
          </cell>
        </row>
      </sheetData>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927792351.50674772</v>
          </cell>
        </row>
      </sheetData>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40143496.195711993</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EV_Global_TradeValue"/>
    </sheetNames>
    <sheetDataSet>
      <sheetData sheetId="0">
        <row r="237">
          <cell r="IE237">
            <v>24724082375</v>
          </cell>
        </row>
      </sheetData>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comp_Global_Netweight"/>
    </sheetNames>
    <sheetDataSet>
      <sheetData sheetId="0">
        <row r="237">
          <cell r="IE237">
            <v>28597188</v>
          </cell>
        </row>
      </sheetData>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spark_Global_TradeValue"/>
    </sheetNames>
    <sheetDataSet>
      <sheetData sheetId="0">
        <row r="237">
          <cell r="IE237">
            <v>15065335391</v>
          </cell>
        </row>
      </sheetData>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spark_Global_Netweight"/>
    </sheetNames>
    <sheetDataSet>
      <sheetData sheetId="0">
        <row r="237">
          <cell r="IE237">
            <v>738583476</v>
          </cell>
        </row>
      </sheetData>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B_Global_Netweight_2017"/>
    </sheetNames>
    <sheetDataSet>
      <sheetData sheetId="0">
        <row r="237">
          <cell r="IE237">
            <v>331309574.25</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EV_Global_Netweight_2017"/>
    </sheetNames>
    <sheetDataSet>
      <sheetData sheetId="0">
        <row r="237">
          <cell r="IE237">
            <v>373324067</v>
          </cell>
        </row>
      </sheetData>
      <sheetData sheetId="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B_Global_TradeValue_2017"/>
    </sheetNames>
    <sheetDataSet>
      <sheetData sheetId="0">
        <row r="237">
          <cell r="IE237">
            <v>14234798862.75</v>
          </cell>
        </row>
      </sheetData>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B_Global_Netweight_2018"/>
    </sheetNames>
    <sheetDataSet>
      <sheetData sheetId="0">
        <row r="237">
          <cell r="IF237">
            <v>366180168.75</v>
          </cell>
        </row>
      </sheetData>
      <sheetData sheetId="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B_Global_TradeValue_2018"/>
    </sheetNames>
    <sheetDataSet>
      <sheetData sheetId="0">
        <row r="237">
          <cell r="IF237">
            <v>19102177236</v>
          </cell>
        </row>
      </sheetData>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B_Global_Netweight"/>
    </sheetNames>
    <sheetDataSet>
      <sheetData sheetId="0">
        <row r="237">
          <cell r="IE237">
            <v>459836425.5</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B_Global_TradeValue"/>
    </sheetNames>
    <sheetDataSet>
      <sheetData sheetId="0">
        <row r="237">
          <cell r="IE237">
            <v>23087838898.5</v>
          </cell>
        </row>
      </sheetData>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etweight"/>
      <sheetName val="Trade_value"/>
      <sheetName val="$tokg_ratio"/>
      <sheetName val="$tokg_ratio(Req.1&amp;2)"/>
      <sheetName val="$tokg_ratio(Req.1&amp;3)"/>
      <sheetName val="Trade_value_Cell"/>
      <sheetName val="Netweight_Cell(Req.1&amp;2)"/>
      <sheetName val="Netweight_Cell(Req.1&amp;3)"/>
      <sheetName val="Netweight_Cell"/>
    </sheetNames>
    <sheetDataSet>
      <sheetData sheetId="0"/>
      <sheetData sheetId="1"/>
      <sheetData sheetId="2"/>
      <sheetData sheetId="3"/>
      <sheetData sheetId="4"/>
      <sheetData sheetId="5"/>
      <sheetData sheetId="6">
        <row r="237">
          <cell r="ID237">
            <v>1339832820.2400002</v>
          </cell>
        </row>
      </sheetData>
      <sheetData sheetId="7"/>
      <sheetData sheetId="8"/>
      <sheetData sheetId="9">
        <row r="237">
          <cell r="ID237">
            <v>43515031.860000007</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etweight"/>
      <sheetName val="Trade_value"/>
      <sheetName val="$tokg_ratio"/>
      <sheetName val="$tokg_ratio(Req.1&amp;2)"/>
      <sheetName val="$tokg_ratio(Req.1&amp;3)"/>
      <sheetName val="Trade_value_Cell"/>
      <sheetName val="Netweight_Cell(Req.1&amp;2)"/>
      <sheetName val="Netweight_Cell(Req.1&amp;3)"/>
      <sheetName val="Netweight_Cell"/>
    </sheetNames>
    <sheetDataSet>
      <sheetData sheetId="0"/>
      <sheetData sheetId="1"/>
      <sheetData sheetId="2"/>
      <sheetData sheetId="3"/>
      <sheetData sheetId="4"/>
      <sheetData sheetId="5"/>
      <sheetData sheetId="6">
        <row r="237">
          <cell r="ID237">
            <v>1452038578.9200001</v>
          </cell>
        </row>
      </sheetData>
      <sheetData sheetId="7"/>
      <sheetData sheetId="8"/>
      <sheetData sheetId="9">
        <row r="237">
          <cell r="ID237">
            <v>62338910.940000013</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etweight"/>
      <sheetName val="Trade_value"/>
      <sheetName val="$tokg_ratio"/>
      <sheetName val="$tokg_ratio(Req.1&amp;2)"/>
      <sheetName val="$tokg_ratio(Req.1&amp;3)"/>
      <sheetName val="Trade_value_LIBcell"/>
      <sheetName val="kgto$_ratio(Req.1&amp;2)"/>
      <sheetName val="kgto$_ratio(Req.1&amp;3)"/>
      <sheetName val="Netweight_LIBcell"/>
    </sheetNames>
    <sheetDataSet>
      <sheetData sheetId="0"/>
      <sheetData sheetId="1"/>
      <sheetData sheetId="2"/>
      <sheetData sheetId="3"/>
      <sheetData sheetId="4"/>
      <sheetData sheetId="5"/>
      <sheetData sheetId="6">
        <row r="237">
          <cell r="IE237">
            <v>1399041784.0799997</v>
          </cell>
        </row>
      </sheetData>
      <sheetData sheetId="7"/>
      <sheetData sheetId="8"/>
      <sheetData sheetId="9">
        <row r="237">
          <cell r="IE237">
            <v>73685147.939999998</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etweight"/>
      <sheetName val="TradeValue"/>
      <sheetName val="$tokg_ratio"/>
      <sheetName val="$tokg_ratio(Req.1&amp;2)"/>
      <sheetName val="$tokg_ratio(Req.1&amp;3)"/>
      <sheetName val="TradeValue_Copow"/>
      <sheetName val="Netweight_Req1&amp;2"/>
      <sheetName val="Netweight_Req1&amp;3"/>
      <sheetName val="Netweight_Copow"/>
    </sheetNames>
    <sheetDataSet>
      <sheetData sheetId="0"/>
      <sheetData sheetId="1"/>
      <sheetData sheetId="2"/>
      <sheetData sheetId="3"/>
      <sheetData sheetId="4"/>
      <sheetData sheetId="5"/>
      <sheetData sheetId="6">
        <row r="237">
          <cell r="ID237">
            <v>867249721.42799997</v>
          </cell>
        </row>
      </sheetData>
      <sheetData sheetId="7"/>
      <sheetData sheetId="8"/>
      <sheetData sheetId="9">
        <row r="237">
          <cell r="ID237">
            <v>17498892.063000005</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etweight"/>
      <sheetName val="TradeValue"/>
      <sheetName val="$tokg_ratio"/>
      <sheetName val="$tokg_ratio(Req.1&amp;2)"/>
      <sheetName val="$tokg_ratio(Req.1&amp;3)"/>
      <sheetName val="TradeValue_Copow"/>
      <sheetName val="Netweight_Req1&amp;2"/>
      <sheetName val="Netweight_Req1&amp;3"/>
      <sheetName val="Netweight_Copow"/>
    </sheetNames>
    <sheetDataSet>
      <sheetData sheetId="0"/>
      <sheetData sheetId="1"/>
      <sheetData sheetId="2"/>
      <sheetData sheetId="3"/>
      <sheetData sheetId="4"/>
      <sheetData sheetId="5"/>
      <sheetData sheetId="6">
        <row r="237">
          <cell r="ID237">
            <v>3774455086.4729981</v>
          </cell>
        </row>
      </sheetData>
      <sheetData sheetId="7"/>
      <sheetData sheetId="8"/>
      <sheetData sheetId="9">
        <row r="237">
          <cell r="ID237">
            <v>156202001.0009999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EV_Global_TradeValue_2017"/>
    </sheetNames>
    <sheetDataSet>
      <sheetData sheetId="0">
        <row r="237">
          <cell r="IE237">
            <v>8385139870</v>
          </cell>
        </row>
      </sheetData>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etweight"/>
      <sheetName val="TradeValue"/>
      <sheetName val="$tokg_ratio"/>
      <sheetName val="$tokg_ratio(Req.1&amp;2)"/>
      <sheetName val="$tokg_ratio(Req.1&amp;3)"/>
      <sheetName val="TradeValue_Copow"/>
      <sheetName val="Netweight_Req1&amp;2"/>
      <sheetName val="Netweight_Req1&amp;3"/>
      <sheetName val="Netweight_Copow"/>
    </sheetNames>
    <sheetDataSet>
      <sheetData sheetId="0"/>
      <sheetData sheetId="1"/>
      <sheetData sheetId="2"/>
      <sheetData sheetId="3"/>
      <sheetData sheetId="4"/>
      <sheetData sheetId="5"/>
      <sheetData sheetId="6">
        <row r="237">
          <cell r="ID237">
            <v>2257266340.1519995</v>
          </cell>
        </row>
      </sheetData>
      <sheetData sheetId="7"/>
      <sheetData sheetId="8"/>
      <sheetData sheetId="9">
        <row r="237">
          <cell r="ID237">
            <v>224857163.06100011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etweight"/>
      <sheetName val="TradeValue"/>
      <sheetName val="$tokg_ratio"/>
      <sheetName val="$tokg_ratio(Req.1)"/>
      <sheetName val="$tokg_ratio(Req.2&amp;3)"/>
      <sheetName val="TradeValue_matte"/>
      <sheetName val="Netweight_Req1"/>
      <sheetName val="Netweight_Req2&amp;3"/>
      <sheetName val="Netweight_matte"/>
    </sheetNames>
    <sheetDataSet>
      <sheetData sheetId="0"/>
      <sheetData sheetId="1"/>
      <sheetData sheetId="2"/>
      <sheetData sheetId="3"/>
      <sheetData sheetId="4"/>
      <sheetData sheetId="5"/>
      <sheetData sheetId="6">
        <row r="237">
          <cell r="ID237">
            <v>564790770.12</v>
          </cell>
        </row>
      </sheetData>
      <sheetData sheetId="7"/>
      <sheetData sheetId="8"/>
      <sheetData sheetId="9">
        <row r="237">
          <cell r="ID237">
            <v>64749427.086000018</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118424412.68400002</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753321216.09600031</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140993114.29199994</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614360567.73600006</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etweight"/>
      <sheetName val="TradeValue"/>
      <sheetName val="$tokg_ratio"/>
      <sheetName val="$tokg_ratio(Req.1)"/>
      <sheetName val="$tokg_ratio(Req.2&amp;3)"/>
      <sheetName val="TradeValue_matte"/>
      <sheetName val="Netweight_Req1"/>
      <sheetName val="Netweight_Req2&amp;3"/>
      <sheetName val="Netweight_matte"/>
    </sheetNames>
    <sheetDataSet>
      <sheetData sheetId="0"/>
      <sheetData sheetId="1"/>
      <sheetData sheetId="2"/>
      <sheetData sheetId="3"/>
      <sheetData sheetId="4"/>
      <sheetData sheetId="5"/>
      <sheetData sheetId="6">
        <row r="237">
          <cell r="ID237">
            <v>510742702.34999979</v>
          </cell>
        </row>
      </sheetData>
      <sheetData sheetId="7"/>
      <sheetData sheetId="8"/>
      <sheetData sheetId="9">
        <row r="237">
          <cell r="ID237">
            <v>34078513.362000003</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123550465.464</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958933246.87199998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117009795.65999998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comp_Global_Netweight_2017"/>
    </sheetNames>
    <sheetDataSet>
      <sheetData sheetId="0">
        <row r="237">
          <cell r="IE237">
            <v>12200867</v>
          </cell>
        </row>
      </sheetData>
      <sheetData sheetId="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683729584.98000026</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Netweight"/>
      <sheetName val="TradeValue"/>
      <sheetName val="$tokg_ratio"/>
      <sheetName val="$tokg_ratio(Req.1)"/>
      <sheetName val="$tokg_ratio(Req.2&amp;3)"/>
      <sheetName val="TradeValue_matte"/>
      <sheetName val="Netweight_Req1"/>
      <sheetName val="Netweight_Req2&amp;3"/>
      <sheetName val="Netweight_matte"/>
      <sheetName val="kgto$_ratio"/>
    </sheetNames>
    <sheetDataSet>
      <sheetData sheetId="0"/>
      <sheetData sheetId="1"/>
      <sheetData sheetId="2"/>
      <sheetData sheetId="3"/>
      <sheetData sheetId="4"/>
      <sheetData sheetId="5"/>
      <sheetData sheetId="6">
        <row r="237">
          <cell r="ID237">
            <v>603748036.39800024</v>
          </cell>
        </row>
      </sheetData>
      <sheetData sheetId="7"/>
      <sheetData sheetId="8"/>
      <sheetData sheetId="9">
        <row r="237">
          <cell r="ID237">
            <v>99860381.65200004</v>
          </cell>
        </row>
      </sheetData>
      <sheetData sheetId="1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127252334.23200001</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1034681333.1599998</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133582157.42399998</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653545630.75200009</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48933568.764000013</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156886730.78400004</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55466598.612000018</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256031593.75200003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comp_Global_TradeValue_2017"/>
    </sheetNames>
    <sheetDataSet>
      <sheetData sheetId="0">
        <row r="237">
          <cell r="IE237">
            <v>248032862</v>
          </cell>
        </row>
      </sheetData>
      <sheetData sheetId="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28267559.544</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64393025.939999975</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12021750.000000002</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101054676.00800002</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12603356.74</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96613986.767999917</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15518382.099999998</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95558528.779999986</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8733403.7440000046</v>
          </cell>
        </row>
      </sheetData>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94325004.176000014</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spark_Global_Netweight_2017"/>
    </sheetNames>
    <sheetDataSet>
      <sheetData sheetId="0">
        <row r="237">
          <cell r="IE237">
            <v>468371864</v>
          </cell>
        </row>
      </sheetData>
      <sheetData sheetId="1"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15228405.061999999</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100489665.874</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13124190.898</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84228473.524000004</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335428214.65999991</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151909536.58000004</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76947388.720000014</v>
          </cell>
        </row>
      </sheetData>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29923770.499999974</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3319878456.8000007</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1694517582.4999995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HEVspark_Global_TradeValue_201"/>
    </sheetNames>
    <sheetDataSet>
      <sheetData sheetId="0">
        <row r="237">
          <cell r="IE237">
            <v>9291916303</v>
          </cell>
        </row>
      </sheetData>
      <sheetData sheetId="1"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714894606.13999987</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154186073.36000001</v>
          </cell>
        </row>
      </sheetData>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346961725.20000017</v>
          </cell>
        </row>
      </sheetData>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163203675.53999999</v>
          </cell>
        </row>
      </sheetData>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75919852.679999992</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32257820.160000008</v>
          </cell>
        </row>
      </sheetData>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3656800517.7799997</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1897710757.7400002</v>
          </cell>
        </row>
      </sheetData>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883141880.37999988</v>
          </cell>
        </row>
      </sheetData>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162022499.96000001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EV_Global_Netweight_2018"/>
    </sheetNames>
    <sheetDataSet>
      <sheetData sheetId="0">
        <row r="237">
          <cell r="IE237">
            <v>462712771</v>
          </cell>
        </row>
      </sheetData>
      <sheetData sheetId="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354376290.85999972</v>
          </cell>
        </row>
      </sheetData>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182173505.14000002</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93393165.660000011</v>
          </cell>
        </row>
      </sheetData>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57193498.779999986</v>
          </cell>
        </row>
      </sheetData>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3456024165.0600014</v>
          </cell>
        </row>
      </sheetData>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2074967853.7200005</v>
          </cell>
        </row>
      </sheetData>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932842661.33999991</v>
          </cell>
        </row>
      </sheetData>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182044922.25999999</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33652489.402448781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782093542.73870027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EV_Global_TradeValue_2018"/>
    </sheetNames>
    <sheetDataSet>
      <sheetData sheetId="0">
        <row r="237">
          <cell r="IE237">
            <v>11115813959</v>
          </cell>
        </row>
      </sheetData>
      <sheetData sheetId="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35358751.367175601</v>
          </cell>
        </row>
      </sheetData>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867991238.72491205</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39665377.419007592</v>
          </cell>
        </row>
      </sheetData>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870603638.18898606</v>
          </cell>
        </row>
      </sheetData>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18864183.131999988</v>
          </cell>
        </row>
      </sheetData>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108596663.82000002</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19335151.583999999</v>
          </cell>
        </row>
      </sheetData>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F237">
            <v>115670063.91600001</v>
          </cell>
        </row>
      </sheetData>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21132295.020000018</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7">
          <cell r="IE237">
            <v>111123626.00400004</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20"/>
  <sheetViews>
    <sheetView tabSelected="1" workbookViewId="0">
      <selection activeCell="I13" sqref="I13"/>
    </sheetView>
  </sheetViews>
  <sheetFormatPr baseColWidth="10" defaultRowHeight="16" x14ac:dyDescent="0.45"/>
  <cols>
    <col min="1" max="1" width="17.26953125" customWidth="1"/>
    <col min="2" max="3" width="15.81640625" customWidth="1"/>
    <col min="4" max="5" width="13.54296875" customWidth="1"/>
    <col min="6" max="6" width="19.54296875" customWidth="1"/>
    <col min="7" max="7" width="12.54296875" customWidth="1"/>
    <col min="8" max="8" width="12.7265625" customWidth="1"/>
    <col min="9" max="9" width="14" customWidth="1"/>
    <col min="10" max="10" width="17.81640625" customWidth="1"/>
    <col min="11" max="11" width="13.81640625" customWidth="1"/>
    <col min="12" max="12" width="16.81640625" customWidth="1"/>
    <col min="13" max="13" width="11.81640625" customWidth="1"/>
    <col min="14" max="14" width="14.7265625" customWidth="1"/>
    <col min="15" max="15" width="15" customWidth="1"/>
    <col min="20" max="20" width="11.81640625" bestFit="1" customWidth="1"/>
  </cols>
  <sheetData>
    <row r="2" spans="1:5" x14ac:dyDescent="0.45">
      <c r="A2" s="2" t="s">
        <v>10</v>
      </c>
      <c r="B2" s="3" t="s">
        <v>11</v>
      </c>
      <c r="C2" s="3" t="s">
        <v>12</v>
      </c>
      <c r="D2" s="3" t="s">
        <v>13</v>
      </c>
    </row>
    <row r="3" spans="1:5" x14ac:dyDescent="0.45">
      <c r="A3" t="s">
        <v>8</v>
      </c>
      <c r="B3">
        <v>1800</v>
      </c>
      <c r="C3" t="s">
        <v>14</v>
      </c>
      <c r="D3" t="s">
        <v>15</v>
      </c>
    </row>
    <row r="4" spans="1:5" x14ac:dyDescent="0.45">
      <c r="A4" t="s">
        <v>9</v>
      </c>
      <c r="B4">
        <v>1600</v>
      </c>
      <c r="C4" t="s">
        <v>14</v>
      </c>
      <c r="D4" t="s">
        <v>15</v>
      </c>
    </row>
    <row r="5" spans="1:5" x14ac:dyDescent="0.45">
      <c r="A5" t="s">
        <v>21</v>
      </c>
      <c r="B5" s="6">
        <v>400</v>
      </c>
      <c r="C5" s="6" t="s">
        <v>14</v>
      </c>
      <c r="D5" t="s">
        <v>15</v>
      </c>
    </row>
    <row r="6" spans="1:5" x14ac:dyDescent="0.45">
      <c r="A6" t="s">
        <v>22</v>
      </c>
      <c r="B6" s="6">
        <v>140</v>
      </c>
      <c r="C6" s="6" t="s">
        <v>14</v>
      </c>
      <c r="D6" t="s">
        <v>15</v>
      </c>
    </row>
    <row r="7" spans="1:5" x14ac:dyDescent="0.45">
      <c r="B7" s="6"/>
      <c r="C7" s="6"/>
    </row>
    <row r="8" spans="1:5" ht="32" x14ac:dyDescent="0.45">
      <c r="A8" s="1" t="s">
        <v>34</v>
      </c>
      <c r="B8" t="s">
        <v>2</v>
      </c>
      <c r="C8" t="s">
        <v>5</v>
      </c>
      <c r="D8" t="s">
        <v>6</v>
      </c>
      <c r="E8" t="s">
        <v>17</v>
      </c>
    </row>
    <row r="9" spans="1:5" x14ac:dyDescent="0.45">
      <c r="A9">
        <v>2017</v>
      </c>
      <c r="B9" s="12">
        <f>B28/$B$3</f>
        <v>207402.25944444444</v>
      </c>
      <c r="C9" s="12">
        <f>F28/$B$4</f>
        <v>7625.5418749999999</v>
      </c>
      <c r="D9" s="12">
        <f>J28/$B$4</f>
        <v>292732.41499999998</v>
      </c>
      <c r="E9" s="12">
        <f>SUM(B9:D9)</f>
        <v>507760.21631944441</v>
      </c>
    </row>
    <row r="10" spans="1:5" x14ac:dyDescent="0.45">
      <c r="A10">
        <v>2018</v>
      </c>
      <c r="B10" s="12">
        <f>B29/$B$3</f>
        <v>257062.65055555556</v>
      </c>
      <c r="C10" s="12">
        <f>F29/$B$4</f>
        <v>10622.598125</v>
      </c>
      <c r="D10" s="12">
        <f>J29/$B$4</f>
        <v>324837.32187500002</v>
      </c>
      <c r="E10" s="12">
        <f>SUM(B10:D10)</f>
        <v>592522.57055555563</v>
      </c>
    </row>
    <row r="11" spans="1:5" x14ac:dyDescent="0.45">
      <c r="A11">
        <v>2019</v>
      </c>
      <c r="B11" s="12">
        <f>B30/$B$3</f>
        <v>629926.1672222222</v>
      </c>
      <c r="C11" s="12">
        <f>F30/$B$4</f>
        <v>17873.2425</v>
      </c>
      <c r="D11" s="12">
        <f>J30/$B$4</f>
        <v>461614.67249999999</v>
      </c>
      <c r="E11" s="12">
        <f>SUM(B11:D11)</f>
        <v>1109414.0822222224</v>
      </c>
    </row>
    <row r="13" spans="1:5" ht="32" x14ac:dyDescent="0.45">
      <c r="A13" s="1" t="s">
        <v>23</v>
      </c>
      <c r="B13" t="s">
        <v>2</v>
      </c>
      <c r="C13" t="s">
        <v>5</v>
      </c>
      <c r="D13" t="s">
        <v>6</v>
      </c>
      <c r="E13" t="s">
        <v>17</v>
      </c>
    </row>
    <row r="14" spans="1:5" x14ac:dyDescent="0.45">
      <c r="A14">
        <v>2017</v>
      </c>
      <c r="B14" s="4">
        <f t="shared" ref="B14:D16" si="0">B9/$E9</f>
        <v>0.40846496590028747</v>
      </c>
      <c r="C14" s="4">
        <f t="shared" si="0"/>
        <v>1.5017997924836601E-2</v>
      </c>
      <c r="D14" s="4">
        <f t="shared" si="0"/>
        <v>0.57651703617487593</v>
      </c>
      <c r="E14" s="5">
        <f>SUM(B14:D14)</f>
        <v>1</v>
      </c>
    </row>
    <row r="15" spans="1:5" x14ac:dyDescent="0.45">
      <c r="A15">
        <v>2018</v>
      </c>
      <c r="B15" s="4">
        <f t="shared" si="0"/>
        <v>0.43384448682609816</v>
      </c>
      <c r="C15" s="4">
        <f t="shared" si="0"/>
        <v>1.7927752718415665E-2</v>
      </c>
      <c r="D15" s="4">
        <f t="shared" si="0"/>
        <v>0.54822776045548616</v>
      </c>
      <c r="E15" s="5">
        <f>SUM(B15:D15)</f>
        <v>1</v>
      </c>
    </row>
    <row r="16" spans="1:5" x14ac:dyDescent="0.45">
      <c r="A16">
        <v>2019</v>
      </c>
      <c r="B16" s="4">
        <f t="shared" si="0"/>
        <v>0.56780076737483143</v>
      </c>
      <c r="C16" s="4">
        <f t="shared" si="0"/>
        <v>1.6110524272595163E-2</v>
      </c>
      <c r="D16" s="4">
        <f t="shared" si="0"/>
        <v>0.41608870835257322</v>
      </c>
      <c r="E16" s="5">
        <f>SUM(B16:D16)</f>
        <v>0.99999999999999978</v>
      </c>
    </row>
    <row r="17" spans="1:17" x14ac:dyDescent="0.45">
      <c r="A17" t="s">
        <v>24</v>
      </c>
      <c r="B17" s="4"/>
      <c r="C17" s="4"/>
      <c r="D17" s="4"/>
      <c r="E17" s="4"/>
      <c r="F17" s="4"/>
      <c r="G17" s="5"/>
    </row>
    <row r="18" spans="1:17" x14ac:dyDescent="0.45">
      <c r="B18" s="4"/>
      <c r="C18" s="4"/>
      <c r="D18" s="4"/>
      <c r="E18" s="4"/>
      <c r="F18" s="4"/>
      <c r="G18" s="5"/>
    </row>
    <row r="19" spans="1:17" x14ac:dyDescent="0.45">
      <c r="B19" s="6"/>
      <c r="C19" s="6"/>
      <c r="E19" s="4"/>
      <c r="F19" s="4"/>
      <c r="G19" s="5"/>
    </row>
    <row r="20" spans="1:17" ht="64" x14ac:dyDescent="0.45">
      <c r="A20" s="1" t="s">
        <v>29</v>
      </c>
      <c r="B20" s="9" t="s">
        <v>28</v>
      </c>
      <c r="C20" s="1" t="s">
        <v>25</v>
      </c>
      <c r="D20" s="1" t="s">
        <v>26</v>
      </c>
      <c r="E20" s="13" t="s">
        <v>30</v>
      </c>
      <c r="F20" s="13" t="s">
        <v>38</v>
      </c>
      <c r="G20" s="13" t="s">
        <v>40</v>
      </c>
      <c r="H20" s="13" t="s">
        <v>44</v>
      </c>
      <c r="I20" s="13" t="s">
        <v>50</v>
      </c>
      <c r="J20" s="13" t="s">
        <v>48</v>
      </c>
      <c r="K20" s="13" t="s">
        <v>42</v>
      </c>
      <c r="L20" s="13" t="s">
        <v>52</v>
      </c>
      <c r="M20" s="13" t="s">
        <v>54</v>
      </c>
      <c r="N20" s="13" t="s">
        <v>46</v>
      </c>
      <c r="O20" s="13" t="s">
        <v>56</v>
      </c>
      <c r="P20" s="13" t="s">
        <v>58</v>
      </c>
      <c r="Q20" s="13" t="s">
        <v>60</v>
      </c>
    </row>
    <row r="21" spans="1:17" x14ac:dyDescent="0.45">
      <c r="A21" s="1">
        <v>2017</v>
      </c>
      <c r="B21" s="7">
        <f>B14*$B$3+$B$4*C14+D14*$B$4</f>
        <v>1681.6929931800573</v>
      </c>
      <c r="C21" s="7">
        <f>$B$5*B14+$B$6*C14+$B$6*D14</f>
        <v>246.20089113407477</v>
      </c>
      <c r="D21" s="14">
        <f>C21*[1]Additional_data_Co!$B$68</f>
        <v>153.87555695879672</v>
      </c>
      <c r="E21" s="7">
        <f>D21*[1]Additional_data_Co!$B$129</f>
        <v>7.5921353487907037</v>
      </c>
      <c r="F21" s="7">
        <f>(E21*(B52/K52))+(E21*(E52/K52))+(E21*(H52/K52))</f>
        <v>7.5921353487907037</v>
      </c>
      <c r="G21" s="12">
        <f>F21</f>
        <v>7.5921353487907037</v>
      </c>
      <c r="H21" s="12">
        <f>$B$3*B14*[1]Additional_data_Al!$B$35+$B$4*(C14+D14)*[1]Additional_data_Al!$B$36</f>
        <v>313.18509522604023</v>
      </c>
      <c r="I21" s="12">
        <f>$B$3*B14*[1]Additional_data_Al!$B$71+$B$4*(C14+D14)*[1]Additional_data_Al!$B$72</f>
        <v>111.38193604443335</v>
      </c>
      <c r="J21" s="12">
        <f>$B$3*B14*[1]Additional_data_Al!$B$107+$B$4*(C14+D14)*[1]Additional_data_Al!$B$108</f>
        <v>289.01579590803448</v>
      </c>
      <c r="K21" s="14">
        <f>$B$3*B14*[1]Additional_data_Al!$B$149+$B$4*(C14+D14)*[1]Additional_data_Al!$B$150</f>
        <v>42</v>
      </c>
      <c r="L21" s="14">
        <f>D21*[1]Additional_data_Al!$B$191</f>
        <v>21.651416891309278</v>
      </c>
      <c r="M21" s="14">
        <f>[1]Additional_data_Al!$B$238*D21+[1]Additional_data_Al!$B$239*C21+H21*[1]Additional_data_Al!$B$240+I21*[1]Additional_data_Al!$B$241+J21*[1]Additional_data_Al!$B$242</f>
        <v>199.56405061938563</v>
      </c>
      <c r="N21" s="14">
        <f>K21*[1]Additional_data_Al!$B$317</f>
        <v>8.82</v>
      </c>
      <c r="O21" s="12">
        <f>(L21+M21+N21)*[1]Additional_data_Al!$B$378/[1]Additional_data_Al!$B$377</f>
        <v>207.32725215221686</v>
      </c>
      <c r="P21" s="8">
        <f>O21*[1]Additional_data_Al!$B$473/[1]Additional_data_Al!$B$472</f>
        <v>397.5101353764619</v>
      </c>
      <c r="Q21" s="8">
        <f>P21/[1]Additional_data_Al!$B$548</f>
        <v>969.53691555234616</v>
      </c>
    </row>
    <row r="22" spans="1:17" x14ac:dyDescent="0.45">
      <c r="A22" s="1">
        <v>2018</v>
      </c>
      <c r="B22" s="7">
        <f>B15*$B$3+$B$4*C15+D15*$B$4</f>
        <v>1686.7688973652196</v>
      </c>
      <c r="C22" s="7">
        <f>$B$5*B15+$B$6*C15+$B$6*D15</f>
        <v>252.7995665747855</v>
      </c>
      <c r="D22" s="14">
        <f>C22*[1]Additional_data_Co!$B$68</f>
        <v>157.99972910924095</v>
      </c>
      <c r="E22" s="7">
        <f>D22*[1]Additional_data_Co!$B$129</f>
        <v>7.7956197343989393</v>
      </c>
      <c r="F22" s="7">
        <f>(E22*(B53/K53))+(E22*(E53/K53))+(E22*(H53/K53))</f>
        <v>7.7956197343989393</v>
      </c>
      <c r="G22" s="12">
        <f>F22</f>
        <v>7.7956197343989393</v>
      </c>
      <c r="H22" s="12">
        <f>$B$3*B15*[1]Additional_data_Al!$B$35+$B$4*(C15+D15)*[1]Additional_data_Al!$B$36</f>
        <v>316.7382281556537</v>
      </c>
      <c r="I22" s="12">
        <f>$B$3*B15*[1]Additional_data_Al!$B$71+$B$4*(C15+D15)*[1]Additional_data_Al!$B$72</f>
        <v>114.32596047182739</v>
      </c>
      <c r="J22" s="12">
        <f>$B$3*B15*[1]Additional_data_Al!$B$107+$B$4*(C15+D15)*[1]Additional_data_Al!$B$108</f>
        <v>292.06133841913174</v>
      </c>
      <c r="K22" s="14">
        <f>$B$3*B15*[1]Additional_data_Al!$B$149+$B$4*(C15+D15)*[1]Additional_data_Al!$B$150</f>
        <v>42</v>
      </c>
      <c r="L22" s="14">
        <f>D22*[1]Additional_data_Al!$B$191</f>
        <v>22.231718092654113</v>
      </c>
      <c r="M22" s="14">
        <f>[1]Additional_data_Al!$B$238*D22+[1]Additional_data_Al!$B$239*C22+H22*[1]Additional_data_Al!$B$240+I22*[1]Additional_data_Al!$B$241+J22*[1]Additional_data_Al!$B$242</f>
        <v>203.45013547813377</v>
      </c>
      <c r="N22" s="14">
        <f>K22*[1]Additional_data_Al!$B$317</f>
        <v>8.82</v>
      </c>
      <c r="O22" s="12">
        <f>(L22+M22+N22)*[1]Additional_data_Al!$B$378/[1]Additional_data_Al!$B$377</f>
        <v>211.35273378298751</v>
      </c>
      <c r="P22" s="8">
        <f>O22*[1]Additional_data_Al!$B$473/[1]Additional_data_Al!$B$472</f>
        <v>405.22822227238186</v>
      </c>
      <c r="Q22" s="8">
        <f>P22/[1]Additional_data_Al!$B$548</f>
        <v>988.36151773751681</v>
      </c>
    </row>
    <row r="23" spans="1:17" x14ac:dyDescent="0.45">
      <c r="A23" s="1">
        <v>2019</v>
      </c>
      <c r="B23" s="7">
        <f>B16*$B$3+$B$4*C16+D16*$B$4</f>
        <v>1713.560153474966</v>
      </c>
      <c r="C23" s="7">
        <f>$B$5*B16+$B$6*C16+$B$6*D16</f>
        <v>287.62819951745615</v>
      </c>
      <c r="D23" s="14">
        <f>C23*[1]Additional_data_Co!$B$68</f>
        <v>179.76762469841009</v>
      </c>
      <c r="E23" s="7">
        <f>D23*[1]Additional_data_Co!$B$129</f>
        <v>8.869635730425971</v>
      </c>
      <c r="F23" s="7">
        <f>(E23*(B54/K54))+(E23*(E54/K54))+(E23*(H54/K54))</f>
        <v>8.869635730425971</v>
      </c>
      <c r="G23" s="12">
        <f>F23</f>
        <v>8.869635730425971</v>
      </c>
      <c r="H23" s="12">
        <f>$B$3*B16*[1]Additional_data_Al!$B$35+$B$4*(C16+D16)*[1]Additional_data_Al!$B$36</f>
        <v>335.49210743247636</v>
      </c>
      <c r="I23" s="12">
        <f>$B$3*B16*[1]Additional_data_Al!$B$71+$B$4*(C16+D16)*[1]Additional_data_Al!$B$72</f>
        <v>129.86488901548046</v>
      </c>
      <c r="J23" s="12">
        <f>$B$3*B16*[1]Additional_data_Al!$B$107+$B$4*(C16+D16)*[1]Additional_data_Al!$B$108</f>
        <v>308.13609208497974</v>
      </c>
      <c r="K23" s="14">
        <f>$B$3*B16*[1]Additional_data_Al!$B$149+$B$4*(C16+D16)*[1]Additional_data_Al!$B$150</f>
        <v>41.999999999999993</v>
      </c>
      <c r="L23" s="14">
        <f>D23*[1]Additional_data_Al!$B$191</f>
        <v>25.29462029468348</v>
      </c>
      <c r="M23" s="14">
        <f>[1]Additional_data_Al!$B$238*D23+[1]Additional_data_Al!$B$239*C23+H23*[1]Additional_data_Al!$B$240+I23*[1]Additional_data_Al!$B$241+J23*[1]Additional_data_Al!$B$242</f>
        <v>223.96137661213186</v>
      </c>
      <c r="N23" s="14">
        <f>K23*[1]Additional_data_Al!$B$317</f>
        <v>8.8199999999999985</v>
      </c>
      <c r="O23" s="12">
        <f>(L23+M23+N23)*[1]Additional_data_Al!$B$378/[1]Additional_data_Al!$B$377</f>
        <v>232.59972848598409</v>
      </c>
      <c r="P23" s="8">
        <f>O23*[1]Additional_data_Al!$B$473/[1]Additional_data_Al!$B$472</f>
        <v>445.96524865485793</v>
      </c>
      <c r="Q23" s="8">
        <f>P23/[1]Additional_data_Al!$B$548</f>
        <v>1087.7201186703853</v>
      </c>
    </row>
    <row r="24" spans="1:17" x14ac:dyDescent="0.45">
      <c r="B24" s="4"/>
      <c r="C24" s="4"/>
      <c r="D24" s="4"/>
      <c r="E24" s="4"/>
      <c r="F24" s="4"/>
      <c r="G24" s="5"/>
      <c r="N24" s="14"/>
    </row>
    <row r="25" spans="1:17" x14ac:dyDescent="0.45">
      <c r="A25" t="s">
        <v>0</v>
      </c>
    </row>
    <row r="26" spans="1:17" x14ac:dyDescent="0.45">
      <c r="A26" t="s">
        <v>19</v>
      </c>
      <c r="B26" t="s">
        <v>2</v>
      </c>
      <c r="F26" t="s">
        <v>5</v>
      </c>
      <c r="J26" t="s">
        <v>6</v>
      </c>
      <c r="N26" t="s">
        <v>18</v>
      </c>
    </row>
    <row r="27" spans="1:17" x14ac:dyDescent="0.45">
      <c r="A27" t="s">
        <v>1</v>
      </c>
      <c r="B27" t="s">
        <v>3</v>
      </c>
      <c r="C27" t="s">
        <v>4</v>
      </c>
      <c r="D27" t="s">
        <v>7</v>
      </c>
      <c r="E27" t="s">
        <v>16</v>
      </c>
      <c r="F27" t="s">
        <v>3</v>
      </c>
      <c r="G27" t="s">
        <v>4</v>
      </c>
      <c r="H27" t="s">
        <v>7</v>
      </c>
      <c r="I27" t="s">
        <v>16</v>
      </c>
      <c r="J27" t="s">
        <v>3</v>
      </c>
      <c r="K27" t="s">
        <v>4</v>
      </c>
      <c r="L27" t="s">
        <v>7</v>
      </c>
      <c r="M27" t="s">
        <v>16</v>
      </c>
      <c r="N27" t="s">
        <v>16</v>
      </c>
    </row>
    <row r="28" spans="1:17" x14ac:dyDescent="0.45">
      <c r="A28">
        <v>2017</v>
      </c>
      <c r="B28">
        <f>[2]Sheet1!$IE$237</f>
        <v>373324067</v>
      </c>
      <c r="C28">
        <f>[3]Sheet1!$IE$237</f>
        <v>8385139870</v>
      </c>
      <c r="D28">
        <f>C28/B28</f>
        <v>22.460753568293253</v>
      </c>
      <c r="E28">
        <f>D28*$B$3</f>
        <v>40429.356422927856</v>
      </c>
      <c r="F28">
        <f>[4]Sheet1!$IE$237</f>
        <v>12200867</v>
      </c>
      <c r="G28">
        <f>[5]Sheet1!$IE$237</f>
        <v>248032862</v>
      </c>
      <c r="H28">
        <f>G28/F28</f>
        <v>20.329117758598631</v>
      </c>
      <c r="I28">
        <f>H28*$B$4</f>
        <v>32526.58841375781</v>
      </c>
      <c r="J28">
        <f>[6]Sheet1!$IE$237</f>
        <v>468371864</v>
      </c>
      <c r="K28">
        <f>[7]Sheet1!$IE$237</f>
        <v>9291916303</v>
      </c>
      <c r="L28">
        <f>K28/J28</f>
        <v>19.83875851048132</v>
      </c>
      <c r="M28">
        <f>L28*$B$4</f>
        <v>31742.013616770113</v>
      </c>
      <c r="N28">
        <f>E28*B14+I28*C14+M28*D14</f>
        <v>35302.271542524482</v>
      </c>
    </row>
    <row r="29" spans="1:17" x14ac:dyDescent="0.45">
      <c r="A29">
        <v>2018</v>
      </c>
      <c r="B29">
        <f>[8]Sheet1!$IE$237</f>
        <v>462712771</v>
      </c>
      <c r="C29">
        <f>[9]Sheet1!$IE$237</f>
        <v>11115813959</v>
      </c>
      <c r="D29">
        <f>C29/B29</f>
        <v>24.023140608323516</v>
      </c>
      <c r="E29">
        <f>D29*$B$3</f>
        <v>43241.653094982328</v>
      </c>
      <c r="F29">
        <f>[10]Sheet1!$IE$237</f>
        <v>16996157</v>
      </c>
      <c r="G29">
        <f>[11]Sheet1!$IE$237</f>
        <v>312524326</v>
      </c>
      <c r="H29">
        <f>G29/F29</f>
        <v>18.387940638580826</v>
      </c>
      <c r="I29">
        <f>H29*$B$4</f>
        <v>29420.705021729322</v>
      </c>
      <c r="J29">
        <f>[12]Sheet1!$IE$237</f>
        <v>519739715</v>
      </c>
      <c r="K29">
        <f>[13]Sheet1!$IE$237</f>
        <v>11642558723</v>
      </c>
      <c r="L29">
        <f>K29/J29</f>
        <v>22.400748657431347</v>
      </c>
      <c r="M29">
        <f>L29*$B$4</f>
        <v>35841.197851890152</v>
      </c>
      <c r="N29">
        <f>E29*B15+I29*C15+M29*D15</f>
        <v>38936.739551319501</v>
      </c>
    </row>
    <row r="30" spans="1:17" x14ac:dyDescent="0.45">
      <c r="A30">
        <v>2019</v>
      </c>
      <c r="B30">
        <f>[14]Sheet1!$IE$237</f>
        <v>1133867101</v>
      </c>
      <c r="C30">
        <f>[15]Sheet1!$IE$237</f>
        <v>24724082375</v>
      </c>
      <c r="D30">
        <f>C30/B30</f>
        <v>21.805097222765262</v>
      </c>
      <c r="E30">
        <f>D30*$B$3</f>
        <v>39249.17500097747</v>
      </c>
      <c r="F30">
        <f>[16]Sheet1!$IE$237</f>
        <v>28597188</v>
      </c>
      <c r="G30">
        <f>[17]Sheet1!$IE$237</f>
        <v>15065335391</v>
      </c>
      <c r="H30">
        <f>G30/F30</f>
        <v>526.81177572424258</v>
      </c>
      <c r="I30">
        <f>H30*$B$4</f>
        <v>842898.84115878819</v>
      </c>
      <c r="J30">
        <f>[18]Sheet1!$IE$237</f>
        <v>738583476</v>
      </c>
      <c r="K30">
        <f>[17]Sheet1!$IE$237</f>
        <v>15065335391</v>
      </c>
      <c r="L30">
        <f>K30/J30</f>
        <v>20.397606879306895</v>
      </c>
      <c r="M30">
        <f>L30*$B$4</f>
        <v>32636.171006891032</v>
      </c>
      <c r="N30">
        <f>E30*B16+I30*C16+M30*D16</f>
        <v>49444.796164046034</v>
      </c>
    </row>
    <row r="32" spans="1:17" x14ac:dyDescent="0.45">
      <c r="A32" t="s">
        <v>20</v>
      </c>
    </row>
    <row r="33" spans="1:5" x14ac:dyDescent="0.45">
      <c r="A33" t="s">
        <v>1</v>
      </c>
      <c r="B33" t="s">
        <v>3</v>
      </c>
      <c r="C33" t="s">
        <v>4</v>
      </c>
      <c r="D33" t="s">
        <v>7</v>
      </c>
      <c r="E33" t="s">
        <v>16</v>
      </c>
    </row>
    <row r="34" spans="1:5" x14ac:dyDescent="0.45">
      <c r="A34">
        <v>2017</v>
      </c>
      <c r="B34">
        <f>[19]Sheet1!$IE$237</f>
        <v>331309574.25</v>
      </c>
      <c r="C34">
        <f>[20]Sheet1!$IE$237</f>
        <v>14234798862.75</v>
      </c>
      <c r="D34">
        <f>C34/B34</f>
        <v>42.965250536372025</v>
      </c>
      <c r="E34" s="15">
        <f>D34*($B$5*B14+$B$6*C14+$B$6*D14)</f>
        <v>10578.082969853576</v>
      </c>
    </row>
    <row r="35" spans="1:5" x14ac:dyDescent="0.45">
      <c r="A35">
        <v>2018</v>
      </c>
      <c r="B35">
        <f>[21]Sheet1!$IF$237</f>
        <v>366180168.75</v>
      </c>
      <c r="C35">
        <f>[22]Sheet1!$IF$237</f>
        <v>19102177236</v>
      </c>
      <c r="D35">
        <f>C35/B35</f>
        <v>52.166061589865933</v>
      </c>
      <c r="E35" s="15">
        <f>D35*($B$5*B15+$B$6*C15+$B$6*D15)</f>
        <v>13187.557759831674</v>
      </c>
    </row>
    <row r="36" spans="1:5" x14ac:dyDescent="0.45">
      <c r="A36">
        <v>2019</v>
      </c>
      <c r="B36">
        <f>[23]Sheet1!$IE$237</f>
        <v>459836425.5</v>
      </c>
      <c r="C36">
        <f>[24]Sheet1!$IE$237</f>
        <v>23087838898.5</v>
      </c>
      <c r="D36">
        <f>C36/B36</f>
        <v>50.208808215651025</v>
      </c>
      <c r="E36" s="15">
        <f>D36*($B$5*B16+$B$6*C16+$B$6*D16)</f>
        <v>14441.469106984965</v>
      </c>
    </row>
    <row r="38" spans="1:5" x14ac:dyDescent="0.45">
      <c r="A38" t="s">
        <v>27</v>
      </c>
    </row>
    <row r="39" spans="1:5" x14ac:dyDescent="0.45">
      <c r="A39" t="s">
        <v>1</v>
      </c>
      <c r="B39" t="s">
        <v>3</v>
      </c>
      <c r="C39" t="s">
        <v>4</v>
      </c>
      <c r="D39" t="s">
        <v>7</v>
      </c>
      <c r="E39" t="s">
        <v>16</v>
      </c>
    </row>
    <row r="40" spans="1:5" x14ac:dyDescent="0.45">
      <c r="A40">
        <v>2017</v>
      </c>
      <c r="B40" s="8">
        <f>[25]Netweight_Cell!$ID$237</f>
        <v>43515031.860000007</v>
      </c>
      <c r="C40">
        <f>[25]Trade_value_Cell!$ID$237</f>
        <v>1339832820.2400002</v>
      </c>
      <c r="D40" s="8">
        <f>C40/B40</f>
        <v>30.790114656255248</v>
      </c>
      <c r="E40" s="16">
        <f>D40*D21</f>
        <v>4737.8460415564859</v>
      </c>
    </row>
    <row r="41" spans="1:5" x14ac:dyDescent="0.45">
      <c r="A41">
        <v>2018</v>
      </c>
      <c r="B41" s="8">
        <f>[26]Netweight_Cell!$ID$237</f>
        <v>62338910.940000013</v>
      </c>
      <c r="C41">
        <f>[26]Trade_value_Cell!$ID$237</f>
        <v>1452038578.9200001</v>
      </c>
      <c r="D41" s="8">
        <f>C41/B41</f>
        <v>23.292652326210174</v>
      </c>
      <c r="E41" s="16">
        <f>D41*D22</f>
        <v>3680.2327577769383</v>
      </c>
    </row>
    <row r="42" spans="1:5" x14ac:dyDescent="0.45">
      <c r="A42">
        <v>2019</v>
      </c>
      <c r="B42">
        <f>[27]Netweight_LIBcell!$IE$237</f>
        <v>73685147.939999998</v>
      </c>
      <c r="C42">
        <f>[27]Trade_value_LIBcell!$IE$237</f>
        <v>1399041784.0799997</v>
      </c>
      <c r="D42">
        <f>C42/B42</f>
        <v>18.986754090786448</v>
      </c>
      <c r="E42" s="16">
        <f>D42*D23</f>
        <v>3413.2036836335005</v>
      </c>
    </row>
    <row r="44" spans="1:5" x14ac:dyDescent="0.45">
      <c r="A44" t="s">
        <v>31</v>
      </c>
    </row>
    <row r="45" spans="1:5" x14ac:dyDescent="0.45">
      <c r="A45" t="s">
        <v>1</v>
      </c>
      <c r="B45" t="s">
        <v>3</v>
      </c>
      <c r="C45" t="s">
        <v>4</v>
      </c>
      <c r="D45" t="s">
        <v>7</v>
      </c>
      <c r="E45" t="s">
        <v>16</v>
      </c>
    </row>
    <row r="46" spans="1:5" x14ac:dyDescent="0.45">
      <c r="A46">
        <v>2017</v>
      </c>
      <c r="B46" s="12">
        <f>[28]Netweight_Copow!$ID$237</f>
        <v>17498892.063000005</v>
      </c>
      <c r="C46" s="10">
        <f>[28]TradeValue_Copow!$ID$237</f>
        <v>867249721.42799997</v>
      </c>
      <c r="D46" s="8">
        <f>C46/B46</f>
        <v>49.560264633080941</v>
      </c>
      <c r="E46" s="11">
        <f>D46*E21</f>
        <v>376.26823701623556</v>
      </c>
    </row>
    <row r="47" spans="1:5" x14ac:dyDescent="0.45">
      <c r="A47">
        <v>2018</v>
      </c>
      <c r="B47" s="12">
        <f>[29]Netweight_Copow!$ID$237</f>
        <v>156202001.0009999</v>
      </c>
      <c r="C47" s="10">
        <f>[29]TradeValue_Copow!$ID$237</f>
        <v>3774455086.4729981</v>
      </c>
      <c r="D47" s="8">
        <f>C47/B47</f>
        <v>24.163935559627284</v>
      </c>
      <c r="E47" s="11">
        <f>D47*E22</f>
        <v>188.37285290937473</v>
      </c>
    </row>
    <row r="48" spans="1:5" x14ac:dyDescent="0.45">
      <c r="A48">
        <v>2019</v>
      </c>
      <c r="B48" s="12">
        <f>[30]Netweight_Copow!$ID$237</f>
        <v>224857163.06100011</v>
      </c>
      <c r="C48" s="10">
        <f>[30]TradeValue_Copow!$ID$237</f>
        <v>2257266340.1519995</v>
      </c>
      <c r="D48" s="8">
        <f>C48/B48</f>
        <v>10.03866770096908</v>
      </c>
      <c r="E48" s="11">
        <f>D48*E23</f>
        <v>89.039325726388498</v>
      </c>
    </row>
    <row r="50" spans="1:14" ht="32" x14ac:dyDescent="0.45">
      <c r="A50" s="1" t="s">
        <v>32</v>
      </c>
      <c r="B50" t="s">
        <v>33</v>
      </c>
      <c r="E50" t="s">
        <v>35</v>
      </c>
      <c r="H50" t="s">
        <v>36</v>
      </c>
      <c r="K50" t="s">
        <v>37</v>
      </c>
    </row>
    <row r="51" spans="1:14" x14ac:dyDescent="0.45">
      <c r="A51" t="s">
        <v>1</v>
      </c>
      <c r="B51" t="s">
        <v>3</v>
      </c>
      <c r="C51" t="s">
        <v>4</v>
      </c>
      <c r="D51" t="s">
        <v>7</v>
      </c>
      <c r="E51" t="s">
        <v>3</v>
      </c>
      <c r="F51" t="s">
        <v>4</v>
      </c>
      <c r="G51" t="s">
        <v>7</v>
      </c>
      <c r="H51" t="s">
        <v>3</v>
      </c>
      <c r="I51" t="s">
        <v>4</v>
      </c>
      <c r="J51" t="s">
        <v>7</v>
      </c>
      <c r="K51" t="s">
        <v>3</v>
      </c>
      <c r="L51" t="s">
        <v>4</v>
      </c>
      <c r="M51" t="s">
        <v>7</v>
      </c>
      <c r="N51" t="s">
        <v>16</v>
      </c>
    </row>
    <row r="52" spans="1:14" x14ac:dyDescent="0.45">
      <c r="A52">
        <v>2017</v>
      </c>
      <c r="B52" s="12">
        <f>[31]Netweight_matte!$ID$237</f>
        <v>64749427.086000018</v>
      </c>
      <c r="C52" s="12">
        <f>[31]TradeValue_matte!$ID$237</f>
        <v>564790770.12</v>
      </c>
      <c r="D52">
        <f>C52/B52</f>
        <v>8.7227145557573262</v>
      </c>
      <c r="E52">
        <f>[32]Sheet1!$IF$237</f>
        <v>118424412.68400002</v>
      </c>
      <c r="F52">
        <f>[33]Sheet1!$IF$237</f>
        <v>753321216.09600031</v>
      </c>
      <c r="G52">
        <f>F52/E52</f>
        <v>6.361198666917935</v>
      </c>
      <c r="H52">
        <f>[34]Sheet1!$IF$237</f>
        <v>140993114.29199994</v>
      </c>
      <c r="I52">
        <f>[35]Sheet1!$IF$237</f>
        <v>614360567.73600006</v>
      </c>
      <c r="J52">
        <f>I52/H52</f>
        <v>4.3573799388787551</v>
      </c>
      <c r="K52" s="10">
        <f t="shared" ref="K52:L54" si="1">B52+E52+H52</f>
        <v>324166954.06199998</v>
      </c>
      <c r="L52" s="10">
        <f t="shared" si="1"/>
        <v>1932472553.9520004</v>
      </c>
      <c r="M52">
        <f>L52/K52</f>
        <v>5.9613496370836021</v>
      </c>
      <c r="N52" s="11">
        <f>M52*F21</f>
        <v>45.259373306203045</v>
      </c>
    </row>
    <row r="53" spans="1:14" x14ac:dyDescent="0.45">
      <c r="A53">
        <v>2018</v>
      </c>
      <c r="B53" s="12">
        <f>[36]Netweight_matte!$ID$237</f>
        <v>34078513.362000003</v>
      </c>
      <c r="C53" s="12">
        <f>[36]TradeValue_matte!$ID$237</f>
        <v>510742702.34999979</v>
      </c>
      <c r="D53">
        <f>C53/B53</f>
        <v>14.987235415014162</v>
      </c>
      <c r="E53">
        <f>[37]Sheet1!$IF$237</f>
        <v>123550465.464</v>
      </c>
      <c r="F53">
        <f>[38]Sheet1!$IF$237</f>
        <v>958933246.87199998</v>
      </c>
      <c r="G53">
        <f>F53/E53</f>
        <v>7.7614701269693951</v>
      </c>
      <c r="H53">
        <f>[39]Sheet1!$IF$237</f>
        <v>117009795.65999998</v>
      </c>
      <c r="I53">
        <f>[40]Sheet1!$IF$237</f>
        <v>683729584.98000026</v>
      </c>
      <c r="J53">
        <f>I53/H53</f>
        <v>5.843353380145544</v>
      </c>
      <c r="K53" s="10">
        <f t="shared" si="1"/>
        <v>274638774.486</v>
      </c>
      <c r="L53" s="10">
        <f t="shared" si="1"/>
        <v>2153405534.2019997</v>
      </c>
      <c r="M53">
        <f>L53/K53</f>
        <v>7.8408649260549765</v>
      </c>
      <c r="N53" s="11">
        <f>M53*F22</f>
        <v>61.124401352310656</v>
      </c>
    </row>
    <row r="54" spans="1:14" x14ac:dyDescent="0.45">
      <c r="A54">
        <v>2019</v>
      </c>
      <c r="B54" s="12">
        <f>[41]Netweight_matte!$ID$237</f>
        <v>99860381.65200004</v>
      </c>
      <c r="C54" s="12">
        <f>[41]TradeValue_matte!$ID$237</f>
        <v>603748036.39800024</v>
      </c>
      <c r="D54">
        <f>C54/B54</f>
        <v>6.0459215798111074</v>
      </c>
      <c r="E54">
        <f>[42]Sheet1!$IE$237</f>
        <v>127252334.23200001</v>
      </c>
      <c r="F54">
        <f>[43]Sheet1!$IE$237</f>
        <v>1034681333.1599998</v>
      </c>
      <c r="G54">
        <f>F54/E54</f>
        <v>8.1309418754835665</v>
      </c>
      <c r="H54">
        <f>[44]Sheet1!$IE$237</f>
        <v>133582157.42399998</v>
      </c>
      <c r="I54">
        <f>[45]Sheet1!$IE$237</f>
        <v>653545630.75200009</v>
      </c>
      <c r="J54">
        <f>I54/H54</f>
        <v>4.8924620125545379</v>
      </c>
      <c r="K54" s="10">
        <f t="shared" si="1"/>
        <v>360694873.30800003</v>
      </c>
      <c r="L54" s="10">
        <f t="shared" si="1"/>
        <v>2291975000.3100004</v>
      </c>
      <c r="M54">
        <f>L54/K54</f>
        <v>6.3543320682378148</v>
      </c>
      <c r="N54" s="11">
        <f>M54*F23</f>
        <v>56.360610755433683</v>
      </c>
    </row>
    <row r="56" spans="1:14" x14ac:dyDescent="0.45">
      <c r="A56" t="s">
        <v>39</v>
      </c>
    </row>
    <row r="57" spans="1:14" x14ac:dyDescent="0.45">
      <c r="A57" t="s">
        <v>1</v>
      </c>
      <c r="B57" t="s">
        <v>3</v>
      </c>
      <c r="C57" t="s">
        <v>4</v>
      </c>
      <c r="D57" t="s">
        <v>7</v>
      </c>
      <c r="E57" t="s">
        <v>16</v>
      </c>
    </row>
    <row r="58" spans="1:14" x14ac:dyDescent="0.45">
      <c r="A58">
        <v>2017</v>
      </c>
      <c r="B58">
        <f>[46]Sheet1!$IF$237</f>
        <v>48933568.764000013</v>
      </c>
      <c r="C58">
        <f>[47]Sheet1!$IF$237</f>
        <v>156886730.78400004</v>
      </c>
      <c r="D58">
        <f>C58/B58</f>
        <v>3.2061166750506902</v>
      </c>
      <c r="E58" s="8">
        <f>D58*G21</f>
        <v>24.341271740999662</v>
      </c>
    </row>
    <row r="59" spans="1:14" x14ac:dyDescent="0.45">
      <c r="A59">
        <v>2018</v>
      </c>
      <c r="B59">
        <f>[48]Sheet1!$IF$237</f>
        <v>55466598.612000018</v>
      </c>
      <c r="C59">
        <f>[49]Sheet1!$IF$237</f>
        <v>256031593.75200003</v>
      </c>
      <c r="D59">
        <f>C59/B59</f>
        <v>4.6159598778175024</v>
      </c>
      <c r="E59" s="8">
        <f>D59*G22</f>
        <v>35.984267916707836</v>
      </c>
    </row>
    <row r="60" spans="1:14" x14ac:dyDescent="0.45">
      <c r="A60">
        <v>2019</v>
      </c>
      <c r="B60">
        <f>[50]Sheet1!$IE$237</f>
        <v>28267559.544</v>
      </c>
      <c r="C60">
        <f>[51]Sheet1!$IE$237</f>
        <v>64393025.939999975</v>
      </c>
      <c r="D60">
        <f>C60/B60</f>
        <v>2.2779832068547945</v>
      </c>
      <c r="E60" s="8">
        <f>D60*G23</f>
        <v>20.204881244829622</v>
      </c>
    </row>
    <row r="61" spans="1:14" x14ac:dyDescent="0.45">
      <c r="E61" s="8"/>
    </row>
    <row r="62" spans="1:14" x14ac:dyDescent="0.45">
      <c r="A62" t="s">
        <v>43</v>
      </c>
      <c r="E62" s="8"/>
    </row>
    <row r="63" spans="1:14" x14ac:dyDescent="0.45">
      <c r="A63" t="s">
        <v>1</v>
      </c>
      <c r="B63" t="s">
        <v>3</v>
      </c>
      <c r="C63" t="s">
        <v>4</v>
      </c>
      <c r="D63" t="s">
        <v>7</v>
      </c>
      <c r="E63" t="s">
        <v>16</v>
      </c>
    </row>
    <row r="64" spans="1:14" x14ac:dyDescent="0.45">
      <c r="A64">
        <v>2017</v>
      </c>
      <c r="B64">
        <f>[52]Sheet1!$IF$237</f>
        <v>12021750.000000002</v>
      </c>
      <c r="C64">
        <f>[53]Sheet1!$IF$237</f>
        <v>101054676.00800002</v>
      </c>
      <c r="D64">
        <f t="shared" ref="D64:D65" si="2">C64/B64</f>
        <v>8.4059871489591789</v>
      </c>
      <c r="E64" s="16">
        <f t="shared" ref="E64:E65" si="3">D64*H21</f>
        <v>2632.6298857156507</v>
      </c>
    </row>
    <row r="65" spans="1:5" x14ac:dyDescent="0.45">
      <c r="A65">
        <v>2018</v>
      </c>
      <c r="B65">
        <f>[54]Sheet1!$IF$237</f>
        <v>12603356.74</v>
      </c>
      <c r="C65">
        <f>[55]Sheet1!$IF$237</f>
        <v>96613986.767999917</v>
      </c>
      <c r="D65">
        <f t="shared" si="2"/>
        <v>7.6657345151050542</v>
      </c>
      <c r="E65" s="16">
        <f t="shared" si="3"/>
        <v>2428.0311678260141</v>
      </c>
    </row>
    <row r="66" spans="1:5" x14ac:dyDescent="0.45">
      <c r="A66">
        <v>2019</v>
      </c>
      <c r="B66" s="14">
        <f>[56]Sheet1!$IE$237</f>
        <v>15518382.099999998</v>
      </c>
      <c r="C66">
        <f>[57]Sheet1!$IE$237</f>
        <v>95558528.779999986</v>
      </c>
      <c r="D66">
        <f>C66/B66</f>
        <v>6.1577636227941568</v>
      </c>
      <c r="E66" s="16">
        <f>D66*H23</f>
        <v>2065.881094882252</v>
      </c>
    </row>
    <row r="67" spans="1:5" x14ac:dyDescent="0.45">
      <c r="B67" s="14"/>
      <c r="E67" s="16"/>
    </row>
    <row r="68" spans="1:5" x14ac:dyDescent="0.45">
      <c r="A68" t="s">
        <v>47</v>
      </c>
      <c r="B68" s="14"/>
      <c r="E68" s="16"/>
    </row>
    <row r="69" spans="1:5" x14ac:dyDescent="0.45">
      <c r="A69" t="s">
        <v>1</v>
      </c>
      <c r="B69" t="s">
        <v>3</v>
      </c>
      <c r="C69" t="s">
        <v>4</v>
      </c>
      <c r="D69" t="s">
        <v>7</v>
      </c>
      <c r="E69" t="s">
        <v>16</v>
      </c>
    </row>
    <row r="70" spans="1:5" x14ac:dyDescent="0.45">
      <c r="A70">
        <v>2017</v>
      </c>
      <c r="B70" s="14">
        <f>[58]Sheet1!$IF$237</f>
        <v>8733403.7440000046</v>
      </c>
      <c r="C70">
        <f>[59]Sheet1!$IF$237</f>
        <v>94325004.176000014</v>
      </c>
      <c r="D70">
        <f t="shared" ref="D70:D71" si="4">C70/B70</f>
        <v>10.800485920601448</v>
      </c>
      <c r="E70" s="16">
        <f>D70*J21</f>
        <v>3121.5110345361477</v>
      </c>
    </row>
    <row r="71" spans="1:5" x14ac:dyDescent="0.45">
      <c r="A71">
        <v>2018</v>
      </c>
      <c r="B71" s="14">
        <f>[60]Sheet1!$IF$237</f>
        <v>15228405.061999999</v>
      </c>
      <c r="C71">
        <f>[61]Sheet1!$IF$237</f>
        <v>100489665.874</v>
      </c>
      <c r="D71">
        <f t="shared" si="4"/>
        <v>6.5988306368836724</v>
      </c>
      <c r="E71" s="16">
        <f>D71*J22</f>
        <v>1927.2633078094168</v>
      </c>
    </row>
    <row r="72" spans="1:5" x14ac:dyDescent="0.45">
      <c r="A72">
        <v>2019</v>
      </c>
      <c r="B72" s="14">
        <f>[62]Sheet1!$IE$237</f>
        <v>13124190.898</v>
      </c>
      <c r="C72">
        <f>[63]Sheet1!$IE$237</f>
        <v>84228473.524000004</v>
      </c>
      <c r="D72">
        <f>C72/B72</f>
        <v>6.4178031376269917</v>
      </c>
      <c r="E72" s="16">
        <f>D72*J23</f>
        <v>1977.5567785991027</v>
      </c>
    </row>
    <row r="73" spans="1:5" x14ac:dyDescent="0.45">
      <c r="B73" s="14"/>
      <c r="E73" s="16"/>
    </row>
    <row r="74" spans="1:5" x14ac:dyDescent="0.45">
      <c r="A74" t="s">
        <v>49</v>
      </c>
      <c r="B74" s="14"/>
      <c r="E74" s="16"/>
    </row>
    <row r="75" spans="1:5" x14ac:dyDescent="0.45">
      <c r="A75" t="s">
        <v>1</v>
      </c>
      <c r="B75" t="s">
        <v>3</v>
      </c>
      <c r="C75" t="s">
        <v>4</v>
      </c>
      <c r="D75" t="s">
        <v>7</v>
      </c>
      <c r="E75" t="s">
        <v>16</v>
      </c>
    </row>
    <row r="76" spans="1:5" x14ac:dyDescent="0.45">
      <c r="A76">
        <v>2017</v>
      </c>
      <c r="B76" s="14">
        <f>[64]Sheet1!$IF$237+[65]Sheet1!$IF$237+[66]Sheet1!$IF$237+[67]Sheet1!$IF$237</f>
        <v>594208910.45999992</v>
      </c>
      <c r="C76">
        <f>[68]Sheet1!$IF$237+[69]Sheet1!$IF$237+[70]Sheet1!$IF$237+[71]Sheet1!$IF$237</f>
        <v>5883476718.8000002</v>
      </c>
      <c r="D76">
        <f t="shared" ref="D76:D77" si="5">C76/B76</f>
        <v>9.9013606414036683</v>
      </c>
      <c r="E76" s="16">
        <f t="shared" ref="E76:E77" si="6">D76*I21</f>
        <v>1102.832717713693</v>
      </c>
    </row>
    <row r="77" spans="1:5" x14ac:dyDescent="0.45">
      <c r="A77">
        <v>2018</v>
      </c>
      <c r="B77" s="14">
        <f>[72]Sheet1!$IF$237+[73]Sheet1!$IF$237+[74]Sheet1!$IF$237+[75]Sheet1!$IF$237</f>
        <v>618343073.58000004</v>
      </c>
      <c r="C77">
        <f>[76]Sheet1!$IF$237+[77]Sheet1!$IF$237+[78]Sheet1!$IF$237+[79]Sheet1!$IF$237</f>
        <v>6599675655.8600006</v>
      </c>
      <c r="D77">
        <f t="shared" si="5"/>
        <v>10.673161773528214</v>
      </c>
      <c r="E77" s="16">
        <f t="shared" si="6"/>
        <v>1220.2194710298056</v>
      </c>
    </row>
    <row r="78" spans="1:5" x14ac:dyDescent="0.45">
      <c r="A78">
        <v>2019</v>
      </c>
      <c r="B78" s="14">
        <f>[80]Sheet1!$IE$237+[81]Sheet1!$IE$237+[82]Sheet1!$IE$237+[83]Sheet1!$IE$237</f>
        <v>687136460.4399997</v>
      </c>
      <c r="C78">
        <f>[84]Sheet1!$IE$237+[85]Sheet1!$IE$237+[86]Sheet1!$IE$237+[87]Sheet1!$IE$237</f>
        <v>6645879602.380002</v>
      </c>
      <c r="D78">
        <f>C78/B78</f>
        <v>9.6718482936044339</v>
      </c>
      <c r="E78" s="16">
        <f>D78*I23</f>
        <v>1256.0335052235039</v>
      </c>
    </row>
    <row r="80" spans="1:5" x14ac:dyDescent="0.45">
      <c r="A80" t="s">
        <v>41</v>
      </c>
    </row>
    <row r="81" spans="1:5" x14ac:dyDescent="0.45">
      <c r="A81" t="s">
        <v>1</v>
      </c>
      <c r="B81" t="s">
        <v>3</v>
      </c>
      <c r="C81" t="s">
        <v>4</v>
      </c>
      <c r="D81" t="s">
        <v>7</v>
      </c>
      <c r="E81" t="s">
        <v>16</v>
      </c>
    </row>
    <row r="82" spans="1:5" x14ac:dyDescent="0.45">
      <c r="A82">
        <v>2017</v>
      </c>
      <c r="B82">
        <f>[88]Sheet1!$IF$237</f>
        <v>33652489.402448781</v>
      </c>
      <c r="C82">
        <f>[89]Sheet1!$IF$237</f>
        <v>782093542.73870027</v>
      </c>
      <c r="D82">
        <f t="shared" ref="D82:D83" si="7">C82/B82</f>
        <v>23.240287914087862</v>
      </c>
      <c r="E82" s="15">
        <f>D82*K21</f>
        <v>976.09209239169024</v>
      </c>
    </row>
    <row r="83" spans="1:5" x14ac:dyDescent="0.45">
      <c r="A83">
        <v>2018</v>
      </c>
      <c r="B83">
        <f>[90]Sheet1!$IF$237</f>
        <v>35358751.367175601</v>
      </c>
      <c r="C83">
        <f>[91]Sheet1!$IF$237</f>
        <v>867991238.72491205</v>
      </c>
      <c r="D83">
        <f t="shared" si="7"/>
        <v>24.548130382530694</v>
      </c>
      <c r="E83" s="15">
        <f>D83*K22</f>
        <v>1031.0214760662891</v>
      </c>
    </row>
    <row r="84" spans="1:5" x14ac:dyDescent="0.45">
      <c r="A84">
        <v>2019</v>
      </c>
      <c r="B84">
        <f>[92]Sheet1!$IE$237</f>
        <v>39665377.419007592</v>
      </c>
      <c r="C84">
        <f>[93]Sheet1!$IE$237</f>
        <v>870603638.18898606</v>
      </c>
      <c r="D84">
        <f>C84/B84</f>
        <v>21.948704256417692</v>
      </c>
      <c r="E84" s="15">
        <f>D84*K23</f>
        <v>921.84557876954295</v>
      </c>
    </row>
    <row r="85" spans="1:5" x14ac:dyDescent="0.45">
      <c r="E85" s="15"/>
    </row>
    <row r="86" spans="1:5" x14ac:dyDescent="0.45">
      <c r="A86" t="s">
        <v>51</v>
      </c>
      <c r="E86" s="15"/>
    </row>
    <row r="87" spans="1:5" x14ac:dyDescent="0.45">
      <c r="A87" t="s">
        <v>1</v>
      </c>
      <c r="B87" t="s">
        <v>3</v>
      </c>
      <c r="C87" t="s">
        <v>4</v>
      </c>
      <c r="D87" t="s">
        <v>7</v>
      </c>
      <c r="E87" t="s">
        <v>16</v>
      </c>
    </row>
    <row r="88" spans="1:5" x14ac:dyDescent="0.45">
      <c r="A88">
        <v>2017</v>
      </c>
      <c r="B88">
        <f>[94]Sheet1!$IF$237</f>
        <v>18864183.131999988</v>
      </c>
      <c r="C88">
        <f>[95]Sheet1!$IF$237</f>
        <v>108596663.82000002</v>
      </c>
      <c r="D88">
        <f t="shared" ref="D88:D89" si="8">C88/B88</f>
        <v>5.756764714385306</v>
      </c>
      <c r="E88" s="15">
        <f>D88*L21</f>
        <v>124.64211277633525</v>
      </c>
    </row>
    <row r="89" spans="1:5" x14ac:dyDescent="0.45">
      <c r="A89">
        <v>2018</v>
      </c>
      <c r="B89">
        <f>[96]Sheet1!$IF$237</f>
        <v>19335151.583999999</v>
      </c>
      <c r="C89">
        <f>[97]Sheet1!$IF$237</f>
        <v>115670063.91600001</v>
      </c>
      <c r="D89">
        <f t="shared" si="8"/>
        <v>5.9823717136884493</v>
      </c>
      <c r="E89" s="15">
        <f t="shared" ref="E89:E90" si="9">D89*L22</f>
        <v>132.9984014641897</v>
      </c>
    </row>
    <row r="90" spans="1:5" x14ac:dyDescent="0.45">
      <c r="A90">
        <v>2019</v>
      </c>
      <c r="B90">
        <f>[98]Sheet1!$IE$237</f>
        <v>21132295.020000018</v>
      </c>
      <c r="C90">
        <f>[99]Sheet1!$IE$237</f>
        <v>111123626.00400004</v>
      </c>
      <c r="D90">
        <f>C90/B90</f>
        <v>5.2584740984748919</v>
      </c>
      <c r="E90" s="15">
        <f t="shared" si="9"/>
        <v>133.0111056503504</v>
      </c>
    </row>
    <row r="91" spans="1:5" x14ac:dyDescent="0.45">
      <c r="E91" s="15"/>
    </row>
    <row r="92" spans="1:5" x14ac:dyDescent="0.45">
      <c r="A92" t="s">
        <v>53</v>
      </c>
      <c r="E92" s="15"/>
    </row>
    <row r="93" spans="1:5" x14ac:dyDescent="0.45">
      <c r="A93" t="s">
        <v>1</v>
      </c>
      <c r="B93" t="s">
        <v>3</v>
      </c>
      <c r="C93" t="s">
        <v>4</v>
      </c>
      <c r="D93" t="s">
        <v>7</v>
      </c>
      <c r="E93" t="s">
        <v>16</v>
      </c>
    </row>
    <row r="94" spans="1:5" x14ac:dyDescent="0.45">
      <c r="A94">
        <v>2017</v>
      </c>
      <c r="B94">
        <f>[100]Sheet1!$IF$237+[101]Sheet1!$IF$237</f>
        <v>37153787.860799991</v>
      </c>
      <c r="C94">
        <f>[102]Sheet1!$IF$237+[103]Sheet1!$IF$237</f>
        <v>122373944.79335994</v>
      </c>
      <c r="D94">
        <f t="shared" ref="D94:D95" si="10">C94/B94</f>
        <v>3.2937138267528718</v>
      </c>
      <c r="E94" s="15">
        <f>D94*M21</f>
        <v>657.30687284788041</v>
      </c>
    </row>
    <row r="95" spans="1:5" x14ac:dyDescent="0.45">
      <c r="A95">
        <v>2018</v>
      </c>
      <c r="B95">
        <f>[104]Sheet1!$IF$237+[105]Sheet1!$IF$237</f>
        <v>39841079.920200013</v>
      </c>
      <c r="C95">
        <f>[106]Sheet1!$IF$237+[107]Sheet1!$IF$237</f>
        <v>139601153.20788002</v>
      </c>
      <c r="D95">
        <f t="shared" si="10"/>
        <v>3.5039500306591886</v>
      </c>
      <c r="E95" s="15">
        <f t="shared" ref="E95:E96" si="11">D95*M22</f>
        <v>712.87910844622297</v>
      </c>
    </row>
    <row r="96" spans="1:5" x14ac:dyDescent="0.45">
      <c r="A96">
        <v>2019</v>
      </c>
      <c r="B96">
        <f>[108]Sheet1!$IE$237+[109]Sheet1!$IE$237</f>
        <v>40303505.455200009</v>
      </c>
      <c r="C96">
        <f>[110]Sheet1!$IE$237+[111]Sheet1!$IE$237</f>
        <v>173855383.44095999</v>
      </c>
      <c r="D96">
        <f>C96/B96</f>
        <v>4.3136541468883314</v>
      </c>
      <c r="E96" s="15">
        <f t="shared" si="11"/>
        <v>966.09192096574191</v>
      </c>
    </row>
    <row r="97" spans="1:5" x14ac:dyDescent="0.45">
      <c r="E97" s="15"/>
    </row>
    <row r="98" spans="1:5" x14ac:dyDescent="0.45">
      <c r="A98" t="s">
        <v>45</v>
      </c>
    </row>
    <row r="99" spans="1:5" x14ac:dyDescent="0.45">
      <c r="A99" t="s">
        <v>1</v>
      </c>
      <c r="B99" t="s">
        <v>3</v>
      </c>
      <c r="C99" t="s">
        <v>4</v>
      </c>
      <c r="D99" t="s">
        <v>7</v>
      </c>
      <c r="E99" t="s">
        <v>16</v>
      </c>
    </row>
    <row r="100" spans="1:5" x14ac:dyDescent="0.45">
      <c r="A100">
        <v>2017</v>
      </c>
      <c r="B100">
        <f>[112]Sheet1!$IF$237+[113]Sheet1!$IF$237</f>
        <v>1042196.0952000003</v>
      </c>
      <c r="C100">
        <f>[114]Sheet1!$IF$237+[115]Sheet1!$IF$237</f>
        <v>3686412.2919000005</v>
      </c>
      <c r="D100">
        <f t="shared" ref="D100:D101" si="12">C100/B100</f>
        <v>3.5371580347291243</v>
      </c>
      <c r="E100" s="11">
        <f>D100*N21</f>
        <v>31.197733866310877</v>
      </c>
    </row>
    <row r="101" spans="1:5" x14ac:dyDescent="0.45">
      <c r="A101">
        <v>2018</v>
      </c>
      <c r="B101">
        <f>[116]Sheet1!$IF$237+[117]Sheet1!$IF$237</f>
        <v>1041021.6218999998</v>
      </c>
      <c r="C101">
        <f>[118]Sheet1!$IF$237+[119]Sheet1!$IF$237</f>
        <v>3957159.4959</v>
      </c>
      <c r="D101">
        <f t="shared" si="12"/>
        <v>3.8012269991834264</v>
      </c>
      <c r="E101" s="11">
        <f>D101*N22</f>
        <v>33.526822132797825</v>
      </c>
    </row>
    <row r="102" spans="1:5" x14ac:dyDescent="0.45">
      <c r="A102">
        <v>2019</v>
      </c>
      <c r="B102">
        <f>[120]Sheet1!$IE$237+[121]Sheet1!$IE$237</f>
        <v>909588.68519999972</v>
      </c>
      <c r="C102">
        <f>[122]Sheet1!$IE$237+[123]Sheet1!$IE$237</f>
        <v>3194340.2166000018</v>
      </c>
      <c r="D102">
        <f>C102/B102</f>
        <v>3.5118513110105725</v>
      </c>
      <c r="E102" s="11">
        <f>D102*N23</f>
        <v>30.974528563113243</v>
      </c>
    </row>
    <row r="104" spans="1:5" x14ac:dyDescent="0.45">
      <c r="A104" t="s">
        <v>55</v>
      </c>
    </row>
    <row r="105" spans="1:5" x14ac:dyDescent="0.45">
      <c r="A105" t="s">
        <v>1</v>
      </c>
      <c r="B105" t="s">
        <v>3</v>
      </c>
      <c r="C105" t="s">
        <v>4</v>
      </c>
      <c r="D105" t="s">
        <v>7</v>
      </c>
      <c r="E105" t="s">
        <v>16</v>
      </c>
    </row>
    <row r="106" spans="1:5" x14ac:dyDescent="0.45">
      <c r="A106">
        <v>2017</v>
      </c>
      <c r="B106">
        <f>[124]Sheet1!$IF$237+[125]Sheet1!$IF$237</f>
        <v>190263550.59711999</v>
      </c>
      <c r="C106">
        <f>[126]Sheet1!$IF$237+[127]Sheet1!$IF$237</f>
        <v>386900878.24752009</v>
      </c>
      <c r="D106">
        <f t="shared" ref="D106:D107" si="13">C106/B106</f>
        <v>2.0334997272639805</v>
      </c>
      <c r="E106" s="11">
        <f>D106*O21</f>
        <v>421.59991070592349</v>
      </c>
    </row>
    <row r="107" spans="1:5" x14ac:dyDescent="0.45">
      <c r="A107">
        <v>2018</v>
      </c>
      <c r="B107">
        <f>[128]Sheet1!$IF$237+[129]Sheet1!$IF$237</f>
        <v>186667802.25912002</v>
      </c>
      <c r="C107">
        <f>[130]Sheet1!$IF$237+[131]Sheet1!$IF$237</f>
        <v>434969837.66600001</v>
      </c>
      <c r="D107">
        <f t="shared" si="13"/>
        <v>2.3301813831943194</v>
      </c>
      <c r="E107" s="11">
        <f t="shared" ref="E107:E108" si="14">D107*O22</f>
        <v>492.4902055483426</v>
      </c>
    </row>
    <row r="108" spans="1:5" x14ac:dyDescent="0.45">
      <c r="A108">
        <v>2019</v>
      </c>
      <c r="B108">
        <f>[132]Sheet1!$IE$237+[133]Sheet1!$IE$237</f>
        <v>179838254.96000004</v>
      </c>
      <c r="C108">
        <f>[134]Sheet1!$IE$237+[135]Sheet1!$IE$237</f>
        <v>357034094.88655996</v>
      </c>
      <c r="D108">
        <f>C108/B108</f>
        <v>1.9853067133351141</v>
      </c>
      <c r="E108" s="11">
        <f t="shared" si="14"/>
        <v>461.78180248314897</v>
      </c>
    </row>
    <row r="110" spans="1:5" x14ac:dyDescent="0.45">
      <c r="A110" t="s">
        <v>57</v>
      </c>
    </row>
    <row r="111" spans="1:5" x14ac:dyDescent="0.45">
      <c r="A111" t="s">
        <v>1</v>
      </c>
      <c r="B111" t="s">
        <v>3</v>
      </c>
      <c r="C111" t="s">
        <v>4</v>
      </c>
      <c r="D111" t="s">
        <v>7</v>
      </c>
      <c r="E111" t="s">
        <v>16</v>
      </c>
    </row>
    <row r="112" spans="1:5" x14ac:dyDescent="0.45">
      <c r="A112">
        <v>2017</v>
      </c>
      <c r="B112">
        <f>[136]Sheet1!$IF$237</f>
        <v>252427594.64286011</v>
      </c>
      <c r="C112">
        <f>[137]Sheet1!$IF$237</f>
        <v>89584920.927319974</v>
      </c>
      <c r="D112">
        <f t="shared" ref="D112:D113" si="15">C112/B112</f>
        <v>0.3548935331498389</v>
      </c>
      <c r="E112" s="8">
        <f>D112*P21</f>
        <v>141.07377640662332</v>
      </c>
    </row>
    <row r="113" spans="1:5" x14ac:dyDescent="0.45">
      <c r="A113">
        <v>2018</v>
      </c>
      <c r="B113">
        <f>[138]Sheet1!$IF$237</f>
        <v>242315146.510528</v>
      </c>
      <c r="C113">
        <f>[139]Sheet1!$IF$237</f>
        <v>115638934.87873995</v>
      </c>
      <c r="D113">
        <f t="shared" si="15"/>
        <v>0.47722536764211609</v>
      </c>
      <c r="E113" s="8">
        <f t="shared" ref="E113:E114" si="16">D113*P22</f>
        <v>193.38518735289855</v>
      </c>
    </row>
    <row r="114" spans="1:5" x14ac:dyDescent="0.45">
      <c r="A114">
        <v>2019</v>
      </c>
      <c r="B114">
        <f>[140]Sheet1!$IE$237</f>
        <v>234969471.33732796</v>
      </c>
      <c r="C114">
        <f>[141]Sheet1!$IE$237</f>
        <v>95218683.925091997</v>
      </c>
      <c r="D114">
        <f>C114/B114</f>
        <v>0.40523853325776826</v>
      </c>
      <c r="E114" s="8">
        <f t="shared" si="16"/>
        <v>180.72230324883054</v>
      </c>
    </row>
    <row r="116" spans="1:5" x14ac:dyDescent="0.45">
      <c r="A116" t="s">
        <v>59</v>
      </c>
    </row>
    <row r="117" spans="1:5" x14ac:dyDescent="0.45">
      <c r="A117" t="s">
        <v>1</v>
      </c>
      <c r="B117" t="s">
        <v>3</v>
      </c>
      <c r="C117" t="s">
        <v>4</v>
      </c>
      <c r="D117" t="s">
        <v>7</v>
      </c>
      <c r="E117" t="s">
        <v>16</v>
      </c>
    </row>
    <row r="118" spans="1:5" x14ac:dyDescent="0.45">
      <c r="A118">
        <v>2017</v>
      </c>
      <c r="B118">
        <f>[142]Sheet1!$IF$237</f>
        <v>651285728.01219189</v>
      </c>
      <c r="C118">
        <f>[143]Sheet1!$IF$237</f>
        <v>26864924.128951989</v>
      </c>
      <c r="D118">
        <f t="shared" ref="D118:D119" si="17">C118/B118</f>
        <v>4.1249060087570483E-2</v>
      </c>
      <c r="E118" s="8">
        <f>D118*Q21</f>
        <v>39.992486486736475</v>
      </c>
    </row>
    <row r="119" spans="1:5" x14ac:dyDescent="0.45">
      <c r="A119">
        <v>2018</v>
      </c>
      <c r="B119">
        <f>[144]Sheet1!$IF$237</f>
        <v>764119924.92326379</v>
      </c>
      <c r="C119">
        <f>[145]Sheet1!$IF$237</f>
        <v>35071537.050367996</v>
      </c>
      <c r="D119">
        <f t="shared" si="17"/>
        <v>4.5897948615709803E-2</v>
      </c>
      <c r="E119" s="8">
        <f t="shared" ref="E119:E120" si="18">D119*Q22</f>
        <v>45.363766154861501</v>
      </c>
    </row>
    <row r="120" spans="1:5" x14ac:dyDescent="0.45">
      <c r="A120">
        <v>2019</v>
      </c>
      <c r="B120">
        <f>[146]Sheet1!$IE$237</f>
        <v>927792351.50674772</v>
      </c>
      <c r="C120">
        <f>[147]Sheet1!$IE$237</f>
        <v>40143496.195711993</v>
      </c>
      <c r="D120">
        <f>C120/B120</f>
        <v>4.3267759354254642E-2</v>
      </c>
      <c r="E120" s="8">
        <f t="shared" si="18"/>
        <v>47.063212339411535</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 Marcus</dc:creator>
  <cp:lastModifiedBy>Berr, Marcus</cp:lastModifiedBy>
  <dcterms:created xsi:type="dcterms:W3CDTF">2021-10-08T14:44:05Z</dcterms:created>
  <dcterms:modified xsi:type="dcterms:W3CDTF">2023-05-08T20:04:48Z</dcterms:modified>
</cp:coreProperties>
</file>