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5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2020D132-F0AD-ED4A-B6F4-A26FB98200A6}" xr6:coauthVersionLast="47" xr6:coauthVersionMax="47" xr10:uidLastSave="{00000000-0000-0000-0000-000000000000}"/>
  <workbookProtection workbookAlgorithmName="SHA-512" workbookHashValue="J2RzKAu57259ggWlXbM6HCBW55gSF1U3091SUFvnRpF0OWwcVaJ/MPt57V12rgf23kz+SaZLP5zvyKIIgPoaLA==" workbookSaltValue="y6TknXUAIqQbJmpgE0xBZA==" workbookSpinCount="100000" lockStructure="1"/>
  <bookViews>
    <workbookView xWindow="0" yWindow="500" windowWidth="51200" windowHeight="28300" tabRatio="530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2023'!$C$47:$C$56</definedName>
    <definedName name="b2_list_Antal_instanser" localSheetId="3">'NOK - Safespring tjenester 2023'!$C$47:$C$56</definedName>
    <definedName name="b2_list_Antal_instanser">'SEK - Safesprings tjänster 2023'!$C$47:$C$56</definedName>
    <definedName name="b2_list_ram" localSheetId="1">'EUR - Safespring services 2023'!$D$47:$D$56</definedName>
    <definedName name="b2_list_ram" localSheetId="3">'NOK - Safespring tjenester 2023'!$D$47:$D$56</definedName>
    <definedName name="b2_list_ram">'SEK - Safesprings tjänster 2023'!$D$47:$D$56</definedName>
    <definedName name="b2_list_vCPU" localSheetId="1">'EUR - Safespring services 2023'!$I$47:$I$56</definedName>
    <definedName name="b2_list_vCPU" localSheetId="3">'NOK - Safespring tjenester 2023'!$I$47:$I$56</definedName>
    <definedName name="b2_list_vCPU">'SEK - Safesprings tjänster 2023'!$I$47:$I$56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2023'!$A$3:$L$242</definedName>
    <definedName name="_xlnm.Print_Area" localSheetId="3">'NOK - Safespring tjenester 2023'!$A$1:$L$243</definedName>
    <definedName name="_xlnm.Print_Area" localSheetId="4">'NOK - Safesprings tjeneste 2021'!$A$1:$N$305</definedName>
    <definedName name="_xlnm.Print_Area" localSheetId="0">'SEK - Safesprings tjänster 2023'!$A$1:$L$242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3" i="12" l="1"/>
  <c r="K162" i="12"/>
  <c r="K161" i="12"/>
  <c r="K164" i="11"/>
  <c r="K163" i="11"/>
  <c r="K162" i="11"/>
  <c r="K161" i="11"/>
  <c r="K160" i="11"/>
  <c r="K162" i="3"/>
  <c r="E54" i="4"/>
  <c r="F54" i="4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K173" i="3"/>
  <c r="K174" i="3"/>
  <c r="K176" i="3"/>
  <c r="K177" i="3"/>
  <c r="K174" i="11"/>
  <c r="K175" i="11"/>
  <c r="K177" i="11"/>
  <c r="K178" i="11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D26" i="12"/>
  <c r="E26" i="12"/>
  <c r="C26" i="11"/>
  <c r="D26" i="11"/>
  <c r="E26" i="11"/>
  <c r="E40" i="12" l="1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C231" i="12" l="1" a="1"/>
  <c r="C231" i="12" s="1"/>
  <c r="K134" i="12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K173" i="11"/>
  <c r="K151" i="11"/>
  <c r="I57" i="11"/>
  <c r="C57" i="11" a="1"/>
  <c r="C57" i="11" s="1"/>
  <c r="D57" i="11" a="1"/>
  <c r="D57" i="11" s="1"/>
  <c r="C230" i="11" a="1"/>
  <c r="C230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C230" i="3" a="1"/>
  <c r="C230" i="3" s="1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G95" i="3" s="1"/>
  <c r="K95" i="3" s="1"/>
  <c r="F35" i="4"/>
  <c r="E36" i="4"/>
  <c r="D103" i="3" s="1"/>
  <c r="F36" i="4"/>
  <c r="D105" i="8" s="1"/>
  <c r="E37" i="4"/>
  <c r="D104" i="11" s="1"/>
  <c r="F37" i="4"/>
  <c r="D106" i="8" s="1"/>
  <c r="E38" i="4"/>
  <c r="D105" i="11" s="1"/>
  <c r="E101" i="11" s="1" a="1"/>
  <c r="E101" i="11" s="1"/>
  <c r="K101" i="11" s="1" a="1"/>
  <c r="K101" i="11" s="1"/>
  <c r="K107" i="11" s="1"/>
  <c r="F38" i="4"/>
  <c r="D107" i="8" s="1"/>
  <c r="E39" i="4"/>
  <c r="G34" i="4" s="1"/>
  <c r="G39" i="4"/>
  <c r="F31" i="4"/>
  <c r="E31" i="4"/>
  <c r="F30" i="4"/>
  <c r="G96" i="11" s="1"/>
  <c r="E30" i="4"/>
  <c r="G96" i="3" s="1"/>
  <c r="K96" i="3" s="1"/>
  <c r="D114" i="8" l="1"/>
  <c r="C231" i="3"/>
  <c r="K135" i="12"/>
  <c r="D104" i="8"/>
  <c r="E103" i="8" s="1" a="1"/>
  <c r="E103" i="8" s="1"/>
  <c r="M103" i="8" s="1" a="1"/>
  <c r="M103" i="8" s="1"/>
  <c r="M109" i="8" s="1"/>
  <c r="G95" i="11"/>
  <c r="K95" i="11" s="1"/>
  <c r="K96" i="1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K97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2" i="12" l="1"/>
  <c r="K97" i="11"/>
  <c r="J231" i="11" s="1"/>
  <c r="C231" i="11"/>
  <c r="L174" i="8"/>
  <c r="K172" i="11"/>
  <c r="G134" i="11"/>
  <c r="L173" i="8"/>
  <c r="G133" i="11"/>
  <c r="K133" i="11" s="1"/>
  <c r="K135" i="11" s="1"/>
  <c r="K171" i="11"/>
  <c r="K97" i="12"/>
  <c r="J232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1" l="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6" i="11" l="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40" i="12" l="1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F73" i="4"/>
  <c r="F74" i="4"/>
  <c r="F75" i="4"/>
  <c r="F76" i="4"/>
  <c r="F71" i="4"/>
  <c r="F45" i="4"/>
  <c r="K150" i="11" s="1"/>
  <c r="F42" i="4"/>
  <c r="K147" i="11" s="1"/>
  <c r="L167" i="8"/>
  <c r="E71" i="4"/>
  <c r="K200" i="12" s="1"/>
  <c r="E76" i="4"/>
  <c r="K205" i="12" s="1"/>
  <c r="E75" i="4"/>
  <c r="K204" i="12" s="1"/>
  <c r="E74" i="4"/>
  <c r="K203" i="12" s="1"/>
  <c r="E73" i="4"/>
  <c r="K202" i="12" s="1"/>
  <c r="E72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20" i="12" s="1"/>
  <c r="D131" i="8" l="1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E26" i="4"/>
  <c r="G119" i="12" s="1"/>
  <c r="F23" i="4"/>
  <c r="E23" i="4"/>
  <c r="G118" i="12" s="1"/>
  <c r="K118" i="12" s="1"/>
  <c r="K121" i="12" s="1"/>
  <c r="J233" i="12" s="1"/>
  <c r="F49" i="4"/>
  <c r="L157" i="8" s="1"/>
  <c r="E49" i="4"/>
  <c r="M151" i="10" s="1"/>
  <c r="F47" i="4"/>
  <c r="E47" i="4"/>
  <c r="K153" i="12" s="1"/>
  <c r="L155" i="8"/>
  <c r="L154" i="8"/>
  <c r="E45" i="4"/>
  <c r="K151" i="12" s="1"/>
  <c r="F44" i="4"/>
  <c r="E44" i="4"/>
  <c r="K150" i="12" s="1"/>
  <c r="F43" i="4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2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K40" i="3" l="1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2" i="12" s="1"/>
  <c r="E19" i="4"/>
  <c r="E52" i="4"/>
  <c r="F52" i="4"/>
  <c r="E53" i="4"/>
  <c r="F53" i="4"/>
  <c r="K161" i="3" l="1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L84" i="10" l="1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1" i="12" s="1"/>
  <c r="J234" i="12" s="1"/>
  <c r="K84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2" i="3" s="1"/>
  <c r="K82" i="3"/>
  <c r="K81" i="3"/>
  <c r="F82" i="3"/>
  <c r="F81" i="3"/>
  <c r="K84" i="3" l="1"/>
  <c r="J230" i="3" s="1"/>
  <c r="J23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<sst xmlns="http://schemas.openxmlformats.org/spreadsheetml/2006/main" count="2106" uniqueCount="676">
  <si>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</si>
  <si>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</si>
  <si>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</si>
  <si>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</si>
  <si>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</si>
  <si>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</si>
  <si>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</si>
  <si>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</si>
  <si>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</si>
  <si>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</si>
  <si>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</si>
  <si>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</si>
  <si>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</si>
  <si>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</si>
  <si>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</si>
  <si>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</si>
  <si>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</si>
  <si>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</si>
  <si>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</si>
  <si>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</si>
  <si>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</si>
  <si>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</si>
  <si>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</si>
  <si>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</si>
  <si>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</si>
  <si>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</si>
  <si>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</si>
  <si>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</si>
  <si>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</si>
  <si>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</si>
  <si>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</si>
  <si>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</si>
  <si>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</si>
  <si>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</si>
  <si>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</si>
  <si>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</si>
  <si>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</si>
  <si>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</si>
  <si>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</si>
  <si>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</si>
  <si>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</si>
  <si>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</si>
  <si>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</si>
  <si>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</si>
  <si>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</si>
  <si>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</si>
  <si>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</si>
  <si>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</si>
  <si>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</si>
  <si>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</si>
  <si>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</si>
  <si>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</si>
  <si>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</si>
  <si>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</si>
  <si>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</si>
  <si>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</si>
  <si>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</si>
  <si>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</si>
  <si>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</si>
  <si>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</si>
  <si>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</si>
  <si>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</si>
  <si>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</si>
  <si>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</si>
  <si>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</si>
  <si>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</si>
  <si>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</si>
  <si>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</si>
  <si>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</si>
  <si>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</si>
  <si>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</si>
  <si>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</si>
  <si>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</si>
  <si>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</si>
  <si>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</si>
  <si>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</si>
  <si>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</si>
  <si>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</si>
  <si>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</si>
  <si>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</si>
  <si>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</si>
  <si>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</si>
  <si>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</si>
  <si>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</si>
  <si>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</si>
  <si>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</si>
  <si>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</si>
  <si>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</si>
  <si>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</si>
  <si>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</si>
  <si>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</si>
  <si>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</si>
  <si>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</si>
  <si>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</si>
  <si>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</si>
  <si>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</si>
  <si>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</si>
  <si>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</si>
  <si>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</si>
  <si>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</si>
  <si>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</si>
  <si>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</si>
  <si>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</si>
  <si>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</si>
  <si>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</si>
  <si>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</si>
  <si>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</si>
  <si>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</si>
  <si>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</si>
  <si>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</si>
  <si>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</si>
  <si>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</si>
  <si>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</si>
  <si>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</si>
  <si>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</si>
  <si>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</si>
  <si>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</si>
  <si>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</si>
  <si>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</si>
  <si>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</si>
  <si>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</si>
  <si>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</si>
  <si>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</si>
  <si>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</si>
  <si>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</si>
  <si>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</si>
  <si>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</si>
  <si>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</si>
  <si>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</si>
  <si>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</si>
  <si>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</si>
  <si>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</si>
  <si>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</si>
  <si>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</si>
  <si>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</si>
  <si>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</si>
  <si>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</si>
  <si>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</si>
  <si>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</si>
  <si>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</si>
  <si>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</si>
  <si>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</si>
  <si>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</si>
  <si>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</si>
  <si>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</si>
  <si>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</si>
  <si>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</si>
  <si>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</si>
  <si>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</si>
  <si>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</si>
  <si>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</si>
  <si>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</si>
  <si>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</si>
  <si>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</si>
  <si>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</si>
  <si>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</si>
  <si>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</si>
  <si>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</si>
  <si>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</si>
  <si>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</si>
  <si>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</si>
  <si>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</si>
  <si>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</si>
  <si>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</si>
  <si>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</si>
  <si>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</si>
  <si>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</si>
  <si>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</si>
  <si>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</si>
  <si>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</si>
  <si>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</si>
  <si>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</si>
  <si>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</si>
  <si>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</si>
  <si>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</si>
  <si>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</si>
  <si>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</si>
  <si>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</si>
  <si>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</si>
  <si>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</si>
  <si>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</si>
  <si>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</si>
  <si>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</si>
  <si>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</si>
  <si>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</si>
  <si>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</si>
  <si>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</si>
  <si>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</si>
  <si>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</si>
  <si>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</si>
  <si>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</si>
  <si>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</si>
  <si>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</si>
  <si>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</si>
  <si>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</si>
  <si>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</si>
  <si>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</si>
  <si>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</si>
  <si>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</si>
  <si>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</si>
  <si>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</si>
  <si>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</si>
  <si>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</si>
  <si>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</si>
  <si>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</si>
  <si>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</si>
  <si>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</si>
  <si>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</si>
  <si>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</si>
  <si>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</si>
  <si>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</si>
  <si>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</si>
  <si>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</si>
  <si>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</si>
  <si>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</si>
  <si>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</si>
  <si>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</si>
  <si>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</si>
  <si>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</si>
  <si>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</si>
  <si>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</si>
  <si>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</si>
  <si>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</si>
  <si>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</si>
  <si>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</si>
  <si>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</si>
  <si>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</si>
  <si>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</si>
  <si>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</si>
  <si>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</si>
  <si>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</si>
  <si>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</si>
  <si>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</si>
  <si>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</si>
  <si>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</si>
  <si>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</si>
  <si>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</si>
  <si>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</si>
  <si>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</si>
  <si>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</si>
  <si>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</si>
  <si>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</si>
  <si>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</si>
  <si>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</si>
  <si>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</si>
  <si>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</si>
  <si>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</si>
  <si>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</si>
  <si>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</si>
  <si>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</si>
  <si>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</si>
  <si>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</si>
  <si>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</si>
  <si>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</si>
  <si>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</si>
  <si>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</si>
  <si>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</si>
  <si>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</si>
  <si>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</si>
  <si>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</si>
  <si>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</si>
  <si>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</si>
  <si>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</si>
  <si>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</si>
  <si>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</si>
  <si>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</si>
  <si>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</si>
  <si>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</si>
  <si>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</si>
  <si>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</si>
  <si>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</si>
  <si>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</si>
  <si>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</si>
  <si>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</si>
  <si>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</si>
  <si>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</si>
  <si>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</si>
  <si>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</si>
  <si>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</si>
  <si>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</si>
  <si>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</si>
  <si>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</si>
  <si>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</si>
  <si>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</si>
  <si>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</si>
  <si>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</si>
  <si>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</si>
  <si>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</si>
  <si>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</si>
  <si>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</si>
  <si>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</si>
  <si>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</si>
  <si>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</si>
  <si>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</si>
  <si>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</si>
  <si>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</si>
  <si>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</si>
  <si>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</si>
  <si>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</si>
  <si>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</si>
  <si>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</si>
  <si>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</si>
  <si>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</si>
  <si>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</si>
  <si>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</si>
  <si>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</si>
  <si>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</si>
  <si>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</si>
  <si>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</si>
  <si>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</si>
  <si>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</si>
  <si>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</si>
  <si>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</si>
  <si>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</si>
  <si>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</si>
  <si>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</si>
  <si>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</si>
  <si>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</si>
  <si>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</si>
  <si>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</si>
  <si>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</si>
  <si>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</si>
  <si>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</si>
  <si>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</si>
  <si>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</si>
  <si>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</si>
  <si>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</si>
  <si>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</si>
  <si>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</si>
  <si>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</si>
  <si>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</si>
  <si>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</si>
  <si>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</si>
  <si>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</si>
  <si>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</si>
  <si>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</si>
  <si>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</si>
  <si>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</si>
  <si>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</si>
  <si>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</si>
  <si>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</si>
  <si>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</si>
  <si>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</si>
  <si>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</si>
  <si>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</si>
  <si>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</si>
  <si>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</si>
  <si>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</si>
  <si>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</si>
  <si>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</si>
  <si>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</si>
  <si>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</si>
  <si>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</si>
  <si>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</si>
  <si>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</si>
  <si>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</si>
  <si>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</si>
  <si>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</si>
  <si>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</si>
  <si>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</si>
  <si>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</si>
  <si>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</si>
  <si>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</si>
  <si>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</si>
  <si>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</si>
  <si>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</si>
  <si>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</si>
  <si>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</si>
  <si>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</si>
  <si>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</si>
  <si>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</si>
  <si>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</si>
  <si>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</si>
  <si>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</si>
  <si>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</si>
  <si>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</si>
  <si>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</si>
  <si>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</si>
  <si>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</si>
  <si>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</si>
  <si>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</si>
  <si>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</si>
  <si>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</si>
  <si>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</si>
  <si>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</si>
  <si>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</si>
  <si>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</si>
  <si>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</si>
  <si>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</si>
  <si>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</si>
  <si>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</si>
  <si>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</si>
  <si>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</si>
  <si>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</si>
  <si>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</si>
  <si>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</si>
  <si>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</si>
  <si>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</si>
  <si>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</si>
  <si>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</si>
  <si>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</si>
  <si>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</si>
  <si>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</si>
  <si>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</si>
  <si>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</si>
  <si>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</si>
  <si>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</si>
  <si>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</si>
  <si>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</si>
  <si>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</si>
  <si>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</si>
  <si>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</si>
  <si>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</si>
  <si>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</si>
  <si>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</si>
  <si>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</si>
  <si>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</si>
  <si>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</si>
  <si>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</si>
  <si>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</si>
  <si>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</si>
  <si>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</si>
  <si>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</si>
  <si>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</si>
  <si>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</si>
  <si>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</si>
  <si>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</si>
  <si>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</si>
  <si>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</si>
  <si>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</si>
  <si>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</si>
  <si>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</si>
  <si>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</si>
  <si>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</si>
  <si>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</si>
  <si>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</si>
  <si>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</si>
  <si>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</si>
  <si>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</si>
  <si>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</si>
  <si>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</si>
  <si>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</si>
  <si>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</si>
  <si>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</si>
  <si>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</si>
  <si>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</si>
  <si>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</si>
  <si>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</si>
  <si>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</si>
  <si>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</si>
  <si>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</si>
  <si>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</si>
  <si>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</si>
  <si>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</si>
  <si>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</si>
  <si>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</si>
  <si>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</si>
  <si>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</si>
  <si>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</si>
  <si>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</si>
  <si>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</si>
  <si>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</si>
  <si>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</si>
  <si>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</si>
  <si>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</si>
  <si>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</si>
  <si>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</si>
  <si>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</si>
  <si>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</si>
  <si>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</si>
  <si>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</si>
  <si>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</si>
  <si>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</si>
  <si>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</si>
  <si>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</si>
  <si>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</si>
  <si>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</si>
  <si>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</si>
  <si>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</si>
  <si>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man.elasticsearch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</si>
  <si>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</si>
  <si>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</si>
  <si>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</si>
  <si>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</si>
  <si>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</si>
  <si>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</si>
  <si>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</si>
  <si>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</si>
  <si>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</si>
  <si>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</si>
  <si>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</si>
  <si>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</si>
  <si>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</si>
  <si>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</si>
  <si>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</si>
  <si>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</si>
  <si>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</si>
  <si>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</si>
  <si>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</si>
  <si>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</si>
  <si>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</si>
  <si>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</si>
  <si>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</si>
  <si>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</si>
  <si>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</si>
  <si>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</si>
  <si>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</si>
  <si>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</si>
  <si>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</si>
  <si>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</si>
  <si>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</si>
  <si>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</si>
  <si>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</si>
  <si>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</si>
  <si>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</si>
  <si>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</si>
  <si>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</si>
  <si>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</si>
  <si>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</si>
  <si>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</si>
  <si>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</si>
  <si>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</si>
  <si>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</si>
  <si>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</si>
  <si>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</si>
  <si>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</si>
  <si>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</si>
  <si>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</si>
  <si>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</si>
  <si>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</si>
  <si>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</si>
  <si>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</si>
  <si>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</si>
  <si>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</si>
  <si>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</si>
  <si>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</si>
  <si>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</si>
  <si>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</si>
  <si>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</si>
  <si>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</si>
  <si>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</si>
  <si>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</si>
  <si>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</si>
  <si>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</si>
  <si>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  <charset val="1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</si>
  <si>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</si>
  <si>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</si>
  <si>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</si>
  <si>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</si>
  <si>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</si>
  <si>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</si>
  <si>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</si>
  <si>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</si>
  <si>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</si>
  <si>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</si>
  <si>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</si>
  <si>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</si>
  <si>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</si>
  <si>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</si>
  <si>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</si>
  <si>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</si>
  <si>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</si>
  <si>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</si>
  <si>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</si>
  <si>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</si>
  <si>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</si>
  <si>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</si>
  <si>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</si>
  <si>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</si>
  <si>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</si>
  <si>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</si>
  <si>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</si>
  <si>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</si>
  <si>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-90 %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</si>
  <si>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</si>
  <si>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</si>
  <si>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</si>
  <si>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</si>
  <si>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</si>
  <si>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</si>
  <si>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</si>
  <si>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</si>
  <si>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</si>
  <si>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</si>
  <si>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</si>
  <si>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</si>
  <si>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</si>
  <si>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</si>
  <si>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</si>
  <si>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</si>
  <si>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</si>
  <si>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</si>
  <si>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  <charset val="1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</si>
  <si>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</si>
  <si>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</si>
  <si>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</si>
  <si>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</si>
  <si>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</si>
  <si>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</si>
  <si>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</si>
  <si>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</si>
  <si>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</si>
  <si>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</si>
  <si>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</si>
  <si>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</si>
  <si>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</si>
  <si>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</si>
  <si>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</si>
  <si>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</si>
  <si>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</si>
  <si>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</si>
  <si>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</si>
  <si>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</si>
  <si>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</si>
  <si>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</si>
  <si>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</si>
  <si>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</si>
  <si>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The support fee is charged at 3 % of the total volume with a minimum fee of 1500 SEK per month.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</si>
  <si>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</si>
  <si>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</si>
  <si>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</si>
  <si>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</si>
  <si>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</si>
  <si>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</si>
  <si>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</si>
  <si>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</si>
  <si>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</si>
  <si>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</si>
  <si>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</si>
  <si>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</si>
  <si>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</si>
  <si>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</si>
  <si>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</si>
  <si>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</si>
  <si>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</si>
  <si>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</si>
  <si>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</si>
  <si>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</si>
  <si>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</si>
  <si>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</si>
  <si>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</si>
  <si>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</si>
  <si>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</si>
  <si>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</si>
  <si>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</si>
  <si>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</si>
  <si>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</si>
  <si>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</si>
  <si>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</si>
  <si>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</si>
  <si>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</si>
  <si>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</si>
  <si>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</si>
  <si>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</si>
  <si>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</si>
  <si>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</si>
  <si>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</si>
  <si>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</si>
  <si>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</si>
  <si>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</si>
  <si>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</si>
  <si>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</si>
  <si>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</si>
  <si>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</si>
  <si>
    <t>Single basic Jupyter notebook with 1 lab, 8vCPU/16GB RAM virtual machine</t>
  </si>
  <si>
    <r>
      <rPr>
        <sz val="10"/>
        <color theme="1" tint="0.39997558519241921"/>
        <rFont val="Montserrat Medium"/>
        <charset val="1"/>
      </rPr>
      <t>PAAS</t>
    </r>
    <r>
      <rPr>
        <sz val="11"/>
        <color theme="1"/>
        <rFont val="Montserrat Medium"/>
        <charset val="1"/>
      </rPr>
      <t>-jupyter.notebook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</si>
  <si>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</si>
  <si>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</si>
  <si>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</si>
  <si>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Windows SQL Server Enterprise</t>
  </si>
  <si>
    <t>Windows SQL Server standard</t>
  </si>
  <si>
    <t>Windows Server</t>
  </si>
  <si>
    <t>Tillbud</t>
  </si>
  <si>
    <t>Priskalkylator 2024-02-27</t>
  </si>
  <si>
    <t>Price calculator 2024-02-27</t>
  </si>
  <si>
    <t>Priskalkulator 02.27.2024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</si>
</sst>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.00;\-[$€-2]\ #,##0.00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5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0" borderId="0" xfId="0" applyNumberFormat="1" applyFont="1" applyAlignment="1" applyProtection="1">
      <alignment horizontal="right" vertical="center" indent="1" readingOrder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top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5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9"/>
  <sheetViews>
    <sheetView showGridLines="0" tabSelected="1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0"/>
      <c r="C4" s="980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673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624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5" t="s">
        <v>606</v>
      </c>
      <c r="C15" s="975"/>
      <c r="D15" s="975"/>
      <c r="E15" s="975"/>
      <c r="F15" s="975"/>
      <c r="G15" s="975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5"/>
      <c r="C16" s="975"/>
      <c r="D16" s="975"/>
      <c r="E16" s="975"/>
      <c r="F16" s="975"/>
      <c r="G16" s="975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5"/>
      <c r="C17" s="975"/>
      <c r="D17" s="975"/>
      <c r="E17" s="975"/>
      <c r="F17" s="975"/>
      <c r="G17" s="975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7" t="s">
        <v>400</v>
      </c>
      <c r="C19" s="977"/>
      <c r="D19" s="977"/>
      <c r="E19" s="977"/>
      <c r="F19" s="977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658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1" t="s">
        <v>660</v>
      </c>
      <c r="C24" s="981"/>
      <c r="D24" s="981"/>
      <c r="E24" s="981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632</v>
      </c>
      <c r="E25" s="131" t="s">
        <v>631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633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634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635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636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637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638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639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640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641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642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643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644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666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645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659</v>
      </c>
      <c r="C44" s="650"/>
      <c r="D44" s="650"/>
      <c r="K44" s="842"/>
      <c r="M44" s="664"/>
    </row>
    <row r="45" spans="2:19" ht="25" customHeight="1">
      <c r="B45" s="981" t="s">
        <v>660</v>
      </c>
      <c r="C45" s="981"/>
      <c r="D45" s="981"/>
      <c r="E45" s="981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440</v>
      </c>
      <c r="F46" s="12" t="s">
        <v>210</v>
      </c>
      <c r="G46" s="131" t="s">
        <v>429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646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647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648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649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1"/>
    </row>
    <row r="51" spans="1:20" s="675" customFormat="1" ht="25" customHeight="1">
      <c r="B51" s="445" t="s">
        <v>650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651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652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653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654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655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2" t="s">
        <v>601</v>
      </c>
      <c r="C60" s="982"/>
      <c r="D60" s="982"/>
      <c r="E60" s="982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2" t="s">
        <v>601</v>
      </c>
      <c r="C70" s="982"/>
      <c r="D70" s="982"/>
      <c r="E70" s="982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443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505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429</v>
      </c>
      <c r="H80" s="24"/>
      <c r="I80" s="728" t="s">
        <v>66</v>
      </c>
      <c r="J80" s="24"/>
      <c r="K80" s="612" t="s">
        <v>494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75" t="s">
        <v>607</v>
      </c>
      <c r="C87" s="975"/>
      <c r="D87" s="975"/>
      <c r="E87" s="975"/>
      <c r="F87" s="975"/>
      <c r="G87" s="975"/>
      <c r="H87" s="975"/>
      <c r="I87" s="975"/>
      <c r="J87" s="975"/>
      <c r="K87" s="975"/>
      <c r="M87" s="664"/>
    </row>
    <row r="88" spans="2:20" s="4" customFormat="1" ht="25" customHeight="1">
      <c r="B88" s="975"/>
      <c r="C88" s="975"/>
      <c r="D88" s="975"/>
      <c r="E88" s="975"/>
      <c r="F88" s="975"/>
      <c r="G88" s="975"/>
      <c r="H88" s="975"/>
      <c r="I88" s="975"/>
      <c r="J88" s="975"/>
      <c r="K88" s="975"/>
      <c r="M88" s="664"/>
    </row>
    <row r="89" spans="2:20" s="4" customFormat="1" ht="25" customHeight="1">
      <c r="B89" s="975"/>
      <c r="C89" s="975"/>
      <c r="D89" s="975"/>
      <c r="E89" s="975"/>
      <c r="F89" s="975"/>
      <c r="G89" s="975"/>
      <c r="H89" s="975"/>
      <c r="I89" s="975"/>
      <c r="J89" s="975"/>
      <c r="K89" s="975"/>
      <c r="M89" s="664"/>
    </row>
    <row r="90" spans="2:20" s="4" customFormat="1" ht="25" customHeight="1">
      <c r="B90" s="549" t="s">
        <v>506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621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401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499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495</v>
      </c>
      <c r="C95" s="912" t="s">
        <v>604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 t="s">
        <v>605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79" t="s">
        <v>225</v>
      </c>
      <c r="E100" s="979"/>
      <c r="F100" s="979"/>
      <c r="G100" s="979"/>
      <c r="H100" s="979"/>
      <c r="I100" s="979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78">
        <f>S3_archive.50_SEK</f>
        <v>350</v>
      </c>
      <c r="E102" s="978"/>
      <c r="F102" s="978"/>
      <c r="G102" s="978"/>
      <c r="H102" s="978"/>
      <c r="I102" s="978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3">
        <f>S3_archive.100_SEK</f>
        <v>270</v>
      </c>
      <c r="E103" s="983"/>
      <c r="F103" s="983"/>
      <c r="G103" s="983"/>
      <c r="H103" s="983"/>
      <c r="I103" s="983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5">
        <f>S3_archive.500_SEK</f>
        <v>200</v>
      </c>
      <c r="E104" s="985"/>
      <c r="F104" s="985"/>
      <c r="G104" s="985"/>
      <c r="H104" s="985"/>
      <c r="I104" s="985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3">
        <f>S3_archive.1000_SEK</f>
        <v>185</v>
      </c>
      <c r="E105" s="983"/>
      <c r="F105" s="983"/>
      <c r="G105" s="983"/>
      <c r="H105" s="983"/>
      <c r="I105" s="983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4" t="str">
        <f>S3_archive.quote_SEK</f>
        <v>Be om offert</v>
      </c>
      <c r="E106" s="984"/>
      <c r="F106" s="984"/>
      <c r="G106" s="984"/>
      <c r="H106" s="984"/>
      <c r="I106" s="984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5" t="s">
        <v>613</v>
      </c>
      <c r="C110" s="975"/>
      <c r="D110" s="975"/>
      <c r="E110" s="975"/>
      <c r="F110" s="975"/>
      <c r="G110" s="975"/>
      <c r="H110" s="672"/>
      <c r="J110" s="674"/>
      <c r="K110" s="833"/>
      <c r="L110" s="674"/>
      <c r="M110" s="664"/>
    </row>
    <row r="111" spans="2:19" s="4" customFormat="1" ht="25" customHeight="1">
      <c r="B111" s="975"/>
      <c r="C111" s="975"/>
      <c r="D111" s="975"/>
      <c r="E111" s="975"/>
      <c r="F111" s="975"/>
      <c r="G111" s="975"/>
      <c r="H111" s="672"/>
      <c r="J111" s="674"/>
      <c r="K111" s="833"/>
      <c r="L111" s="674"/>
      <c r="M111" s="664"/>
    </row>
    <row r="112" spans="2:19" s="4" customFormat="1" ht="25" customHeight="1">
      <c r="B112" s="975"/>
      <c r="C112" s="975"/>
      <c r="D112" s="975"/>
      <c r="E112" s="975"/>
      <c r="F112" s="975"/>
      <c r="G112" s="975"/>
      <c r="H112" s="672"/>
      <c r="J112" s="674"/>
      <c r="K112" s="833"/>
      <c r="L112" s="674"/>
      <c r="M112" s="664"/>
    </row>
    <row r="113" spans="2:32" s="4" customFormat="1" ht="25" customHeight="1">
      <c r="B113" s="549" t="s">
        <v>496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412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441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570</v>
      </c>
      <c r="H117" s="24"/>
      <c r="I117" s="728" t="s">
        <v>90</v>
      </c>
      <c r="J117" s="728" t="s">
        <v>448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5" t="s">
        <v>434</v>
      </c>
      <c r="C125" s="975"/>
      <c r="D125" s="975"/>
      <c r="E125" s="975"/>
      <c r="F125" s="975"/>
      <c r="G125" s="975"/>
      <c r="H125" s="672"/>
      <c r="J125" s="674"/>
      <c r="K125" s="833"/>
      <c r="L125" s="674"/>
      <c r="M125" s="664"/>
    </row>
    <row r="126" spans="2:32" s="4" customFormat="1" ht="25" hidden="1" customHeight="1">
      <c r="B126" s="975"/>
      <c r="C126" s="975"/>
      <c r="D126" s="975"/>
      <c r="E126" s="975"/>
      <c r="F126" s="975"/>
      <c r="G126" s="975"/>
      <c r="H126" s="672"/>
      <c r="J126" s="674"/>
      <c r="K126" s="833"/>
      <c r="L126" s="674"/>
      <c r="M126" s="664"/>
    </row>
    <row r="127" spans="2:32" s="4" customFormat="1" ht="25" hidden="1" customHeight="1">
      <c r="B127" s="975"/>
      <c r="C127" s="975"/>
      <c r="D127" s="975"/>
      <c r="E127" s="975"/>
      <c r="F127" s="975"/>
      <c r="G127" s="975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608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609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6" t="s">
        <v>437</v>
      </c>
      <c r="D132" s="986"/>
      <c r="E132" s="986" t="s">
        <v>438</v>
      </c>
      <c r="F132" s="986"/>
      <c r="G132" s="986" t="s">
        <v>228</v>
      </c>
      <c r="H132" s="986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1" t="s">
        <v>531</v>
      </c>
      <c r="D133" s="991"/>
      <c r="E133" s="993" t="s">
        <v>436</v>
      </c>
      <c r="F133" s="993"/>
      <c r="G133" s="987">
        <v>15000</v>
      </c>
      <c r="H133" s="988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2" t="s">
        <v>435</v>
      </c>
      <c r="D134" s="992"/>
      <c r="E134" s="994" t="s">
        <v>439</v>
      </c>
      <c r="F134" s="994"/>
      <c r="G134" s="989">
        <v>24000</v>
      </c>
      <c r="H134" s="990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5" t="s">
        <v>234</v>
      </c>
      <c r="C139" s="975"/>
      <c r="D139" s="975"/>
      <c r="E139" s="975"/>
      <c r="F139" s="975"/>
      <c r="G139" s="975"/>
      <c r="H139" s="672"/>
      <c r="J139" s="674"/>
      <c r="K139" s="833"/>
      <c r="M139" s="664"/>
    </row>
    <row r="140" spans="2:32" s="4" customFormat="1" ht="25" customHeight="1">
      <c r="B140" s="975"/>
      <c r="C140" s="975"/>
      <c r="D140" s="975"/>
      <c r="E140" s="975"/>
      <c r="F140" s="975"/>
      <c r="G140" s="975"/>
      <c r="H140" s="672"/>
      <c r="J140" s="674"/>
      <c r="K140" s="833"/>
      <c r="M140" s="664"/>
    </row>
    <row r="141" spans="2:32" s="4" customFormat="1" ht="25" customHeight="1">
      <c r="B141" s="975"/>
      <c r="C141" s="975"/>
      <c r="D141" s="975"/>
      <c r="E141" s="975"/>
      <c r="F141" s="975"/>
      <c r="G141" s="975"/>
      <c r="H141" s="672"/>
      <c r="J141" s="674"/>
      <c r="K141" s="833"/>
      <c r="M141" s="664"/>
    </row>
    <row r="142" spans="2:32" s="4" customFormat="1" ht="25" customHeight="1">
      <c r="B142" s="465" t="s">
        <v>412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381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503</v>
      </c>
      <c r="M145" s="664"/>
    </row>
    <row r="146" spans="2:18" ht="25" customHeight="1">
      <c r="B146" s="470" t="s">
        <v>208</v>
      </c>
      <c r="C146" s="23" t="s">
        <v>235</v>
      </c>
      <c r="D146" s="23"/>
      <c r="E146" s="24" t="s">
        <v>220</v>
      </c>
      <c r="F146" s="24"/>
      <c r="G146" s="24"/>
      <c r="H146" s="24"/>
      <c r="I146" s="24"/>
      <c r="J146" s="23" t="s">
        <v>236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237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237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238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238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403</v>
      </c>
      <c r="F151" s="37"/>
      <c r="G151" s="37"/>
      <c r="H151" s="37"/>
      <c r="I151" s="37"/>
      <c r="J151" s="770" t="s">
        <v>239</v>
      </c>
      <c r="K151" s="555" t="str">
        <f>NET_mgn.slb_SEK</f>
        <v>Begär offert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240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449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236</v>
      </c>
      <c r="K159" s="612" t="s">
        <v>211</v>
      </c>
      <c r="M159" s="664"/>
      <c r="N159" s="742"/>
      <c r="O159" s="8"/>
    </row>
    <row r="160" spans="2:18" ht="25" customHeight="1">
      <c r="B160" s="134" t="s">
        <v>612</v>
      </c>
      <c r="C160" s="129"/>
      <c r="D160" s="30"/>
      <c r="E160" s="30" t="s">
        <v>671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475</v>
      </c>
      <c r="C161" s="130"/>
      <c r="D161" s="38"/>
      <c r="E161" s="38" t="s">
        <v>670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668</v>
      </c>
      <c r="C162" s="129"/>
      <c r="D162" s="30"/>
      <c r="E162" s="30" t="s">
        <v>669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476</v>
      </c>
      <c r="C163" s="130"/>
      <c r="D163" s="38"/>
      <c r="E163" s="38" t="s">
        <v>131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477</v>
      </c>
      <c r="C164" s="129"/>
      <c r="D164" s="30"/>
      <c r="E164" s="30" t="s">
        <v>133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241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450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478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479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629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480</v>
      </c>
      <c r="C174" s="130"/>
      <c r="D174" s="38"/>
      <c r="E174" s="38" t="s">
        <v>626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4" t="s">
        <v>665</v>
      </c>
      <c r="C175" s="129"/>
      <c r="D175" s="30"/>
      <c r="E175" s="30" t="s">
        <v>664</v>
      </c>
      <c r="F175" s="30"/>
      <c r="G175" s="30"/>
      <c r="H175" s="30"/>
      <c r="I175" s="30"/>
      <c r="J175" s="40"/>
      <c r="K175" s="629">
        <v>5650</v>
      </c>
      <c r="M175" s="664"/>
      <c r="N175" s="742"/>
      <c r="O175" s="8"/>
    </row>
    <row r="176" spans="2:18" ht="25" customHeight="1">
      <c r="B176" s="137" t="s">
        <v>481</v>
      </c>
      <c r="C176" s="130"/>
      <c r="D176" s="38"/>
      <c r="E176" s="38" t="s">
        <v>147</v>
      </c>
      <c r="F176" s="771"/>
      <c r="G176" s="771"/>
      <c r="H176" s="771"/>
      <c r="I176" s="771"/>
      <c r="J176" s="779"/>
      <c r="K176" s="867" t="str">
        <f>PAAS_man.nats_SEK</f>
        <v>Begär offert</v>
      </c>
      <c r="M176" s="664"/>
      <c r="N176" s="742"/>
      <c r="O176" s="8"/>
    </row>
    <row r="177" spans="2:20" ht="25" customHeight="1">
      <c r="B177" s="134" t="s">
        <v>482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629" t="str">
        <f>PAAS_man.mariadb_SEK</f>
        <v>Begär offert</v>
      </c>
      <c r="M177" s="664"/>
      <c r="N177" s="742"/>
      <c r="O177" s="8"/>
    </row>
    <row r="178" spans="2:20" ht="25" customHeight="1">
      <c r="B178" s="137" t="s">
        <v>442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867" t="s">
        <v>247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K181" s="846"/>
      <c r="L181" s="742"/>
      <c r="M181" s="664"/>
      <c r="N181" s="675"/>
      <c r="O181" s="675"/>
    </row>
    <row r="182" spans="2:20" s="4" customFormat="1" ht="25" customHeight="1">
      <c r="B182" s="975" t="s">
        <v>243</v>
      </c>
      <c r="C182" s="975"/>
      <c r="D182" s="975"/>
      <c r="E182" s="975"/>
      <c r="F182" s="975"/>
      <c r="G182" s="975"/>
      <c r="H182" s="780"/>
      <c r="J182" s="674"/>
      <c r="K182" s="833"/>
      <c r="M182" s="664"/>
    </row>
    <row r="183" spans="2:20" s="4" customFormat="1" ht="25" customHeight="1">
      <c r="B183" s="975"/>
      <c r="C183" s="975"/>
      <c r="D183" s="975"/>
      <c r="E183" s="975"/>
      <c r="F183" s="975"/>
      <c r="G183" s="975"/>
      <c r="H183" s="780"/>
      <c r="J183" s="674"/>
      <c r="K183" s="833"/>
      <c r="M183" s="664"/>
    </row>
    <row r="184" spans="2:20" s="4" customFormat="1" ht="25" customHeight="1">
      <c r="B184" s="975"/>
      <c r="C184" s="975"/>
      <c r="D184" s="975"/>
      <c r="E184" s="975"/>
      <c r="F184" s="975"/>
      <c r="G184" s="975"/>
      <c r="H184" s="780"/>
      <c r="J184" s="674"/>
      <c r="K184" s="833"/>
      <c r="M184" s="664"/>
    </row>
    <row r="185" spans="2:20" s="4" customFormat="1" ht="25" customHeight="1">
      <c r="B185" s="976" t="s">
        <v>504</v>
      </c>
      <c r="C185" s="976"/>
      <c r="D185" s="976"/>
      <c r="E185" s="976"/>
      <c r="F185" s="976"/>
      <c r="H185" s="780"/>
      <c r="J185" s="674"/>
      <c r="K185" s="833"/>
      <c r="M185" s="664"/>
    </row>
    <row r="186" spans="2:20" s="4" customFormat="1" ht="25" customHeight="1">
      <c r="B186" s="977" t="s">
        <v>412</v>
      </c>
      <c r="C186" s="977"/>
      <c r="D186" s="977"/>
      <c r="E186" s="977"/>
      <c r="F186" s="977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500</v>
      </c>
      <c r="M189" s="664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483</v>
      </c>
      <c r="C191" s="129"/>
      <c r="D191" s="30" t="s">
        <v>413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484</v>
      </c>
      <c r="C192" s="130"/>
      <c r="D192" s="38" t="s">
        <v>156</v>
      </c>
      <c r="E192" s="31"/>
      <c r="F192" s="771"/>
      <c r="G192" s="779"/>
      <c r="H192" s="779"/>
      <c r="I192" s="773" t="s">
        <v>244</v>
      </c>
      <c r="J192" s="773"/>
      <c r="K192" s="554" t="s">
        <v>497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485</v>
      </c>
      <c r="C193" s="129"/>
      <c r="D193" s="30" t="s">
        <v>160</v>
      </c>
      <c r="E193" s="129"/>
      <c r="F193" s="129"/>
      <c r="G193" s="129"/>
      <c r="H193" s="40"/>
      <c r="I193" s="770" t="s">
        <v>246</v>
      </c>
      <c r="J193" s="770"/>
      <c r="K193" s="555" t="s">
        <v>247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249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501</v>
      </c>
      <c r="M197" s="664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486</v>
      </c>
      <c r="C199" s="129"/>
      <c r="D199" s="30" t="s">
        <v>166</v>
      </c>
      <c r="E199" s="40"/>
      <c r="F199" s="30"/>
      <c r="G199" s="40"/>
      <c r="H199" s="40"/>
      <c r="I199" s="770" t="s">
        <v>246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487</v>
      </c>
      <c r="C200" s="130"/>
      <c r="D200" s="38" t="s">
        <v>168</v>
      </c>
      <c r="E200" s="31"/>
      <c r="F200" s="771"/>
      <c r="G200" s="779"/>
      <c r="H200" s="779"/>
      <c r="I200" s="773" t="s">
        <v>246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488</v>
      </c>
      <c r="C201" s="129"/>
      <c r="D201" s="30" t="s">
        <v>170</v>
      </c>
      <c r="E201" s="40"/>
      <c r="F201" s="30"/>
      <c r="G201" s="40"/>
      <c r="H201" s="40"/>
      <c r="I201" s="770" t="s">
        <v>246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489</v>
      </c>
      <c r="C202" s="130"/>
      <c r="D202" s="38" t="s">
        <v>172</v>
      </c>
      <c r="E202" s="38"/>
      <c r="F202" s="38"/>
      <c r="G202" s="779"/>
      <c r="H202" s="779"/>
      <c r="I202" s="773" t="s">
        <v>246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490</v>
      </c>
      <c r="C203" s="129"/>
      <c r="D203" s="30" t="s">
        <v>174</v>
      </c>
      <c r="E203" s="40"/>
      <c r="F203" s="30"/>
      <c r="G203" s="40"/>
      <c r="H203" s="40"/>
      <c r="I203" s="770" t="s">
        <v>246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491</v>
      </c>
      <c r="C204" s="130"/>
      <c r="D204" s="38" t="s">
        <v>176</v>
      </c>
      <c r="E204" s="31"/>
      <c r="F204" s="771"/>
      <c r="G204" s="779"/>
      <c r="H204" s="779"/>
      <c r="I204" s="773" t="s">
        <v>246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250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502</v>
      </c>
      <c r="M208" s="664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251</v>
      </c>
      <c r="H209" s="23"/>
      <c r="I209" s="23" t="s">
        <v>236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627</v>
      </c>
      <c r="C210" s="129"/>
      <c r="D210" s="30" t="s">
        <v>252</v>
      </c>
      <c r="E210" s="40"/>
      <c r="F210" s="30"/>
      <c r="G210" s="770" t="s">
        <v>253</v>
      </c>
      <c r="H210" s="770"/>
      <c r="I210" s="770" t="s">
        <v>254</v>
      </c>
      <c r="J210" s="770"/>
      <c r="K210" s="555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628</v>
      </c>
      <c r="C211" s="130"/>
      <c r="D211" s="38" t="s">
        <v>255</v>
      </c>
      <c r="E211" s="31"/>
      <c r="F211" s="771"/>
      <c r="G211" s="773" t="s">
        <v>253</v>
      </c>
      <c r="H211" s="773"/>
      <c r="I211" s="773" t="s">
        <v>254</v>
      </c>
      <c r="J211" s="773"/>
      <c r="K211" s="554" t="s">
        <v>247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629</v>
      </c>
      <c r="C212" s="129"/>
      <c r="D212" s="30" t="s">
        <v>256</v>
      </c>
      <c r="E212" s="40"/>
      <c r="F212" s="30"/>
      <c r="G212" s="770" t="s">
        <v>257</v>
      </c>
      <c r="H212" s="770"/>
      <c r="I212" s="770" t="s">
        <v>254</v>
      </c>
      <c r="J212" s="770"/>
      <c r="K212" s="555" t="s">
        <v>247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630</v>
      </c>
      <c r="C213" s="130"/>
      <c r="D213" s="38" t="s">
        <v>258</v>
      </c>
      <c r="E213" s="31"/>
      <c r="F213" s="771"/>
      <c r="G213" s="773" t="s">
        <v>257</v>
      </c>
      <c r="H213" s="773"/>
      <c r="I213" s="773" t="s">
        <v>254</v>
      </c>
      <c r="J213" s="773"/>
      <c r="K213" s="554" t="s">
        <v>247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73" t="s">
        <v>259</v>
      </c>
      <c r="C220" s="973"/>
      <c r="D220" s="973"/>
      <c r="E220" s="973"/>
      <c r="F220" s="973"/>
      <c r="G220" s="973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3"/>
      <c r="C221" s="973"/>
      <c r="D221" s="973"/>
      <c r="E221" s="973"/>
      <c r="F221" s="973"/>
      <c r="G221" s="973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3"/>
      <c r="C222" s="973"/>
      <c r="D222" s="973"/>
      <c r="E222" s="973"/>
      <c r="F222" s="973"/>
      <c r="G222" s="973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4" t="s">
        <v>412</v>
      </c>
      <c r="C223" s="974"/>
      <c r="D223" s="974"/>
      <c r="E223" s="974"/>
      <c r="F223" s="974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492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13" t="s">
        <v>624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493</v>
      </c>
      <c r="C229" s="56"/>
      <c r="D229" s="57"/>
      <c r="E229" s="56"/>
      <c r="F229" s="659"/>
      <c r="G229" s="659"/>
      <c r="H229" s="659"/>
      <c r="I229" s="56"/>
      <c r="J229" s="659" t="s">
        <v>259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Storage"&amp;"     /     "&amp;K95&amp;" TB - Archive"</f>
        <v>0 TB - Storage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807" t="s">
        <v>222</v>
      </c>
      <c r="C233" s="807"/>
      <c r="D233" s="807"/>
      <c r="E233" s="807"/>
      <c r="F233" s="807"/>
      <c r="G233" s="807"/>
      <c r="H233" s="807"/>
      <c r="I233" s="807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4" t="s">
        <v>444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445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5" t="s">
        <v>446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4" t="s">
        <v>447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6" t="s">
        <v>617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aG033RYCWnsxHZB22j40vxZTDH3RYUeXNjo3/PzQIHfAXXi9GtZnsKTpLpMHBz77xR6V8DcTJMT/8mTyGxK6pA==" saltValue="oTvroXcbLBEXLso0xTvHcQ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20:G222"/>
    <mergeCell ref="B223:F223"/>
    <mergeCell ref="B139:G141"/>
    <mergeCell ref="B182:G184"/>
    <mergeCell ref="B185:F185"/>
    <mergeCell ref="B186:F186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2"/>
      <c r="L3" s="663"/>
      <c r="M3" s="664"/>
    </row>
    <row r="4" spans="1:26" ht="25" customHeight="1">
      <c r="A4" s="2"/>
      <c r="B4" s="980"/>
      <c r="C4" s="980"/>
      <c r="D4" s="2"/>
      <c r="E4" s="2"/>
      <c r="F4" s="2"/>
      <c r="G4" s="2"/>
      <c r="H4" s="2"/>
      <c r="I4" s="2"/>
      <c r="J4" s="2"/>
      <c r="K4" s="922"/>
      <c r="L4" s="663"/>
      <c r="M4" s="664"/>
    </row>
    <row r="5" spans="1:26" ht="25" customHeight="1">
      <c r="A5" s="2"/>
      <c r="B5" s="631" t="s">
        <v>674</v>
      </c>
      <c r="C5" s="65"/>
      <c r="D5" s="2"/>
      <c r="E5" s="2"/>
      <c r="F5" s="2"/>
      <c r="G5" s="2"/>
      <c r="H5" s="2"/>
      <c r="I5" s="2"/>
      <c r="J5" s="2"/>
      <c r="K5" s="92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2"/>
      <c r="L8" s="663"/>
      <c r="M8" s="664"/>
    </row>
    <row r="9" spans="1:26" ht="25" customHeight="1">
      <c r="A9" s="2"/>
      <c r="B9" s="418" t="s">
        <v>603</v>
      </c>
      <c r="C9" s="61"/>
      <c r="D9" s="2"/>
      <c r="E9" s="2"/>
      <c r="F9" s="2"/>
      <c r="G9" s="2"/>
      <c r="H9" s="2"/>
      <c r="I9" s="2"/>
      <c r="J9" s="2"/>
      <c r="K9" s="922"/>
      <c r="L9" s="663"/>
      <c r="M9" s="664"/>
    </row>
    <row r="10" spans="1:26" ht="25" customHeight="1">
      <c r="A10" s="2"/>
      <c r="B10" s="913" t="s">
        <v>624</v>
      </c>
      <c r="C10" s="402"/>
      <c r="D10" s="2"/>
      <c r="E10" s="2"/>
      <c r="F10" s="2"/>
      <c r="G10" s="2"/>
      <c r="H10" s="2"/>
      <c r="I10" s="2"/>
      <c r="J10" s="2"/>
      <c r="K10" s="92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4"/>
      <c r="L12" s="670"/>
      <c r="M12" s="664"/>
    </row>
    <row r="13" spans="1:26" s="4" customFormat="1" ht="25" customHeight="1">
      <c r="B13" s="636"/>
      <c r="G13" s="671"/>
      <c r="H13" s="671"/>
      <c r="I13" s="672"/>
      <c r="K13" s="925"/>
      <c r="L13" s="673"/>
      <c r="M13" s="664"/>
    </row>
    <row r="14" spans="1:26" s="4" customFormat="1" ht="25" customHeight="1">
      <c r="B14" s="636"/>
      <c r="G14" s="671"/>
      <c r="H14" s="671"/>
      <c r="I14" s="672"/>
      <c r="K14" s="925"/>
      <c r="L14" s="673"/>
      <c r="M14" s="664"/>
    </row>
    <row r="15" spans="1:26" s="4" customFormat="1" ht="25" customHeight="1">
      <c r="B15" s="975" t="s">
        <v>614</v>
      </c>
      <c r="C15" s="975"/>
      <c r="D15" s="975"/>
      <c r="E15" s="975"/>
      <c r="F15" s="975"/>
      <c r="G15" s="975"/>
      <c r="H15" s="672"/>
      <c r="J15" s="674"/>
      <c r="K15" s="925"/>
      <c r="L15" s="673"/>
      <c r="M15" s="664"/>
      <c r="S15" s="675"/>
      <c r="X15" s="675"/>
      <c r="Y15" s="675"/>
      <c r="Z15" s="675"/>
    </row>
    <row r="16" spans="1:26" s="4" customFormat="1" ht="25" customHeight="1">
      <c r="B16" s="975"/>
      <c r="C16" s="975"/>
      <c r="D16" s="975"/>
      <c r="E16" s="975"/>
      <c r="F16" s="975"/>
      <c r="G16" s="975"/>
      <c r="H16" s="672"/>
      <c r="J16" s="674"/>
      <c r="K16" s="925"/>
      <c r="L16" s="673"/>
      <c r="M16" s="664"/>
      <c r="S16" s="675"/>
      <c r="X16" s="675"/>
      <c r="Y16" s="675"/>
      <c r="Z16" s="675"/>
    </row>
    <row r="17" spans="2:26" s="4" customFormat="1" ht="25" customHeight="1">
      <c r="B17" s="975"/>
      <c r="C17" s="975"/>
      <c r="D17" s="975"/>
      <c r="E17" s="975"/>
      <c r="F17" s="975"/>
      <c r="G17" s="975"/>
      <c r="H17" s="672"/>
      <c r="J17" s="674"/>
      <c r="K17" s="92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507</v>
      </c>
      <c r="C18" s="676"/>
      <c r="D18" s="676"/>
      <c r="E18" s="676"/>
      <c r="F18" s="676"/>
      <c r="H18" s="672"/>
      <c r="J18" s="674"/>
      <c r="K18" s="92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514</v>
      </c>
      <c r="C20" s="74"/>
      <c r="D20" s="74"/>
      <c r="E20" s="133"/>
      <c r="F20" s="133"/>
      <c r="G20" s="677"/>
      <c r="H20" s="678"/>
      <c r="I20" s="677"/>
      <c r="J20" s="679"/>
      <c r="K20" s="92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656</v>
      </c>
      <c r="C23" s="107"/>
      <c r="D23" s="107"/>
      <c r="E23" s="107"/>
      <c r="F23" s="107"/>
      <c r="G23" s="107"/>
      <c r="H23" s="21"/>
      <c r="I23" s="682"/>
      <c r="J23" s="682"/>
      <c r="K23" s="927"/>
      <c r="M23" s="664"/>
      <c r="P23" s="684"/>
      <c r="Q23" s="684"/>
      <c r="R23" s="685"/>
    </row>
    <row r="24" spans="2:26" ht="25" customHeight="1">
      <c r="B24" s="996" t="s">
        <v>663</v>
      </c>
      <c r="C24" s="996"/>
      <c r="D24" s="996"/>
      <c r="E24" s="996"/>
      <c r="F24" s="996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509</v>
      </c>
      <c r="F25" s="131" t="s">
        <v>13</v>
      </c>
      <c r="G25" s="131" t="s">
        <v>510</v>
      </c>
      <c r="H25" s="686"/>
      <c r="I25" s="687" t="s">
        <v>511</v>
      </c>
      <c r="J25" s="686"/>
      <c r="K25" s="92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3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3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3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3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3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3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30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1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3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3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4"/>
      <c r="M43" s="664"/>
      <c r="P43" s="681"/>
      <c r="Q43" s="681"/>
      <c r="R43" s="688"/>
    </row>
    <row r="44" spans="2:18" s="651" customFormat="1" ht="25" customHeight="1">
      <c r="B44" s="652" t="s">
        <v>657</v>
      </c>
      <c r="C44" s="650"/>
      <c r="D44" s="650"/>
      <c r="K44" s="935"/>
      <c r="M44" s="664"/>
    </row>
    <row r="45" spans="2:18" ht="25" customHeight="1">
      <c r="B45" s="996" t="s">
        <v>663</v>
      </c>
      <c r="C45" s="996"/>
      <c r="D45" s="996"/>
      <c r="E45" s="996"/>
      <c r="F45" s="996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509</v>
      </c>
      <c r="F46" s="131" t="s">
        <v>13</v>
      </c>
      <c r="G46" s="131" t="s">
        <v>510</v>
      </c>
      <c r="H46" s="686"/>
      <c r="I46" s="687" t="s">
        <v>511</v>
      </c>
      <c r="J46" s="686"/>
      <c r="K46" s="929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30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1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30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1">
        <f t="shared" si="14"/>
        <v>0</v>
      </c>
      <c r="L50" s="710"/>
      <c r="M50" s="664"/>
      <c r="N50" s="708"/>
      <c r="O50" s="971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30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1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30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1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30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1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6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3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937"/>
      <c r="L59" s="712"/>
      <c r="M59" s="664"/>
      <c r="R59" s="713"/>
      <c r="S59" s="713"/>
      <c r="T59" s="714"/>
    </row>
    <row r="60" spans="1:20" ht="25" hidden="1" customHeight="1">
      <c r="B60" s="982" t="s">
        <v>498</v>
      </c>
      <c r="C60" s="982"/>
      <c r="D60" s="982"/>
      <c r="E60" s="982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929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30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1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30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1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6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8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8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938"/>
      <c r="M69" s="664"/>
      <c r="N69" s="8"/>
      <c r="O69" s="8"/>
      <c r="P69" s="684"/>
      <c r="Q69" s="8"/>
      <c r="R69" s="685"/>
    </row>
    <row r="70" spans="2:20" ht="25" hidden="1" customHeight="1">
      <c r="B70" s="982" t="s">
        <v>498</v>
      </c>
      <c r="C70" s="982"/>
      <c r="D70" s="982"/>
      <c r="E70" s="982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929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30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1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30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6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9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8"/>
      <c r="L77" s="722"/>
      <c r="M77" s="664"/>
      <c r="Q77" s="681"/>
      <c r="S77" s="681"/>
    </row>
    <row r="78" spans="2:20" ht="25" customHeight="1">
      <c r="B78" s="649" t="s">
        <v>512</v>
      </c>
      <c r="C78" s="22"/>
      <c r="D78" s="22"/>
      <c r="E78" s="22"/>
      <c r="F78" s="22"/>
      <c r="G78" s="22"/>
      <c r="H78" s="8"/>
      <c r="I78" s="8"/>
      <c r="J78" s="8"/>
      <c r="K78" s="938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508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510</v>
      </c>
      <c r="H80" s="24"/>
      <c r="I80" s="728" t="s">
        <v>517</v>
      </c>
      <c r="J80" s="24"/>
      <c r="K80" s="940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459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1">
        <f>ROUNDUP(I81*G81,2)</f>
        <v>0</v>
      </c>
      <c r="L81" s="8"/>
      <c r="M81" s="664"/>
    </row>
    <row r="82" spans="2:20" s="675" customFormat="1" ht="25" customHeight="1">
      <c r="B82" s="137" t="s">
        <v>460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2">
        <f>ROUNDUP(I82*G82,2)</f>
        <v>0</v>
      </c>
      <c r="L82" s="8"/>
      <c r="M82" s="664"/>
      <c r="T82" s="681"/>
    </row>
    <row r="83" spans="2:20" s="675" customFormat="1" ht="25" customHeight="1">
      <c r="B83" s="134" t="s">
        <v>461</v>
      </c>
      <c r="C83" s="39" t="s">
        <v>426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1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6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3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4"/>
      <c r="L86" s="741"/>
      <c r="M86" s="664"/>
    </row>
    <row r="87" spans="2:20" s="4" customFormat="1" ht="25" customHeight="1">
      <c r="B87" s="975" t="s">
        <v>615</v>
      </c>
      <c r="C87" s="975"/>
      <c r="D87" s="975"/>
      <c r="E87" s="975"/>
      <c r="F87" s="975"/>
      <c r="G87" s="975"/>
      <c r="H87" s="672"/>
      <c r="J87" s="674"/>
      <c r="K87" s="925"/>
      <c r="M87" s="664"/>
    </row>
    <row r="88" spans="2:20" s="4" customFormat="1" ht="25" customHeight="1">
      <c r="B88" s="975"/>
      <c r="C88" s="975"/>
      <c r="D88" s="975"/>
      <c r="E88" s="975"/>
      <c r="F88" s="975"/>
      <c r="G88" s="975"/>
      <c r="H88" s="672"/>
      <c r="J88" s="674"/>
      <c r="K88" s="925"/>
      <c r="M88" s="664"/>
    </row>
    <row r="89" spans="2:20" s="4" customFormat="1" ht="25" customHeight="1">
      <c r="B89" s="975"/>
      <c r="C89" s="975"/>
      <c r="D89" s="975"/>
      <c r="E89" s="975"/>
      <c r="F89" s="975"/>
      <c r="G89" s="975"/>
      <c r="H89" s="672"/>
      <c r="J89" s="674"/>
      <c r="K89" s="925"/>
      <c r="M89" s="664"/>
    </row>
    <row r="90" spans="2:20" s="4" customFormat="1" ht="25" customHeight="1">
      <c r="B90" s="549" t="s">
        <v>513</v>
      </c>
      <c r="C90" s="549"/>
      <c r="D90" s="549"/>
      <c r="E90" s="549"/>
      <c r="F90" s="549"/>
      <c r="H90" s="672"/>
      <c r="J90" s="674"/>
      <c r="K90" s="925"/>
      <c r="M90" s="664"/>
    </row>
    <row r="91" spans="2:20" s="503" customFormat="1" ht="25" customHeight="1">
      <c r="B91" s="465" t="s">
        <v>622</v>
      </c>
      <c r="C91" s="465"/>
      <c r="D91" s="465"/>
      <c r="E91" s="465"/>
      <c r="F91" s="465"/>
      <c r="G91" s="743"/>
      <c r="H91" s="744"/>
      <c r="I91" s="743"/>
      <c r="J91" s="745"/>
      <c r="K91" s="945"/>
      <c r="L91" s="743"/>
      <c r="M91" s="664"/>
    </row>
    <row r="92" spans="2:20" s="4" customFormat="1" ht="25" customHeight="1">
      <c r="B92" s="550" t="s">
        <v>514</v>
      </c>
      <c r="C92" s="74"/>
      <c r="D92" s="74"/>
      <c r="E92" s="133"/>
      <c r="F92" s="133"/>
      <c r="G92" s="677"/>
      <c r="H92" s="678"/>
      <c r="I92" s="677"/>
      <c r="J92" s="679"/>
      <c r="K92" s="926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8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515</v>
      </c>
      <c r="H94" s="24"/>
      <c r="I94" s="728" t="s">
        <v>516</v>
      </c>
      <c r="J94" s="131"/>
      <c r="K94" s="940" t="s">
        <v>83</v>
      </c>
      <c r="L94" s="680"/>
      <c r="M94" s="664"/>
      <c r="N94" s="675"/>
    </row>
    <row r="95" spans="2:20" s="752" customFormat="1" ht="25" customHeight="1">
      <c r="B95" s="445" t="s">
        <v>495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1">
        <f>I95*G95</f>
        <v>0</v>
      </c>
      <c r="L95" s="751"/>
      <c r="M95" s="664"/>
      <c r="N95" s="721"/>
    </row>
    <row r="96" spans="2:20" s="675" customFormat="1" ht="25" customHeight="1">
      <c r="B96" s="137" t="s">
        <v>462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2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6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938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79" t="s">
        <v>225</v>
      </c>
      <c r="E100" s="979"/>
      <c r="F100" s="979"/>
      <c r="G100" s="979"/>
      <c r="H100" s="979"/>
      <c r="I100" s="979"/>
      <c r="J100" s="131"/>
      <c r="K100" s="940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6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78">
        <f>S3_archive.50_SEK</f>
        <v>350</v>
      </c>
      <c r="E102" s="978"/>
      <c r="F102" s="978"/>
      <c r="G102" s="978"/>
      <c r="H102" s="978"/>
      <c r="I102" s="978"/>
      <c r="J102" s="884"/>
      <c r="K102" s="947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3">
        <f>S3_archive.100_SEK</f>
        <v>270</v>
      </c>
      <c r="E103" s="983"/>
      <c r="F103" s="983"/>
      <c r="G103" s="983"/>
      <c r="H103" s="983"/>
      <c r="I103" s="983"/>
      <c r="J103" s="886"/>
      <c r="K103" s="948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5">
        <f>S3_archive.500_SEK</f>
        <v>200</v>
      </c>
      <c r="E104" s="985"/>
      <c r="F104" s="985"/>
      <c r="G104" s="985"/>
      <c r="H104" s="985"/>
      <c r="I104" s="985"/>
      <c r="J104" s="887"/>
      <c r="K104" s="949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3">
        <f>S3_archive.1000_SEK</f>
        <v>185</v>
      </c>
      <c r="E105" s="983"/>
      <c r="F105" s="983"/>
      <c r="G105" s="983"/>
      <c r="H105" s="983"/>
      <c r="I105" s="983"/>
      <c r="J105" s="886"/>
      <c r="K105" s="948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4" t="str">
        <f>S3_archive.quote_SEK</f>
        <v>Be om offert</v>
      </c>
      <c r="E106" s="984"/>
      <c r="F106" s="984"/>
      <c r="G106" s="984"/>
      <c r="H106" s="984"/>
      <c r="I106" s="984"/>
      <c r="J106" s="885"/>
      <c r="K106" s="950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3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6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3"/>
      <c r="L109" s="742"/>
      <c r="M109" s="664"/>
      <c r="N109" s="675"/>
      <c r="Q109" s="4"/>
    </row>
    <row r="110" spans="2:19" s="4" customFormat="1" ht="25" customHeight="1">
      <c r="B110" s="975" t="s">
        <v>616</v>
      </c>
      <c r="C110" s="975"/>
      <c r="D110" s="975"/>
      <c r="E110" s="975"/>
      <c r="F110" s="975"/>
      <c r="G110" s="975"/>
      <c r="H110" s="672"/>
      <c r="J110" s="674"/>
      <c r="K110" s="925"/>
      <c r="L110" s="674"/>
      <c r="M110" s="664"/>
    </row>
    <row r="111" spans="2:19" s="4" customFormat="1" ht="25" customHeight="1">
      <c r="B111" s="975"/>
      <c r="C111" s="975"/>
      <c r="D111" s="975"/>
      <c r="E111" s="975"/>
      <c r="F111" s="975"/>
      <c r="G111" s="975"/>
      <c r="H111" s="672"/>
      <c r="J111" s="674"/>
      <c r="K111" s="925"/>
      <c r="L111" s="674"/>
      <c r="M111" s="664"/>
    </row>
    <row r="112" spans="2:19" s="4" customFormat="1" ht="25" customHeight="1">
      <c r="B112" s="975"/>
      <c r="C112" s="975"/>
      <c r="D112" s="975"/>
      <c r="E112" s="975"/>
      <c r="F112" s="975"/>
      <c r="G112" s="975"/>
      <c r="H112" s="672"/>
      <c r="J112" s="674"/>
      <c r="K112" s="925"/>
      <c r="L112" s="674"/>
      <c r="M112" s="664"/>
    </row>
    <row r="113" spans="2:32" s="4" customFormat="1" ht="25" customHeight="1">
      <c r="B113" s="549" t="s">
        <v>496</v>
      </c>
      <c r="C113" s="549"/>
      <c r="D113" s="549"/>
      <c r="E113" s="549"/>
      <c r="F113" s="549"/>
      <c r="H113" s="672"/>
      <c r="J113" s="674"/>
      <c r="K113" s="925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6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514</v>
      </c>
      <c r="C115" s="74"/>
      <c r="D115" s="74"/>
      <c r="E115" s="133"/>
      <c r="F115" s="133"/>
      <c r="G115" s="677"/>
      <c r="H115" s="678"/>
      <c r="I115" s="677"/>
      <c r="J115" s="679"/>
      <c r="K115" s="926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8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518</v>
      </c>
      <c r="F117" s="769"/>
      <c r="G117" s="131" t="s">
        <v>519</v>
      </c>
      <c r="H117" s="24"/>
      <c r="I117" s="728" t="s">
        <v>517</v>
      </c>
      <c r="J117" s="728" t="s">
        <v>520</v>
      </c>
      <c r="K117" s="940" t="s">
        <v>557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1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2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6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6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1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3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3"/>
      <c r="L124" s="742"/>
      <c r="M124" s="664"/>
      <c r="N124" s="675"/>
      <c r="Q124" s="4"/>
    </row>
    <row r="125" spans="2:32" s="4" customFormat="1" ht="25" hidden="1" customHeight="1">
      <c r="B125" s="975" t="s">
        <v>434</v>
      </c>
      <c r="C125" s="975"/>
      <c r="D125" s="975"/>
      <c r="E125" s="975"/>
      <c r="F125" s="975"/>
      <c r="G125" s="975"/>
      <c r="H125" s="672"/>
      <c r="J125" s="674"/>
      <c r="K125" s="925"/>
      <c r="L125" s="674"/>
      <c r="M125" s="664"/>
    </row>
    <row r="126" spans="2:32" s="4" customFormat="1" ht="25" hidden="1" customHeight="1">
      <c r="B126" s="975"/>
      <c r="C126" s="975"/>
      <c r="D126" s="975"/>
      <c r="E126" s="975"/>
      <c r="F126" s="975"/>
      <c r="G126" s="975"/>
      <c r="H126" s="672"/>
      <c r="J126" s="674"/>
      <c r="K126" s="925"/>
      <c r="L126" s="674"/>
      <c r="M126" s="664"/>
    </row>
    <row r="127" spans="2:32" s="4" customFormat="1" ht="25" hidden="1" customHeight="1">
      <c r="B127" s="975"/>
      <c r="C127" s="975"/>
      <c r="D127" s="975"/>
      <c r="E127" s="975"/>
      <c r="F127" s="975"/>
      <c r="G127" s="975"/>
      <c r="H127" s="672"/>
      <c r="J127" s="674"/>
      <c r="K127" s="925"/>
      <c r="L127" s="674"/>
      <c r="M127" s="664"/>
    </row>
    <row r="128" spans="2:32" s="4" customFormat="1" ht="25" hidden="1" customHeight="1">
      <c r="B128" s="549" t="s">
        <v>525</v>
      </c>
      <c r="C128" s="6"/>
      <c r="D128" s="6"/>
      <c r="E128" s="6"/>
      <c r="F128" s="6"/>
      <c r="H128" s="672"/>
      <c r="J128" s="674"/>
      <c r="K128" s="925"/>
      <c r="L128" s="674"/>
      <c r="M128" s="664"/>
    </row>
    <row r="129" spans="2:32" s="4" customFormat="1" ht="25" hidden="1" customHeight="1">
      <c r="B129" s="465" t="s">
        <v>610</v>
      </c>
      <c r="C129" s="465"/>
      <c r="D129" s="465"/>
      <c r="E129" s="465"/>
      <c r="F129" s="465"/>
      <c r="G129" s="677"/>
      <c r="H129" s="678"/>
      <c r="J129" s="679"/>
      <c r="K129" s="926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514</v>
      </c>
      <c r="C130" s="74"/>
      <c r="D130" s="74"/>
      <c r="E130" s="74"/>
      <c r="F130" s="133"/>
      <c r="G130" s="677"/>
      <c r="H130" s="678"/>
      <c r="I130" s="677"/>
      <c r="J130" s="679"/>
      <c r="K130" s="926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8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86" t="s">
        <v>526</v>
      </c>
      <c r="D132" s="986"/>
      <c r="E132" s="986" t="s">
        <v>527</v>
      </c>
      <c r="F132" s="986"/>
      <c r="G132" s="995" t="s">
        <v>518</v>
      </c>
      <c r="H132" s="995"/>
      <c r="I132" s="24"/>
      <c r="J132" s="24"/>
      <c r="K132" s="940" t="s">
        <v>92</v>
      </c>
      <c r="L132" s="722"/>
      <c r="M132" s="664"/>
    </row>
    <row r="133" spans="2:32" ht="25" hidden="1" customHeight="1">
      <c r="B133" s="826" t="s">
        <v>466</v>
      </c>
      <c r="C133" s="991" t="s">
        <v>531</v>
      </c>
      <c r="D133" s="991"/>
      <c r="E133" s="993" t="s">
        <v>530</v>
      </c>
      <c r="F133" s="993"/>
      <c r="G133" s="901" t="str">
        <f>PAAS_man.kubernetes_EUR</f>
        <v xml:space="preserve"> Requests for quotation </v>
      </c>
      <c r="H133" s="899"/>
      <c r="I133" s="749"/>
      <c r="J133" s="911">
        <v>1</v>
      </c>
      <c r="K133" s="952" t="str">
        <f>IF(J133=1,G133," ")</f>
        <v xml:space="preserve"> Requests for quotation </v>
      </c>
      <c r="L133" s="722"/>
      <c r="M133" s="664"/>
    </row>
    <row r="134" spans="2:32" ht="25" hidden="1" customHeight="1">
      <c r="B134" s="137" t="s">
        <v>467</v>
      </c>
      <c r="C134" s="992" t="s">
        <v>528</v>
      </c>
      <c r="D134" s="992"/>
      <c r="E134" s="994" t="s">
        <v>529</v>
      </c>
      <c r="F134" s="994"/>
      <c r="G134" s="902" t="str">
        <f>PAAS_man.kubernetes8_EUR</f>
        <v>Requests for quotation</v>
      </c>
      <c r="H134" s="900"/>
      <c r="I134" s="753"/>
      <c r="J134" s="738"/>
      <c r="K134" s="953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6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3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1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6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5" t="s">
        <v>100</v>
      </c>
      <c r="C139" s="975"/>
      <c r="D139" s="975"/>
      <c r="E139" s="975"/>
      <c r="F139" s="975"/>
      <c r="G139" s="975"/>
      <c r="H139" s="672"/>
      <c r="J139" s="674"/>
      <c r="K139" s="925"/>
      <c r="M139" s="664"/>
    </row>
    <row r="140" spans="2:32" s="4" customFormat="1" ht="25" customHeight="1">
      <c r="B140" s="975"/>
      <c r="C140" s="975"/>
      <c r="D140" s="975"/>
      <c r="E140" s="975"/>
      <c r="F140" s="975"/>
      <c r="G140" s="975"/>
      <c r="H140" s="672"/>
      <c r="J140" s="674"/>
      <c r="K140" s="925"/>
      <c r="M140" s="664"/>
    </row>
    <row r="141" spans="2:32" s="4" customFormat="1" ht="25" customHeight="1">
      <c r="B141" s="975"/>
      <c r="C141" s="975"/>
      <c r="D141" s="975"/>
      <c r="E141" s="975"/>
      <c r="F141" s="975"/>
      <c r="G141" s="975"/>
      <c r="H141" s="672"/>
      <c r="J141" s="674"/>
      <c r="K141" s="925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6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6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6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532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533</v>
      </c>
      <c r="K146" s="940" t="s">
        <v>14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534</v>
      </c>
      <c r="K147" s="921">
        <f>NET_publicv4_EUR</f>
        <v>2.2250000000000001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20">
        <f>NET_publicv6_EUR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1">
        <f>NET_ingress_EUR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20">
        <f>NET_egress_EUR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535</v>
      </c>
      <c r="F151" s="37"/>
      <c r="G151" s="37"/>
      <c r="H151" s="37"/>
      <c r="I151" s="37"/>
      <c r="J151" s="770" t="s">
        <v>116</v>
      </c>
      <c r="K151" s="954" t="str">
        <f>NET_mgn.slb_EUR</f>
        <v>Request a quote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20">
        <f>NET_rdns_EUR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1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5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536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537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533</v>
      </c>
      <c r="K159" s="940" t="s">
        <v>14</v>
      </c>
      <c r="M159" s="664"/>
      <c r="N159" s="742"/>
      <c r="O159" s="8"/>
    </row>
    <row r="160" spans="2:18" ht="25" customHeight="1">
      <c r="B160" s="134" t="s">
        <v>612</v>
      </c>
      <c r="C160" s="129"/>
      <c r="D160" s="30"/>
      <c r="E160" s="30" t="s">
        <v>671</v>
      </c>
      <c r="F160" s="30"/>
      <c r="G160" s="30"/>
      <c r="H160" s="30"/>
      <c r="I160" s="30"/>
      <c r="J160" s="770" t="s">
        <v>10</v>
      </c>
      <c r="K160" s="921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475</v>
      </c>
      <c r="C161" s="130"/>
      <c r="D161" s="38"/>
      <c r="E161" s="38" t="s">
        <v>670</v>
      </c>
      <c r="F161" s="771"/>
      <c r="G161" s="771"/>
      <c r="H161" s="771"/>
      <c r="I161" s="771"/>
      <c r="J161" s="773" t="s">
        <v>10</v>
      </c>
      <c r="K161" s="920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668</v>
      </c>
      <c r="C162" s="129"/>
      <c r="D162" s="30"/>
      <c r="E162" s="30" t="s">
        <v>669</v>
      </c>
      <c r="F162" s="30"/>
      <c r="G162" s="30"/>
      <c r="H162" s="30"/>
      <c r="I162" s="30"/>
      <c r="J162" s="770" t="s">
        <v>10</v>
      </c>
      <c r="K162" s="921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476</v>
      </c>
      <c r="C163" s="130"/>
      <c r="D163" s="38"/>
      <c r="E163" s="38" t="s">
        <v>131</v>
      </c>
      <c r="F163" s="771"/>
      <c r="G163" s="771"/>
      <c r="H163" s="771"/>
      <c r="I163" s="771"/>
      <c r="J163" s="773"/>
      <c r="K163" s="920" t="str">
        <f>SW_nextcloud_EUR</f>
        <v>Request a quote</v>
      </c>
      <c r="M163" s="664"/>
      <c r="N163" s="742"/>
      <c r="O163" s="8"/>
    </row>
    <row r="164" spans="2:18" ht="25" customHeight="1">
      <c r="B164" s="134" t="s">
        <v>477</v>
      </c>
      <c r="C164" s="129"/>
      <c r="D164" s="30"/>
      <c r="E164" s="30" t="s">
        <v>133</v>
      </c>
      <c r="F164" s="30"/>
      <c r="G164" s="30"/>
      <c r="H164" s="30"/>
      <c r="I164" s="30"/>
      <c r="J164" s="770"/>
      <c r="K164" s="921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6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2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538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40" t="s">
        <v>14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957" t="str">
        <f>PAAS_man.kubernetes_EUR</f>
        <v xml:space="preserve"> Requests for quotation </v>
      </c>
      <c r="M171" s="664"/>
      <c r="N171" s="742"/>
      <c r="O171" s="8"/>
    </row>
    <row r="172" spans="2:18" ht="25" customHeight="1">
      <c r="B172" s="137" t="s">
        <v>478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942" t="str">
        <f>PAAS_man.postgres.sql_EUR</f>
        <v>Requests for quotation</v>
      </c>
      <c r="M172" s="664"/>
      <c r="N172" s="742"/>
      <c r="O172" s="8"/>
    </row>
    <row r="173" spans="2:18" ht="25" customHeight="1">
      <c r="B173" s="134" t="s">
        <v>479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941" t="str">
        <f>PAAS_man.elasticsearch_EUR</f>
        <v>Requests for quotation</v>
      </c>
      <c r="M173" s="664"/>
      <c r="N173" s="742"/>
      <c r="O173" s="8"/>
    </row>
    <row r="174" spans="2:18" ht="25" customHeight="1">
      <c r="B174" s="137" t="s">
        <v>480</v>
      </c>
      <c r="C174" s="130"/>
      <c r="D174" s="38"/>
      <c r="E174" s="38" t="s">
        <v>625</v>
      </c>
      <c r="F174" s="771"/>
      <c r="G174" s="771"/>
      <c r="H174" s="771"/>
      <c r="I174" s="771"/>
      <c r="J174" s="779"/>
      <c r="K174" s="942" t="str">
        <f>PAAS_openshift_EUR</f>
        <v>Requests for quotation</v>
      </c>
      <c r="M174" s="664"/>
      <c r="N174" s="742"/>
      <c r="O174" s="8"/>
    </row>
    <row r="175" spans="2:18" ht="25" customHeight="1">
      <c r="B175" s="134" t="s">
        <v>481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1" t="str">
        <f>PAAS_man.nats_EUR</f>
        <v>Requests for quotation</v>
      </c>
      <c r="M175" s="664"/>
      <c r="N175" s="742"/>
      <c r="O175" s="8"/>
    </row>
    <row r="176" spans="2:18" ht="25" customHeight="1">
      <c r="B176" s="137" t="s">
        <v>665</v>
      </c>
      <c r="C176" s="130"/>
      <c r="D176" s="38"/>
      <c r="E176" s="38" t="s">
        <v>664</v>
      </c>
      <c r="F176" s="771"/>
      <c r="G176" s="771"/>
      <c r="H176" s="771"/>
      <c r="I176" s="771"/>
      <c r="J176" s="779"/>
      <c r="K176" s="972">
        <v>565</v>
      </c>
      <c r="M176" s="664"/>
      <c r="N176" s="742"/>
      <c r="O176" s="8"/>
    </row>
    <row r="177" spans="2:20" ht="25" customHeight="1">
      <c r="B177" s="134" t="s">
        <v>482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1" t="str">
        <f>PAAS_man.mariadb_EUR</f>
        <v>Requests for quotation</v>
      </c>
      <c r="M177" s="664"/>
      <c r="N177" s="742"/>
      <c r="O177" s="8"/>
    </row>
    <row r="178" spans="2:20" ht="25" customHeight="1">
      <c r="B178" s="137" t="s">
        <v>442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2" t="str">
        <f>PAAS_man.redis_EUR</f>
        <v>Requests for quotation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6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3"/>
      <c r="L181" s="742"/>
      <c r="M181" s="664"/>
      <c r="N181" s="675"/>
      <c r="O181" s="675"/>
    </row>
    <row r="182" spans="2:20" s="4" customFormat="1" ht="25" customHeight="1">
      <c r="B182" s="975" t="s">
        <v>539</v>
      </c>
      <c r="C182" s="975"/>
      <c r="D182" s="975"/>
      <c r="E182" s="975"/>
      <c r="F182" s="975"/>
      <c r="G182" s="975"/>
      <c r="H182" s="780"/>
      <c r="J182" s="674"/>
      <c r="K182" s="925"/>
      <c r="M182" s="664"/>
    </row>
    <row r="183" spans="2:20" s="4" customFormat="1" ht="25" customHeight="1">
      <c r="B183" s="975"/>
      <c r="C183" s="975"/>
      <c r="D183" s="975"/>
      <c r="E183" s="975"/>
      <c r="F183" s="975"/>
      <c r="G183" s="975"/>
      <c r="H183" s="780"/>
      <c r="J183" s="674"/>
      <c r="K183" s="925"/>
      <c r="M183" s="664"/>
    </row>
    <row r="184" spans="2:20" s="4" customFormat="1" ht="25" customHeight="1">
      <c r="B184" s="975"/>
      <c r="C184" s="975"/>
      <c r="D184" s="975"/>
      <c r="E184" s="975"/>
      <c r="F184" s="975"/>
      <c r="G184" s="975"/>
      <c r="H184" s="780"/>
      <c r="J184" s="674"/>
      <c r="K184" s="925"/>
      <c r="M184" s="664"/>
    </row>
    <row r="185" spans="2:20" s="4" customFormat="1" ht="25" customHeight="1">
      <c r="B185" s="976" t="s">
        <v>540</v>
      </c>
      <c r="C185" s="976"/>
      <c r="D185" s="976"/>
      <c r="E185" s="976"/>
      <c r="F185" s="976"/>
      <c r="H185" s="780"/>
      <c r="J185" s="674"/>
      <c r="K185" s="925"/>
      <c r="M185" s="664"/>
    </row>
    <row r="186" spans="2:20" s="4" customFormat="1" ht="25" customHeight="1">
      <c r="B186" s="977" t="s">
        <v>541</v>
      </c>
      <c r="C186" s="977"/>
      <c r="D186" s="977"/>
      <c r="E186" s="977"/>
      <c r="F186" s="977"/>
      <c r="G186" s="677"/>
      <c r="H186" s="678"/>
      <c r="I186" s="677"/>
      <c r="J186" s="679"/>
      <c r="K186" s="926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6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542</v>
      </c>
      <c r="M189" s="664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533</v>
      </c>
      <c r="J190" s="23"/>
      <c r="K190" s="940" t="s">
        <v>14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483</v>
      </c>
      <c r="C191" s="129"/>
      <c r="D191" s="30" t="s">
        <v>543</v>
      </c>
      <c r="E191" s="40"/>
      <c r="F191" s="30"/>
      <c r="G191" s="40"/>
      <c r="H191" s="40"/>
      <c r="I191" s="775" t="s">
        <v>558</v>
      </c>
      <c r="J191" s="775"/>
      <c r="K191" s="941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484</v>
      </c>
      <c r="C192" s="130"/>
      <c r="D192" s="38" t="s">
        <v>156</v>
      </c>
      <c r="E192" s="31"/>
      <c r="F192" s="771"/>
      <c r="G192" s="779"/>
      <c r="H192" s="779"/>
      <c r="I192" s="773" t="s">
        <v>157</v>
      </c>
      <c r="J192" s="773"/>
      <c r="K192" s="942" t="s">
        <v>544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485</v>
      </c>
      <c r="C193" s="129"/>
      <c r="D193" s="30" t="s">
        <v>160</v>
      </c>
      <c r="E193" s="129"/>
      <c r="F193" s="129"/>
      <c r="G193" s="129"/>
      <c r="H193" s="40"/>
      <c r="I193" s="770" t="s">
        <v>161</v>
      </c>
      <c r="J193" s="770"/>
      <c r="K193" s="941" t="s">
        <v>545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6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2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546</v>
      </c>
      <c r="C196" s="878"/>
      <c r="D196" s="878"/>
      <c r="F196" s="878"/>
      <c r="G196" s="878"/>
      <c r="H196" s="878"/>
      <c r="I196" s="879"/>
      <c r="J196" s="879"/>
      <c r="K196" s="959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547</v>
      </c>
      <c r="M197" s="664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533</v>
      </c>
      <c r="J198" s="23"/>
      <c r="K198" s="940" t="s">
        <v>14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486</v>
      </c>
      <c r="C199" s="129"/>
      <c r="D199" s="30" t="s">
        <v>166</v>
      </c>
      <c r="E199" s="40"/>
      <c r="F199" s="30"/>
      <c r="G199" s="40"/>
      <c r="H199" s="40"/>
      <c r="I199" s="770" t="s">
        <v>161</v>
      </c>
      <c r="J199" s="770"/>
      <c r="K199" s="941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487</v>
      </c>
      <c r="C200" s="130"/>
      <c r="D200" s="38" t="s">
        <v>168</v>
      </c>
      <c r="E200" s="31"/>
      <c r="F200" s="771"/>
      <c r="G200" s="779"/>
      <c r="H200" s="779"/>
      <c r="I200" s="773" t="s">
        <v>161</v>
      </c>
      <c r="J200" s="773"/>
      <c r="K200" s="942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488</v>
      </c>
      <c r="C201" s="129"/>
      <c r="D201" s="30" t="s">
        <v>170</v>
      </c>
      <c r="E201" s="40"/>
      <c r="F201" s="30"/>
      <c r="G201" s="40"/>
      <c r="H201" s="40"/>
      <c r="I201" s="770" t="s">
        <v>161</v>
      </c>
      <c r="J201" s="770"/>
      <c r="K201" s="941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489</v>
      </c>
      <c r="C202" s="130"/>
      <c r="D202" s="38" t="s">
        <v>172</v>
      </c>
      <c r="E202" s="38"/>
      <c r="F202" s="38"/>
      <c r="G202" s="779"/>
      <c r="H202" s="779"/>
      <c r="I202" s="773" t="s">
        <v>161</v>
      </c>
      <c r="J202" s="773"/>
      <c r="K202" s="942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490</v>
      </c>
      <c r="C203" s="129"/>
      <c r="D203" s="30" t="s">
        <v>174</v>
      </c>
      <c r="E203" s="40"/>
      <c r="F203" s="30"/>
      <c r="G203" s="40"/>
      <c r="H203" s="40"/>
      <c r="I203" s="770" t="s">
        <v>161</v>
      </c>
      <c r="J203" s="770"/>
      <c r="K203" s="941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491</v>
      </c>
      <c r="C204" s="130"/>
      <c r="D204" s="38" t="s">
        <v>176</v>
      </c>
      <c r="E204" s="31"/>
      <c r="F204" s="771"/>
      <c r="G204" s="779"/>
      <c r="H204" s="779"/>
      <c r="I204" s="773" t="s">
        <v>161</v>
      </c>
      <c r="J204" s="773"/>
      <c r="K204" s="942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6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2"/>
      <c r="M206" s="664"/>
      <c r="N206" s="742"/>
      <c r="O206" s="8"/>
    </row>
    <row r="207" spans="2:18" ht="25" customHeight="1">
      <c r="B207" s="649" t="s">
        <v>548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549</v>
      </c>
      <c r="M208" s="664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533</v>
      </c>
      <c r="J209" s="23"/>
      <c r="K209" s="940" t="s">
        <v>179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627</v>
      </c>
      <c r="C210" s="129"/>
      <c r="D210" s="30" t="s">
        <v>182</v>
      </c>
      <c r="E210" s="40"/>
      <c r="F210" s="30"/>
      <c r="G210" s="40" t="s">
        <v>181</v>
      </c>
      <c r="H210" s="770"/>
      <c r="I210" s="905" t="s">
        <v>183</v>
      </c>
      <c r="J210" s="770"/>
      <c r="K210" s="941" t="s">
        <v>545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628</v>
      </c>
      <c r="C211" s="130"/>
      <c r="D211" s="38" t="s">
        <v>550</v>
      </c>
      <c r="E211" s="31"/>
      <c r="F211" s="771"/>
      <c r="G211" s="779" t="s">
        <v>181</v>
      </c>
      <c r="H211" s="773"/>
      <c r="I211" s="906" t="s">
        <v>183</v>
      </c>
      <c r="J211" s="773"/>
      <c r="K211" s="942" t="s">
        <v>545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629</v>
      </c>
      <c r="C212" s="129"/>
      <c r="D212" s="30" t="s">
        <v>551</v>
      </c>
      <c r="E212" s="40"/>
      <c r="F212" s="30"/>
      <c r="G212" s="40" t="s">
        <v>187</v>
      </c>
      <c r="H212" s="770"/>
      <c r="I212" s="905" t="s">
        <v>183</v>
      </c>
      <c r="J212" s="770"/>
      <c r="K212" s="941" t="s">
        <v>545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630</v>
      </c>
      <c r="C213" s="130"/>
      <c r="D213" s="38" t="s">
        <v>552</v>
      </c>
      <c r="E213" s="31"/>
      <c r="F213" s="771"/>
      <c r="G213" s="779" t="s">
        <v>187</v>
      </c>
      <c r="H213" s="773"/>
      <c r="I213" s="906" t="s">
        <v>183</v>
      </c>
      <c r="J213" s="773"/>
      <c r="K213" s="942" t="s">
        <v>545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6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4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60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1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1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1"/>
      <c r="L219" s="3"/>
      <c r="M219" s="664"/>
    </row>
    <row r="220" spans="1:18" s="4" customFormat="1" ht="25" customHeight="1">
      <c r="A220" s="3"/>
      <c r="B220" s="973" t="s">
        <v>191</v>
      </c>
      <c r="C220" s="973"/>
      <c r="D220" s="973"/>
      <c r="E220" s="973"/>
      <c r="F220" s="973"/>
      <c r="G220" s="973"/>
      <c r="H220" s="666"/>
      <c r="I220" s="793"/>
      <c r="J220" s="3"/>
      <c r="K220" s="923"/>
      <c r="L220" s="3"/>
      <c r="M220" s="664"/>
    </row>
    <row r="221" spans="1:18" s="4" customFormat="1" ht="25" customHeight="1">
      <c r="A221" s="3"/>
      <c r="B221" s="973"/>
      <c r="C221" s="973"/>
      <c r="D221" s="973"/>
      <c r="E221" s="973"/>
      <c r="F221" s="973"/>
      <c r="G221" s="973"/>
      <c r="H221" s="666"/>
      <c r="I221" s="793"/>
      <c r="J221" s="3"/>
      <c r="K221" s="923"/>
      <c r="L221" s="3"/>
      <c r="M221" s="664"/>
    </row>
    <row r="222" spans="1:18" s="4" customFormat="1" ht="25" customHeight="1">
      <c r="A222" s="3"/>
      <c r="B222" s="973"/>
      <c r="C222" s="973"/>
      <c r="D222" s="973"/>
      <c r="E222" s="973"/>
      <c r="F222" s="973"/>
      <c r="G222" s="973"/>
      <c r="H222" s="666"/>
      <c r="I222" s="793"/>
      <c r="J222" s="3"/>
      <c r="K222" s="923"/>
      <c r="L222" s="3"/>
      <c r="M222" s="664"/>
    </row>
    <row r="223" spans="1:18" s="4" customFormat="1" ht="25" customHeight="1">
      <c r="A223" s="3"/>
      <c r="B223" s="974" t="s">
        <v>541</v>
      </c>
      <c r="C223" s="974"/>
      <c r="D223" s="974"/>
      <c r="E223" s="974"/>
      <c r="F223" s="974"/>
      <c r="G223" s="3"/>
      <c r="H223" s="666"/>
      <c r="I223" s="793"/>
      <c r="J223" s="3"/>
      <c r="K223" s="923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3"/>
      <c r="L224" s="794"/>
      <c r="M224" s="664"/>
    </row>
    <row r="225" spans="1:20" s="4" customFormat="1" ht="25" customHeight="1">
      <c r="A225" s="3"/>
      <c r="B225" s="422" t="s">
        <v>554</v>
      </c>
      <c r="C225" s="62"/>
      <c r="D225" s="62"/>
      <c r="E225" s="62"/>
      <c r="F225" s="62"/>
      <c r="G225" s="3"/>
      <c r="H225" s="666"/>
      <c r="I225" s="793"/>
      <c r="J225" s="3"/>
      <c r="K225" s="923"/>
      <c r="L225" s="794"/>
      <c r="M225" s="664"/>
    </row>
    <row r="226" spans="1:20" s="4" customFormat="1" ht="25" customHeight="1">
      <c r="A226" s="3"/>
      <c r="B226" s="418" t="s">
        <v>555</v>
      </c>
      <c r="C226" s="62"/>
      <c r="D226" s="62"/>
      <c r="E226" s="62"/>
      <c r="F226" s="62"/>
      <c r="G226" s="3"/>
      <c r="H226" s="666"/>
      <c r="I226" s="3"/>
      <c r="J226" s="667"/>
      <c r="K226" s="923"/>
      <c r="L226" s="794"/>
      <c r="M226" s="664"/>
    </row>
    <row r="227" spans="1:20" s="4" customFormat="1" ht="25" customHeight="1">
      <c r="A227" s="3"/>
      <c r="B227" s="913" t="s">
        <v>624</v>
      </c>
      <c r="C227" s="67"/>
      <c r="D227" s="67"/>
      <c r="E227" s="67"/>
      <c r="F227" s="67"/>
      <c r="G227" s="794"/>
      <c r="H227" s="795"/>
      <c r="I227" s="794"/>
      <c r="J227" s="796"/>
      <c r="K227" s="962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2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556</v>
      </c>
      <c r="C229" s="56"/>
      <c r="D229" s="57"/>
      <c r="E229" s="56"/>
      <c r="F229" s="659"/>
      <c r="G229" s="659"/>
      <c r="H229" s="659"/>
      <c r="I229" s="56"/>
      <c r="J229" s="659" t="s">
        <v>553</v>
      </c>
      <c r="K229" s="963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968">
        <f>K66+K75+K57+K40+K84</f>
        <v>0</v>
      </c>
      <c r="K230" s="941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969">
        <f>K97</f>
        <v>0</v>
      </c>
      <c r="K231" s="941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69">
        <f>K121</f>
        <v>0</v>
      </c>
      <c r="K232" s="941"/>
      <c r="L232" s="2"/>
      <c r="M232" s="664"/>
      <c r="N232" s="28"/>
    </row>
    <row r="233" spans="1:20" s="808" customFormat="1" ht="25" customHeight="1">
      <c r="A233" s="806"/>
      <c r="B233" s="917" t="s">
        <v>30</v>
      </c>
      <c r="C233" s="907"/>
      <c r="D233" s="907"/>
      <c r="E233" s="907"/>
      <c r="F233" s="907"/>
      <c r="G233" s="907"/>
      <c r="H233" s="907"/>
      <c r="I233" s="907"/>
      <c r="J233" s="970">
        <f>SUM(J230:J232)</f>
        <v>0</v>
      </c>
      <c r="K233" s="964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5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1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6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6"/>
    </row>
    <row r="238" spans="1:20" s="112" customFormat="1" ht="25" customHeight="1">
      <c r="B238" s="914" t="s">
        <v>521</v>
      </c>
      <c r="C238" s="108"/>
      <c r="D238" s="108"/>
      <c r="E238" s="108"/>
      <c r="F238" s="820"/>
      <c r="G238" s="821"/>
      <c r="H238" s="822"/>
      <c r="I238" s="822"/>
      <c r="J238" s="822"/>
      <c r="K238" s="967"/>
      <c r="L238" s="819"/>
      <c r="M238" s="819"/>
      <c r="N238" s="819"/>
    </row>
    <row r="239" spans="1:20" s="112" customFormat="1" ht="25" customHeight="1">
      <c r="B239" s="914" t="s">
        <v>522</v>
      </c>
      <c r="C239" s="108"/>
      <c r="D239" s="108"/>
      <c r="E239" s="108"/>
      <c r="F239" s="820"/>
      <c r="G239" s="821"/>
      <c r="H239" s="822"/>
      <c r="I239" s="822"/>
      <c r="J239" s="822"/>
      <c r="K239" s="967"/>
      <c r="L239" s="819"/>
      <c r="M239" s="819"/>
      <c r="N239" s="819"/>
    </row>
    <row r="240" spans="1:20" s="112" customFormat="1" ht="25" customHeight="1">
      <c r="B240" s="915" t="s">
        <v>523</v>
      </c>
      <c r="C240" s="108"/>
      <c r="D240" s="108"/>
      <c r="E240" s="108"/>
      <c r="F240" s="820"/>
      <c r="G240" s="821"/>
      <c r="H240" s="822"/>
      <c r="I240" s="822"/>
      <c r="J240" s="822"/>
      <c r="K240" s="967"/>
      <c r="L240" s="819"/>
      <c r="M240" s="819"/>
      <c r="N240" s="819"/>
    </row>
    <row r="241" spans="1:23" s="112" customFormat="1" ht="25" customHeight="1">
      <c r="B241" s="914" t="s">
        <v>524</v>
      </c>
      <c r="C241" s="108"/>
      <c r="D241" s="108"/>
      <c r="E241" s="108"/>
      <c r="F241" s="820"/>
      <c r="G241" s="821"/>
      <c r="H241" s="822"/>
      <c r="I241" s="822"/>
      <c r="J241" s="822"/>
      <c r="K241" s="967"/>
      <c r="L241" s="819"/>
      <c r="M241" s="819"/>
      <c r="N241" s="819"/>
    </row>
    <row r="242" spans="1:23" s="112" customFormat="1" ht="25" customHeight="1">
      <c r="B242" s="916" t="s">
        <v>618</v>
      </c>
      <c r="C242" s="108"/>
      <c r="D242" s="108"/>
      <c r="E242" s="108"/>
      <c r="F242" s="820"/>
      <c r="G242" s="821"/>
      <c r="H242" s="822"/>
      <c r="I242" s="822"/>
      <c r="J242" s="822"/>
      <c r="K242" s="967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7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7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7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7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7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7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7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7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7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7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7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7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7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7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7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7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7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7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7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7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7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7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7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7"/>
      <c r="L266" s="819"/>
      <c r="M266" s="819"/>
      <c r="N266" s="819"/>
    </row>
    <row r="267" spans="2:14" s="112" customFormat="1" ht="25" customHeight="1">
      <c r="B267" s="646"/>
      <c r="K267" s="967"/>
      <c r="M267" s="824"/>
    </row>
    <row r="268" spans="2:14" s="112" customFormat="1" ht="25" customHeight="1">
      <c r="B268" s="646"/>
      <c r="K268" s="967"/>
      <c r="M268" s="824"/>
    </row>
    <row r="269" spans="2:14" s="112" customFormat="1" ht="25" customHeight="1">
      <c r="B269" s="646"/>
      <c r="K269" s="967"/>
      <c r="M269" s="824"/>
    </row>
    <row r="270" spans="2:14" s="112" customFormat="1" ht="25" customHeight="1">
      <c r="B270" s="646"/>
      <c r="K270" s="967"/>
      <c r="M270" s="824"/>
    </row>
    <row r="271" spans="2:14" s="112" customFormat="1" ht="25" customHeight="1">
      <c r="B271" s="646"/>
      <c r="K271" s="967"/>
      <c r="M271" s="824"/>
    </row>
    <row r="272" spans="2:14" s="112" customFormat="1" ht="25" customHeight="1">
      <c r="B272" s="646"/>
      <c r="K272" s="967"/>
      <c r="M272" s="824"/>
    </row>
    <row r="273" spans="2:13" s="112" customFormat="1" ht="25" customHeight="1">
      <c r="B273" s="646"/>
      <c r="K273" s="967"/>
      <c r="M273" s="824"/>
    </row>
    <row r="274" spans="2:13" s="112" customFormat="1" ht="25" customHeight="1">
      <c r="B274" s="646"/>
      <c r="K274" s="967"/>
      <c r="M274" s="824"/>
    </row>
    <row r="275" spans="2:13" s="112" customFormat="1" ht="25" customHeight="1">
      <c r="B275" s="646"/>
      <c r="K275" s="967"/>
      <c r="M275" s="824"/>
    </row>
    <row r="276" spans="2:13" s="112" customFormat="1" ht="25" customHeight="1">
      <c r="B276" s="646"/>
      <c r="K276" s="967"/>
      <c r="M276" s="824"/>
    </row>
    <row r="277" spans="2:13" s="112" customFormat="1" ht="25" customHeight="1">
      <c r="B277" s="646"/>
      <c r="K277" s="967"/>
      <c r="M277" s="824"/>
    </row>
    <row r="278" spans="2:13" s="112" customFormat="1" ht="25" customHeight="1">
      <c r="B278" s="646"/>
      <c r="K278" s="967"/>
      <c r="M278" s="824"/>
    </row>
    <row r="279" spans="2:13" s="112" customFormat="1" ht="25" customHeight="1">
      <c r="B279" s="646"/>
      <c r="K279" s="967"/>
      <c r="M279" s="824"/>
    </row>
    <row r="280" spans="2:13" s="112" customFormat="1" ht="25" customHeight="1">
      <c r="B280" s="646"/>
      <c r="K280" s="967"/>
      <c r="M280" s="824"/>
    </row>
    <row r="281" spans="2:13" s="112" customFormat="1" ht="25" customHeight="1">
      <c r="B281" s="646"/>
      <c r="K281" s="967"/>
      <c r="M281" s="824"/>
    </row>
    <row r="282" spans="2:13" s="112" customFormat="1" ht="25" customHeight="1">
      <c r="B282" s="646"/>
      <c r="K282" s="967"/>
      <c r="M282" s="824"/>
    </row>
    <row r="283" spans="2:13" s="112" customFormat="1" ht="25" customHeight="1">
      <c r="B283" s="646"/>
      <c r="K283" s="967"/>
      <c r="M283" s="824"/>
    </row>
    <row r="284" spans="2:13" s="112" customFormat="1" ht="25" customHeight="1">
      <c r="B284" s="646"/>
      <c r="K284" s="967"/>
      <c r="M284" s="824"/>
    </row>
    <row r="285" spans="2:13" s="112" customFormat="1" ht="25" customHeight="1">
      <c r="B285" s="646"/>
      <c r="K285" s="967"/>
      <c r="M285" s="824"/>
    </row>
    <row r="286" spans="2:13" s="112" customFormat="1" ht="25" customHeight="1">
      <c r="B286" s="646"/>
      <c r="K286" s="967"/>
      <c r="M286" s="824"/>
    </row>
    <row r="287" spans="2:13" s="112" customFormat="1" ht="25" customHeight="1">
      <c r="B287" s="646"/>
      <c r="K287" s="967"/>
      <c r="M287" s="824"/>
    </row>
    <row r="288" spans="2:13" s="112" customFormat="1" ht="25" customHeight="1">
      <c r="B288" s="646"/>
      <c r="K288" s="967"/>
      <c r="M288" s="824"/>
    </row>
    <row r="289" spans="2:13" s="112" customFormat="1" ht="25" customHeight="1">
      <c r="B289" s="646"/>
      <c r="K289" s="967"/>
      <c r="M289" s="824"/>
    </row>
    <row r="290" spans="2:13" s="112" customFormat="1" ht="25" customHeight="1">
      <c r="B290" s="646"/>
      <c r="K290" s="967"/>
      <c r="M290" s="824"/>
    </row>
    <row r="291" spans="2:13" s="112" customFormat="1" ht="25" customHeight="1">
      <c r="B291" s="646"/>
      <c r="K291" s="967"/>
      <c r="M291" s="824"/>
    </row>
    <row r="292" spans="2:13" s="112" customFormat="1" ht="25" customHeight="1">
      <c r="B292" s="646"/>
      <c r="K292" s="967"/>
      <c r="M292" s="824"/>
    </row>
    <row r="293" spans="2:13" s="112" customFormat="1" ht="25" customHeight="1">
      <c r="B293" s="646"/>
      <c r="K293" s="967"/>
      <c r="M293" s="824"/>
    </row>
    <row r="294" spans="2:13" s="112" customFormat="1" ht="25" customHeight="1">
      <c r="B294" s="646"/>
      <c r="K294" s="967"/>
      <c r="M294" s="824"/>
    </row>
    <row r="295" spans="2:13" s="112" customFormat="1" ht="25" customHeight="1">
      <c r="B295" s="646"/>
      <c r="K295" s="967"/>
      <c r="M295" s="824"/>
    </row>
    <row r="296" spans="2:13" s="112" customFormat="1" ht="25" customHeight="1">
      <c r="B296" s="646"/>
      <c r="K296" s="967"/>
      <c r="M296" s="824"/>
    </row>
    <row r="297" spans="2:13" s="112" customFormat="1" ht="25" customHeight="1">
      <c r="B297" s="646"/>
      <c r="K297" s="967"/>
      <c r="M297" s="824"/>
    </row>
    <row r="298" spans="2:13" s="112" customFormat="1" ht="25" customHeight="1">
      <c r="B298" s="646"/>
      <c r="K298" s="967"/>
      <c r="M298" s="824"/>
    </row>
    <row r="299" spans="2:13" s="112" customFormat="1" ht="25" customHeight="1">
      <c r="B299" s="646"/>
      <c r="K299" s="967"/>
      <c r="M299" s="824"/>
    </row>
    <row r="300" spans="2:13" s="112" customFormat="1" ht="25" customHeight="1">
      <c r="B300" s="646"/>
      <c r="K300" s="967"/>
      <c r="M300" s="824"/>
    </row>
    <row r="301" spans="2:13" s="112" customFormat="1" ht="25" customHeight="1">
      <c r="B301" s="646"/>
      <c r="K301" s="967"/>
      <c r="M301" s="824"/>
    </row>
    <row r="302" spans="2:13" s="112" customFormat="1" ht="25" customHeight="1">
      <c r="B302" s="646"/>
      <c r="K302" s="967"/>
      <c r="M302" s="824"/>
    </row>
    <row r="303" spans="2:13" s="112" customFormat="1" ht="25" customHeight="1">
      <c r="B303" s="646"/>
      <c r="K303" s="967"/>
      <c r="M303" s="824"/>
    </row>
    <row r="304" spans="2:13" s="112" customFormat="1" ht="25" customHeight="1">
      <c r="B304" s="646"/>
      <c r="K304" s="967"/>
      <c r="M304" s="824"/>
    </row>
    <row r="305" spans="2:13" s="112" customFormat="1" ht="25" customHeight="1">
      <c r="B305" s="646"/>
      <c r="K305" s="967"/>
      <c r="M305" s="824"/>
    </row>
    <row r="306" spans="2:13" s="112" customFormat="1" ht="25" customHeight="1">
      <c r="B306" s="646"/>
      <c r="K306" s="967"/>
      <c r="M306" s="824"/>
    </row>
    <row r="307" spans="2:13" s="112" customFormat="1" ht="25" customHeight="1">
      <c r="B307" s="646"/>
      <c r="K307" s="967"/>
      <c r="M307" s="824"/>
    </row>
    <row r="308" spans="2:13" s="112" customFormat="1" ht="25" customHeight="1">
      <c r="B308" s="646"/>
      <c r="K308" s="967"/>
      <c r="M308" s="824"/>
    </row>
    <row r="309" spans="2:13" s="112" customFormat="1" ht="25" customHeight="1">
      <c r="B309" s="646"/>
      <c r="K309" s="967"/>
      <c r="M309" s="824"/>
    </row>
    <row r="310" spans="2:13" s="112" customFormat="1" ht="25" customHeight="1">
      <c r="B310" s="646"/>
      <c r="K310" s="967"/>
      <c r="M310" s="824"/>
    </row>
    <row r="311" spans="2:13" s="112" customFormat="1" ht="25" customHeight="1">
      <c r="B311" s="646"/>
      <c r="K311" s="967"/>
      <c r="M311" s="824"/>
    </row>
    <row r="312" spans="2:13" s="112" customFormat="1" ht="25" customHeight="1">
      <c r="B312" s="646"/>
      <c r="K312" s="967"/>
      <c r="M312" s="824"/>
    </row>
    <row r="313" spans="2:13" s="112" customFormat="1" ht="25" customHeight="1">
      <c r="B313" s="646"/>
      <c r="K313" s="967"/>
      <c r="M313" s="824"/>
    </row>
    <row r="314" spans="2:13" s="112" customFormat="1" ht="25" customHeight="1">
      <c r="B314" s="646"/>
      <c r="K314" s="967"/>
      <c r="M314" s="824"/>
    </row>
    <row r="315" spans="2:13" s="112" customFormat="1" ht="25" customHeight="1">
      <c r="B315" s="646"/>
      <c r="K315" s="967"/>
      <c r="M315" s="824"/>
    </row>
    <row r="316" spans="2:13" s="112" customFormat="1" ht="25" customHeight="1">
      <c r="B316" s="646"/>
      <c r="K316" s="967"/>
      <c r="M316" s="824"/>
    </row>
    <row r="317" spans="2:13" s="112" customFormat="1" ht="25" customHeight="1">
      <c r="B317" s="646"/>
      <c r="K317" s="967"/>
      <c r="M317" s="824"/>
    </row>
    <row r="329" spans="2:4" ht="25" customHeight="1">
      <c r="B329" s="647"/>
      <c r="C329" s="38"/>
      <c r="D329" s="96"/>
    </row>
  </sheetData>
  <sheetProtection algorithmName="SHA-512" hashValue="MNdoBYpNQFOk7NYJjYmUNCkQWkV13rck1z4OC5H8ihRWrp4Z48TbyvZXp4R66j7PnLc4lpLoWfJLhLDlfW8HQQ==" saltValue="Rtr6GnTBhPMKEByCVEz+Mw==" spinCount="100000" sheet="1" selectLockedCells="1"/>
  <mergeCells count="40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B24:F24"/>
    <mergeCell ref="B45:F45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5:F185"/>
    <mergeCell ref="B186:F186"/>
    <mergeCell ref="B220:G222"/>
    <mergeCell ref="B223:F223"/>
    <mergeCell ref="C134:D134"/>
    <mergeCell ref="E134:F134"/>
    <mergeCell ref="B139:G141"/>
    <mergeCell ref="B182:G184"/>
  </mergeCells>
  <phoneticPr fontId="2" type="noConversion"/>
  <conditionalFormatting sqref="I26:I39 K26:K39 I47:I56 K47:K56 I62:I65 K62:K65 I72:I74 K72:K74 I81:I83 K81:K83 I95:I96 K95:K96 I118:I120 K118:K120 J119:J120">
    <cfRule type="cellIs" dxfId="5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  <hyperlink ref="B45" location="'SEK - Safesprings tjänster 2022'!I83" display="Central blocklagring kan köpas till insatserna. Se &quot;Central blocklagring&quot; i prislistan." xr:uid="{6B3EB40B-7D23-914E-B01A-A235AF4CC2B2}"/>
    <hyperlink ref="B45:E45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48"/>
      <c r="C4" s="1048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0" t="str">
        <f>"1 SEK = "&amp;EUR&amp;" EUR"</f>
        <v>1 SEK = 0,089 EUR</v>
      </c>
      <c r="E11" s="1050"/>
      <c r="F11" s="1050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0" t="s">
        <v>4</v>
      </c>
      <c r="C15" s="1040"/>
      <c r="D15" s="1040"/>
      <c r="E15" s="1040"/>
      <c r="F15" s="1040"/>
      <c r="G15" s="1040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0"/>
      <c r="C16" s="1040"/>
      <c r="D16" s="1040"/>
      <c r="E16" s="1040"/>
      <c r="F16" s="1040"/>
      <c r="G16" s="1040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0"/>
      <c r="C17" s="1040"/>
      <c r="D17" s="1040"/>
      <c r="E17" s="1040"/>
      <c r="F17" s="1040"/>
      <c r="G17" s="1040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47" t="s">
        <v>6</v>
      </c>
      <c r="C19" s="1047"/>
      <c r="D19" s="1047"/>
      <c r="E19" s="1047"/>
      <c r="F19" s="1047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49" t="s">
        <v>65</v>
      </c>
      <c r="G88" s="1049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3">
        <f>VOLUME_large_EUR</f>
        <v>0.10679999999999999</v>
      </c>
      <c r="G89" s="1023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45">
        <f>VOLUME_fast_EUR</f>
        <v>0.32040000000000002</v>
      </c>
      <c r="G90" s="1045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0" t="s">
        <v>72</v>
      </c>
      <c r="C95" s="1040"/>
      <c r="D95" s="1040"/>
      <c r="E95" s="1040"/>
      <c r="F95" s="1040"/>
      <c r="G95" s="1040"/>
      <c r="H95" s="177"/>
      <c r="J95" s="178"/>
      <c r="K95" s="178"/>
      <c r="M95" s="565"/>
      <c r="O95" s="168"/>
    </row>
    <row r="96" spans="2:23" s="169" customFormat="1" ht="25" customHeight="1">
      <c r="B96" s="1040"/>
      <c r="C96" s="1040"/>
      <c r="D96" s="1040"/>
      <c r="E96" s="1040"/>
      <c r="F96" s="1040"/>
      <c r="G96" s="1040"/>
      <c r="H96" s="177"/>
      <c r="J96" s="178"/>
      <c r="K96" s="178"/>
      <c r="M96" s="565"/>
      <c r="O96" s="168"/>
    </row>
    <row r="97" spans="2:22" s="169" customFormat="1" ht="25" customHeight="1">
      <c r="B97" s="1040"/>
      <c r="C97" s="1040"/>
      <c r="D97" s="1040"/>
      <c r="E97" s="1040"/>
      <c r="F97" s="1040"/>
      <c r="G97" s="1040"/>
      <c r="H97" s="177"/>
      <c r="J97" s="178"/>
      <c r="K97" s="178"/>
      <c r="M97" s="565"/>
      <c r="O97" s="168"/>
    </row>
    <row r="98" spans="2:22" s="169" customFormat="1" ht="25" customHeight="1">
      <c r="B98" s="1046" t="s">
        <v>73</v>
      </c>
      <c r="C98" s="1046"/>
      <c r="D98" s="1046"/>
      <c r="E98" s="1046"/>
      <c r="F98" s="1046"/>
      <c r="H98" s="177"/>
      <c r="J98" s="178"/>
      <c r="K98" s="178"/>
      <c r="M98" s="565"/>
      <c r="N98" s="182"/>
      <c r="O98" s="187"/>
    </row>
    <row r="99" spans="2:22" s="291" customFormat="1" ht="25" customHeight="1">
      <c r="B99" s="1047" t="s">
        <v>74</v>
      </c>
      <c r="C99" s="1047"/>
      <c r="D99" s="1047"/>
      <c r="E99" s="1047"/>
      <c r="F99" s="1047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49" t="s">
        <v>76</v>
      </c>
      <c r="E102" s="1049"/>
      <c r="F102" s="1049"/>
      <c r="G102" s="1049"/>
      <c r="H102" s="266" t="s">
        <v>75</v>
      </c>
      <c r="I102" s="265"/>
      <c r="J102" s="1049"/>
      <c r="K102" s="1049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1043">
        <f>S3_storage.50_EUR</f>
        <v>31.15</v>
      </c>
      <c r="E104" s="1043"/>
      <c r="F104" s="1044"/>
      <c r="G104" s="1044"/>
      <c r="H104" s="1044"/>
      <c r="I104" s="1044"/>
      <c r="J104" s="1044"/>
      <c r="K104" s="1044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1052">
        <f>S3_storage.100_EUR</f>
        <v>24.029999999999998</v>
      </c>
      <c r="E105" s="1052"/>
      <c r="F105" s="997"/>
      <c r="G105" s="997"/>
      <c r="H105" s="997"/>
      <c r="I105" s="997"/>
      <c r="J105" s="997"/>
      <c r="K105" s="997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1053">
        <f>S3_storage.500_EUR</f>
        <v>17.8</v>
      </c>
      <c r="E106" s="1053"/>
      <c r="F106" s="1006"/>
      <c r="G106" s="1006"/>
      <c r="H106" s="1006"/>
      <c r="I106" s="1006"/>
      <c r="J106" s="1006"/>
      <c r="K106" s="1006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1052">
        <f>S3_storage.1000_EUR</f>
        <v>16.465</v>
      </c>
      <c r="E107" s="1052"/>
      <c r="F107" s="997"/>
      <c r="G107" s="997"/>
      <c r="H107" s="997"/>
      <c r="I107" s="997"/>
      <c r="J107" s="997"/>
      <c r="K107" s="997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998" t="str">
        <f>S3_storage.quote_EUR</f>
        <v>Request a quote</v>
      </c>
      <c r="E108" s="998"/>
      <c r="F108" s="1007"/>
      <c r="G108" s="1007"/>
      <c r="H108" s="1007"/>
      <c r="I108" s="1007"/>
      <c r="J108" s="1007"/>
      <c r="K108" s="1007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1" t="s">
        <v>76</v>
      </c>
      <c r="E111" s="1051"/>
      <c r="F111" s="1049"/>
      <c r="G111" s="1049"/>
      <c r="H111" s="266" t="s">
        <v>75</v>
      </c>
      <c r="I111" s="266"/>
      <c r="J111" s="1049"/>
      <c r="K111" s="1049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1043">
        <f>S3_archive.50_EUR</f>
        <v>31.15</v>
      </c>
      <c r="E113" s="1043"/>
      <c r="F113" s="1044"/>
      <c r="G113" s="1044"/>
      <c r="H113" s="1044"/>
      <c r="I113" s="1044"/>
      <c r="J113" s="1044"/>
      <c r="K113" s="1044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1052">
        <f>S3_archive.100_EUR</f>
        <v>24.029999999999998</v>
      </c>
      <c r="E114" s="1052"/>
      <c r="F114" s="997"/>
      <c r="G114" s="997"/>
      <c r="H114" s="997"/>
      <c r="I114" s="997"/>
      <c r="J114" s="997"/>
      <c r="K114" s="997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1053">
        <f>S3_archive.500_EUR</f>
        <v>17.8</v>
      </c>
      <c r="E115" s="1053"/>
      <c r="F115" s="1006"/>
      <c r="G115" s="1006"/>
      <c r="H115" s="1006"/>
      <c r="I115" s="1006"/>
      <c r="J115" s="1006"/>
      <c r="K115" s="1006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1052">
        <f>S3_archive.1000_EUR</f>
        <v>16.465</v>
      </c>
      <c r="E116" s="1052"/>
      <c r="F116" s="997"/>
      <c r="G116" s="997"/>
      <c r="H116" s="997"/>
      <c r="I116" s="997"/>
      <c r="J116" s="997"/>
      <c r="K116" s="997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998" t="str">
        <f>S3_archive.quote_EUR</f>
        <v>Request a quote</v>
      </c>
      <c r="E117" s="998"/>
      <c r="F117" s="1007"/>
      <c r="G117" s="1007"/>
      <c r="H117" s="1007"/>
      <c r="I117" s="1007"/>
      <c r="J117" s="1007"/>
      <c r="K117" s="1007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0" t="s">
        <v>86</v>
      </c>
      <c r="C122" s="1040"/>
      <c r="D122" s="1040"/>
      <c r="E122" s="1040"/>
      <c r="F122" s="1040"/>
      <c r="G122" s="1040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0"/>
      <c r="C123" s="1040"/>
      <c r="D123" s="1040"/>
      <c r="E123" s="1040"/>
      <c r="F123" s="1040"/>
      <c r="G123" s="1040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0"/>
      <c r="C124" s="1040"/>
      <c r="D124" s="1040"/>
      <c r="E124" s="1040"/>
      <c r="F124" s="1040"/>
      <c r="G124" s="1040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4" t="s">
        <v>87</v>
      </c>
      <c r="C125" s="1054"/>
      <c r="D125" s="1054"/>
      <c r="E125" s="1054"/>
      <c r="F125" s="1054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1" t="s">
        <v>6</v>
      </c>
      <c r="C126" s="1041"/>
      <c r="D126" s="1041"/>
      <c r="E126" s="1041"/>
      <c r="F126" s="1041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49" t="s">
        <v>89</v>
      </c>
      <c r="G129" s="1049"/>
      <c r="H129" s="266" t="s">
        <v>90</v>
      </c>
      <c r="I129" s="265"/>
      <c r="J129" s="1024" t="s">
        <v>91</v>
      </c>
      <c r="K129" s="1024"/>
      <c r="L129" s="533"/>
      <c r="M129" s="575" t="s">
        <v>92</v>
      </c>
      <c r="N129" s="252"/>
      <c r="O129" s="160"/>
    </row>
    <row r="130" spans="2:34" ht="25" customHeight="1">
      <c r="B130" s="1026" t="s">
        <v>93</v>
      </c>
      <c r="C130" s="1026"/>
      <c r="D130" s="467" t="s">
        <v>94</v>
      </c>
      <c r="E130" s="29"/>
      <c r="F130" s="1027">
        <f>BAAS_on.demand_EUR</f>
        <v>0.21804999999999999</v>
      </c>
      <c r="G130" s="1028"/>
      <c r="H130" s="307">
        <v>0</v>
      </c>
      <c r="I130" s="272" t="s">
        <v>69</v>
      </c>
      <c r="J130" s="1029" t="s">
        <v>94</v>
      </c>
      <c r="K130" s="1029"/>
      <c r="L130" s="308"/>
      <c r="M130" s="576">
        <f>ROUNDUP(H130*F130,2)</f>
        <v>0</v>
      </c>
      <c r="N130" s="252"/>
      <c r="O130" s="160"/>
    </row>
    <row r="131" spans="2:34" ht="25" customHeight="1">
      <c r="B131" s="1030" t="s">
        <v>95</v>
      </c>
      <c r="C131" s="1030"/>
      <c r="D131" s="468">
        <f>BAAS_small.fee_EUR</f>
        <v>489.5</v>
      </c>
      <c r="E131" s="32"/>
      <c r="F131" s="1031">
        <f>BAAS_small_EUR</f>
        <v>0.15575</v>
      </c>
      <c r="G131" s="1032"/>
      <c r="H131" s="309">
        <v>0</v>
      </c>
      <c r="I131" s="276" t="s">
        <v>69</v>
      </c>
      <c r="J131" s="1033">
        <v>0.75</v>
      </c>
      <c r="K131" s="1034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5" t="s">
        <v>96</v>
      </c>
      <c r="C132" s="1035"/>
      <c r="D132" s="469">
        <f>BAAS_large.fee_EUR</f>
        <v>845.5</v>
      </c>
      <c r="E132" s="35"/>
      <c r="F132" s="1036">
        <f>BAAS_large_EUR</f>
        <v>8.1879999999999994E-2</v>
      </c>
      <c r="G132" s="1037"/>
      <c r="H132" s="298">
        <v>0</v>
      </c>
      <c r="I132" s="299" t="s">
        <v>69</v>
      </c>
      <c r="J132" s="1038">
        <v>0.75</v>
      </c>
      <c r="K132" s="1039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2" t="s">
        <v>97</v>
      </c>
      <c r="C135" s="1042"/>
      <c r="D135" s="1042"/>
      <c r="E135" s="1042"/>
      <c r="F135" s="1042"/>
      <c r="G135" s="1042"/>
      <c r="H135" s="1042"/>
      <c r="I135" s="1042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2" t="s">
        <v>98</v>
      </c>
      <c r="C136" s="1042"/>
      <c r="D136" s="1042"/>
      <c r="E136" s="1042"/>
      <c r="F136" s="1042"/>
      <c r="G136" s="1042"/>
      <c r="H136" s="1042"/>
      <c r="I136" s="1042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2" t="s">
        <v>99</v>
      </c>
      <c r="C137" s="1042"/>
      <c r="D137" s="1042"/>
      <c r="E137" s="1042"/>
      <c r="F137" s="1042"/>
      <c r="G137" s="1042"/>
      <c r="H137" s="1042"/>
      <c r="I137" s="1042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2" t="s">
        <v>410</v>
      </c>
      <c r="C138" s="1042"/>
      <c r="D138" s="1042"/>
      <c r="E138" s="1042"/>
      <c r="F138" s="1042"/>
      <c r="G138" s="1042"/>
      <c r="H138" s="1042"/>
      <c r="I138" s="1042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0" t="s">
        <v>100</v>
      </c>
      <c r="C143" s="1040"/>
      <c r="D143" s="1040"/>
      <c r="E143" s="1040"/>
      <c r="F143" s="1040"/>
      <c r="G143" s="1040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0"/>
      <c r="C144" s="1040"/>
      <c r="D144" s="1040"/>
      <c r="E144" s="1040"/>
      <c r="F144" s="1040"/>
      <c r="G144" s="1040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0"/>
      <c r="C145" s="1040"/>
      <c r="D145" s="1040"/>
      <c r="E145" s="1040"/>
      <c r="F145" s="1040"/>
      <c r="G145" s="1040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1" t="s">
        <v>6</v>
      </c>
      <c r="C146" s="1041"/>
      <c r="D146" s="1041"/>
      <c r="E146" s="1041"/>
      <c r="F146" s="1041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25"/>
      <c r="C147" s="1025"/>
      <c r="D147" s="1025"/>
      <c r="E147" s="1025"/>
      <c r="F147" s="1025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0" t="s">
        <v>14</v>
      </c>
      <c r="M150" s="1010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0">
        <f>NET_publicv4_EUR</f>
        <v>2.2250000000000001</v>
      </c>
      <c r="M151" s="1020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1">
        <f>NET_publicv6_EUR</f>
        <v>0</v>
      </c>
      <c r="M152" s="1021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2">
        <f>NET_ingress_EUR</f>
        <v>0</v>
      </c>
      <c r="M153" s="1022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1">
        <f>NET_egress_EUR</f>
        <v>0</v>
      </c>
      <c r="M154" s="1021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0" t="str">
        <f>NET_mgn.slb_EUR</f>
        <v>Request a quote</v>
      </c>
      <c r="M155" s="1000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1">
        <f>NET_rdns_EUR</f>
        <v>0</v>
      </c>
      <c r="M156" s="1021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0">
        <f>NET_byoip_EUR</f>
        <v>0</v>
      </c>
      <c r="M157" s="1000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19"/>
      <c r="M158" s="1019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5"/>
      <c r="M159" s="1005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0" t="s">
        <v>14</v>
      </c>
      <c r="M160" s="1010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0">
        <f>SW_win.ser.201X_EUR</f>
        <v>15.574999999999999</v>
      </c>
      <c r="M161" s="1020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999">
        <f>SW_win.ser.201X_EUR</f>
        <v>15.574999999999999</v>
      </c>
      <c r="M162" s="999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1000">
        <f>SW_ms.sql.ser_EUR</f>
        <v>109.381</v>
      </c>
      <c r="M163" s="1000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18" t="str">
        <f>SW_stackn_EUR</f>
        <v>Request a quote</v>
      </c>
      <c r="M164" s="1018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4" t="str">
        <f>SW_nextcloud_EUR</f>
        <v>Request a quote</v>
      </c>
      <c r="M165" s="1014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18" t="str">
        <f>SW_suse_EUR</f>
        <v>Request a quote</v>
      </c>
      <c r="M166" s="1018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4" t="str">
        <f>SW_cluster.control_EUR</f>
        <v>3x instance price</v>
      </c>
      <c r="M167" s="1014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5">
        <f>SW_backup.ninja_EUR</f>
        <v>35.6</v>
      </c>
      <c r="M168" s="1015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3"/>
      <c r="M169" s="1003"/>
      <c r="O169" s="205"/>
      <c r="P169" s="190"/>
      <c r="R169" s="284"/>
      <c r="S169" s="189"/>
    </row>
    <row r="170" spans="2:22" ht="25" customHeight="1">
      <c r="B170" s="471"/>
      <c r="K170" s="334"/>
      <c r="L170" s="1016"/>
      <c r="M170" s="1016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5"/>
      <c r="M171" s="1005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0" t="s">
        <v>14</v>
      </c>
      <c r="M172" s="1010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11" t="str">
        <f>PAAS_man.kubernetes24_EUR</f>
        <v xml:space="preserve"> Requests for quotation </v>
      </c>
      <c r="M173" s="1011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12" t="str">
        <f>PAAS_man.kubernetes8_EUR</f>
        <v>Requests for quotation</v>
      </c>
      <c r="M174" s="1012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3" t="str">
        <f>PAAS_man.elasticsearch_EUR</f>
        <v>Requests for quotation</v>
      </c>
      <c r="M175" s="1013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2" t="str">
        <f>PAAS_man.redis_EUR</f>
        <v>Requests for quotation</v>
      </c>
      <c r="M176" s="1012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3" t="str">
        <f>PAAS_man.nats_EUR</f>
        <v>Requests for quotation</v>
      </c>
      <c r="M177" s="1013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17" t="str">
        <f>PAAS_man.mariadb_EUR</f>
        <v>Requests for quotation</v>
      </c>
      <c r="M178" s="1017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3"/>
      <c r="M179" s="1003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08"/>
      <c r="M180" s="1008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09"/>
      <c r="M181" s="1009"/>
      <c r="N181" s="189"/>
      <c r="O181" s="205"/>
      <c r="P181" s="180"/>
      <c r="Q181" s="180"/>
    </row>
    <row r="182" spans="2:19" s="169" customFormat="1" ht="25" customHeight="1">
      <c r="B182" s="1040" t="s">
        <v>151</v>
      </c>
      <c r="C182" s="1040"/>
      <c r="D182" s="1040"/>
      <c r="E182" s="1040"/>
      <c r="F182" s="1040"/>
      <c r="G182" s="1040"/>
      <c r="H182" s="335"/>
      <c r="J182" s="178"/>
      <c r="L182" s="1058"/>
      <c r="M182" s="1058"/>
      <c r="N182" s="189"/>
      <c r="O182" s="205"/>
    </row>
    <row r="183" spans="2:19" s="169" customFormat="1" ht="25" customHeight="1">
      <c r="B183" s="1040"/>
      <c r="C183" s="1040"/>
      <c r="D183" s="1040"/>
      <c r="E183" s="1040"/>
      <c r="F183" s="1040"/>
      <c r="G183" s="1040"/>
      <c r="H183" s="335"/>
      <c r="J183" s="178"/>
      <c r="L183" s="1058"/>
      <c r="M183" s="1058"/>
      <c r="N183" s="189"/>
      <c r="O183" s="205"/>
    </row>
    <row r="184" spans="2:19" s="169" customFormat="1" ht="25" customHeight="1">
      <c r="B184" s="1040"/>
      <c r="C184" s="1040"/>
      <c r="D184" s="1040"/>
      <c r="E184" s="1040"/>
      <c r="F184" s="1040"/>
      <c r="G184" s="1040"/>
      <c r="H184" s="335"/>
      <c r="J184" s="178"/>
      <c r="L184" s="1058"/>
      <c r="M184" s="1058"/>
      <c r="N184" s="189"/>
      <c r="O184" s="205"/>
    </row>
    <row r="185" spans="2:19" s="169" customFormat="1" ht="25" customHeight="1">
      <c r="B185" s="1041" t="s">
        <v>6</v>
      </c>
      <c r="C185" s="1041"/>
      <c r="D185" s="1041"/>
      <c r="E185" s="1041"/>
      <c r="F185" s="1041"/>
      <c r="H185" s="335"/>
      <c r="J185" s="178"/>
      <c r="L185" s="1058"/>
      <c r="M185" s="1058"/>
      <c r="N185" s="189"/>
      <c r="O185" s="205"/>
    </row>
    <row r="186" spans="2:19" s="169" customFormat="1" ht="25" customHeight="1">
      <c r="B186" s="1025"/>
      <c r="C186" s="1025"/>
      <c r="D186" s="1025"/>
      <c r="E186" s="1025"/>
      <c r="F186" s="1025"/>
      <c r="G186" s="182"/>
      <c r="H186" s="183"/>
      <c r="I186" s="182"/>
      <c r="J186" s="184"/>
      <c r="K186" s="182"/>
      <c r="L186" s="1059"/>
      <c r="M186" s="1059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59"/>
      <c r="M187" s="1059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0"/>
      <c r="M188" s="1060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0" t="s">
        <v>14</v>
      </c>
      <c r="M189" s="1010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1">
        <v>0</v>
      </c>
      <c r="M190" s="1061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1" t="s">
        <v>158</v>
      </c>
      <c r="M191" s="1001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2" t="s">
        <v>162</v>
      </c>
      <c r="M192" s="1002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3"/>
      <c r="M193" s="1003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4"/>
      <c r="M194" s="1004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5"/>
      <c r="M195" s="1005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0" t="s">
        <v>14</v>
      </c>
      <c r="M196" s="1010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0">
        <f>PS_consult.jun_EUR</f>
        <v>100.303</v>
      </c>
      <c r="M197" s="1020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999">
        <f>PS_consult.sen_EUR</f>
        <v>122.28599999999999</v>
      </c>
      <c r="M198" s="999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0">
        <f>PS_cloudarch.jun_EUR</f>
        <v>113.65299999999999</v>
      </c>
      <c r="M199" s="1000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999">
        <f>PS_cloudarch.sen_EUR</f>
        <v>122.28599999999999</v>
      </c>
      <c r="M200" s="999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0">
        <f>PS_pm.jun_EUR</f>
        <v>101.371</v>
      </c>
      <c r="M201" s="1000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5">
        <f>PS_pm.sen_EUR</f>
        <v>122.28599999999999</v>
      </c>
      <c r="M202" s="1015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3"/>
      <c r="M203" s="1003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4"/>
      <c r="M204" s="1004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5"/>
      <c r="M205" s="1005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0" t="s">
        <v>179</v>
      </c>
      <c r="M206" s="1010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1" t="s">
        <v>162</v>
      </c>
      <c r="M207" s="1061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2" t="s">
        <v>162</v>
      </c>
      <c r="M208" s="1062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3" t="s">
        <v>162</v>
      </c>
      <c r="M209" s="1063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4" t="s">
        <v>162</v>
      </c>
      <c r="M210" s="1064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55" t="s">
        <v>191</v>
      </c>
      <c r="C217" s="1055"/>
      <c r="D217" s="1055"/>
      <c r="E217" s="1055"/>
      <c r="F217" s="1055"/>
      <c r="G217" s="1055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55"/>
      <c r="C218" s="1055"/>
      <c r="D218" s="1055"/>
      <c r="E218" s="1055"/>
      <c r="F218" s="1055"/>
      <c r="G218" s="1055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55"/>
      <c r="C219" s="1055"/>
      <c r="D219" s="1055"/>
      <c r="E219" s="1055"/>
      <c r="F219" s="1055"/>
      <c r="G219" s="1055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56" t="s">
        <v>6</v>
      </c>
      <c r="C220" s="1056"/>
      <c r="D220" s="1056"/>
      <c r="E220" s="1056"/>
      <c r="F220" s="1056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57" t="str">
        <f>SUM(E67)&amp;" GB NVME-Disk"</f>
        <v>0 GB NVME-Disk</v>
      </c>
      <c r="G227" s="1057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6" priority="3" operator="greaterThan">
      <formula>0</formula>
    </cfRule>
  </conditionalFormatting>
  <conditionalFormatting sqref="H112">
    <cfRule type="cellIs" dxfId="55" priority="1" operator="greaterThan">
      <formula>0</formula>
    </cfRule>
  </conditionalFormatting>
  <conditionalFormatting sqref="H130:H132">
    <cfRule type="cellIs" dxfId="54" priority="66" operator="greaterThan">
      <formula>0</formula>
    </cfRule>
  </conditionalFormatting>
  <conditionalFormatting sqref="I25:I37 I43:I66">
    <cfRule type="cellIs" dxfId="53" priority="151" operator="lessThan">
      <formula>#REF!</formula>
    </cfRule>
  </conditionalFormatting>
  <conditionalFormatting sqref="I25:I37">
    <cfRule type="cellIs" dxfId="52" priority="20" operator="greaterThan">
      <formula>0</formula>
    </cfRule>
  </conditionalFormatting>
  <conditionalFormatting sqref="I43:I66">
    <cfRule type="cellIs" dxfId="51" priority="12" operator="greaterThan">
      <formula>0</formula>
    </cfRule>
  </conditionalFormatting>
  <conditionalFormatting sqref="I72:I75">
    <cfRule type="cellIs" dxfId="50" priority="32" operator="lessThan">
      <formula>$J72</formula>
    </cfRule>
  </conditionalFormatting>
  <conditionalFormatting sqref="I89:I90">
    <cfRule type="cellIs" dxfId="49" priority="71" operator="greaterThan">
      <formula>0</formula>
    </cfRule>
  </conditionalFormatting>
  <conditionalFormatting sqref="I72:J75">
    <cfRule type="cellIs" dxfId="48" priority="73" operator="greaterThan">
      <formula>0</formula>
    </cfRule>
  </conditionalFormatting>
  <conditionalFormatting sqref="I81:J83">
    <cfRule type="cellIs" dxfId="47" priority="42" operator="greaterThan">
      <formula>0</formula>
    </cfRule>
    <cfRule type="cellIs" dxfId="46" priority="44" operator="lessThan">
      <formula>$J81</formula>
    </cfRule>
  </conditionalFormatting>
  <conditionalFormatting sqref="J131:J132">
    <cfRule type="cellIs" dxfId="45" priority="65" operator="greaterThan">
      <formula>0</formula>
    </cfRule>
  </conditionalFormatting>
  <conditionalFormatting sqref="K25:K110">
    <cfRule type="cellIs" dxfId="44" priority="5" operator="greaterThan">
      <formula>0</formula>
    </cfRule>
  </conditionalFormatting>
  <conditionalFormatting sqref="L69 L70:M70">
    <cfRule type="cellIs" dxfId="43" priority="74" operator="greaterThan">
      <formula>0</formula>
    </cfRule>
  </conditionalFormatting>
  <conditionalFormatting sqref="L72:M72 L74:M74">
    <cfRule type="cellIs" dxfId="42" priority="45" operator="greaterThan">
      <formula>0</formula>
    </cfRule>
  </conditionalFormatting>
  <conditionalFormatting sqref="L72:M75">
    <cfRule type="cellIs" dxfId="41" priority="22" operator="greaterThan">
      <formula>0</formula>
    </cfRule>
  </conditionalFormatting>
  <conditionalFormatting sqref="L81:M83">
    <cfRule type="cellIs" dxfId="40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topLeftCell="A52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0"/>
      <c r="C4" s="980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675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624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5" t="s">
        <v>614</v>
      </c>
      <c r="C15" s="975"/>
      <c r="D15" s="975"/>
      <c r="E15" s="975"/>
      <c r="F15" s="975"/>
      <c r="G15" s="975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5"/>
      <c r="C16" s="975"/>
      <c r="D16" s="975"/>
      <c r="E16" s="975"/>
      <c r="F16" s="975"/>
      <c r="G16" s="975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5"/>
      <c r="C17" s="975"/>
      <c r="D17" s="975"/>
      <c r="E17" s="975"/>
      <c r="F17" s="975"/>
      <c r="G17" s="975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559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77" t="s">
        <v>560</v>
      </c>
      <c r="C19" s="977"/>
      <c r="D19" s="977"/>
      <c r="E19" s="977"/>
      <c r="F19" s="977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658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6" t="s">
        <v>662</v>
      </c>
      <c r="C24" s="996"/>
      <c r="D24" s="996"/>
      <c r="E24" s="996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563</v>
      </c>
      <c r="H25" s="686"/>
      <c r="I25" s="687" t="s">
        <v>565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c16 r64. 500</v>
      </c>
      <c r="C38" s="97">
        <f>'SEK - Safesprings tjänster 2023'!C38</f>
        <v>16</v>
      </c>
      <c r="D38" s="97">
        <f>'SEK - Safesprings tjänster 2023'!D38</f>
        <v>64</v>
      </c>
      <c r="E38" s="101">
        <f>'SEK - Safesprings tjänster 2023'!E38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2023'!B39</f>
        <v>FLAVOR-l2. c32 r64.1000</v>
      </c>
      <c r="C39" s="95">
        <f>'SEK - Safesprings tjänster 2023'!C39</f>
        <v>32</v>
      </c>
      <c r="D39" s="95">
        <f>'SEK - Safesprings tjänster 2023'!D39</f>
        <v>64</v>
      </c>
      <c r="E39" s="653">
        <f>'SEK - Safesprings tjänster 2023'!E39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659</v>
      </c>
      <c r="C44" s="650"/>
      <c r="D44" s="650"/>
      <c r="K44" s="842"/>
      <c r="M44" s="664"/>
    </row>
    <row r="45" spans="2:18" ht="25" customHeight="1">
      <c r="B45" s="996" t="s">
        <v>661</v>
      </c>
      <c r="C45" s="996"/>
      <c r="D45" s="996"/>
      <c r="E45" s="996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440</v>
      </c>
      <c r="F46" s="131" t="s">
        <v>267</v>
      </c>
      <c r="G46" s="131" t="s">
        <v>563</v>
      </c>
      <c r="H46" s="686"/>
      <c r="I46" s="687" t="s">
        <v>565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2023'!B47</f>
        <v>FLAVOR-b2. c1 r2</v>
      </c>
      <c r="C47" s="97">
        <f>'SEK - Safesprings tjänster 2023'!C47</f>
        <v>1</v>
      </c>
      <c r="D47" s="97">
        <f>'SEK - Safesprings tjänster 2023'!D47</f>
        <v>2</v>
      </c>
      <c r="E47" s="654">
        <f>'SEK - Safesprings tjänster 2023'!E47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2023'!B48</f>
        <v>FLAVOR-b2. c1 r4</v>
      </c>
      <c r="C48" s="95">
        <f>'SEK - Safesprings tjänster 2023'!C48</f>
        <v>1</v>
      </c>
      <c r="D48" s="95">
        <f>'SEK - Safesprings tjänster 2023'!D48</f>
        <v>4</v>
      </c>
      <c r="E48" s="655">
        <f>'SEK - Safesprings tjänster 2023'!E48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2023'!B49</f>
        <v>FLAVOR-b2. c2 r4</v>
      </c>
      <c r="C49" s="97">
        <f>'SEK - Safesprings tjänster 2023'!C49</f>
        <v>2</v>
      </c>
      <c r="D49" s="97">
        <f>'SEK - Safesprings tjänster 2023'!D49</f>
        <v>4</v>
      </c>
      <c r="E49" s="654">
        <f>'SEK - Safesprings tjänster 2023'!E49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2023'!B50</f>
        <v>FLAVOR-b2. c2 r8</v>
      </c>
      <c r="C50" s="95">
        <f>'SEK - Safesprings tjänster 2023'!C50</f>
        <v>2</v>
      </c>
      <c r="D50" s="95">
        <f>'SEK - Safesprings tjänster 2023'!D50</f>
        <v>8</v>
      </c>
      <c r="E50" s="655">
        <f>'SEK - Safesprings tjänster 2023'!E50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1"/>
    </row>
    <row r="51" spans="1:20" s="675" customFormat="1" ht="25" customHeight="1">
      <c r="B51" s="445" t="str">
        <f>'SEK - Safesprings tjänster 2023'!B51</f>
        <v>FLAVOR-b2 .c4 r8</v>
      </c>
      <c r="C51" s="97">
        <f>'SEK - Safesprings tjänster 2023'!C51</f>
        <v>4</v>
      </c>
      <c r="D51" s="97">
        <f>'SEK - Safesprings tjänster 2023'!D51</f>
        <v>8</v>
      </c>
      <c r="E51" s="654">
        <f>'SEK - Safesprings tjänster 2023'!E51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2023'!B52</f>
        <v>FLAVOR-b2. c4 r16</v>
      </c>
      <c r="C52" s="95">
        <f>'SEK - Safesprings tjänster 2023'!C52</f>
        <v>4</v>
      </c>
      <c r="D52" s="95">
        <f>'SEK - Safesprings tjänster 2023'!D52</f>
        <v>16</v>
      </c>
      <c r="E52" s="655">
        <f>'SEK - Safesprings tjänster 2023'!E52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2023'!B53</f>
        <v>FLAVOR-b2. c8 r16</v>
      </c>
      <c r="C53" s="97">
        <f>'SEK - Safesprings tjänster 2023'!C53</f>
        <v>8</v>
      </c>
      <c r="D53" s="97">
        <f>'SEK - Safesprings tjänster 2023'!D53</f>
        <v>16</v>
      </c>
      <c r="E53" s="654">
        <f>'SEK - Safesprings tjänster 2023'!E53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2023'!B54</f>
        <v>FLAVOR-b2. c8 r32</v>
      </c>
      <c r="C54" s="95">
        <f>'SEK - Safesprings tjänster 2023'!C54</f>
        <v>8</v>
      </c>
      <c r="D54" s="95">
        <f>'SEK - Safesprings tjänster 2023'!D54</f>
        <v>32</v>
      </c>
      <c r="E54" s="655">
        <f>'SEK - Safesprings tjänster 2023'!E54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2023'!B55</f>
        <v>FLAVOR-b2. c16 r32</v>
      </c>
      <c r="C55" s="97">
        <f>'SEK - Safesprings tjänster 2023'!C55</f>
        <v>16</v>
      </c>
      <c r="D55" s="97">
        <f>'SEK - Safesprings tjänster 2023'!D55</f>
        <v>32</v>
      </c>
      <c r="E55" s="654">
        <f>'SEK - Safesprings tjänster 2023'!E55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2023'!B56</f>
        <v>FLAVOR-b2. c16 r64</v>
      </c>
      <c r="C56" s="95">
        <f>'SEK - Safesprings tjänster 2023'!C56</f>
        <v>16</v>
      </c>
      <c r="D56" s="95">
        <f>'SEK - Safesprings tjänster 2023'!D56</f>
        <v>64</v>
      </c>
      <c r="E56" s="655">
        <f>'SEK - Safesprings tjänster 2023'!E56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451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2" t="s">
        <v>602</v>
      </c>
      <c r="C60" s="982"/>
      <c r="D60" s="982"/>
      <c r="E60" s="982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429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454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455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456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457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391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2" t="s">
        <v>602</v>
      </c>
      <c r="C70" s="982"/>
      <c r="D70" s="982"/>
      <c r="E70" s="982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429</v>
      </c>
      <c r="H71" s="686"/>
      <c r="I71" s="687" t="s">
        <v>365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452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458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453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562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561</v>
      </c>
      <c r="M79" s="664"/>
    </row>
    <row r="80" spans="2:20" s="729" customFormat="1" ht="25" customHeight="1">
      <c r="B80" s="444" t="s">
        <v>208</v>
      </c>
      <c r="C80" s="24" t="s">
        <v>275</v>
      </c>
      <c r="D80" s="24"/>
      <c r="E80" s="24"/>
      <c r="F80" s="132" t="s">
        <v>210</v>
      </c>
      <c r="G80" s="131" t="s">
        <v>429</v>
      </c>
      <c r="H80" s="24"/>
      <c r="I80" s="728" t="s">
        <v>564</v>
      </c>
      <c r="J80" s="24"/>
      <c r="K80" s="612" t="s">
        <v>566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459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460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461</v>
      </c>
      <c r="C83" s="39" t="s">
        <v>426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75" t="s">
        <v>615</v>
      </c>
      <c r="C87" s="975"/>
      <c r="D87" s="975"/>
      <c r="E87" s="975"/>
      <c r="F87" s="975"/>
      <c r="G87" s="975"/>
      <c r="H87" s="672"/>
      <c r="J87" s="674"/>
      <c r="K87" s="833"/>
      <c r="M87" s="664"/>
    </row>
    <row r="88" spans="2:26" s="4" customFormat="1" ht="25" customHeight="1">
      <c r="B88" s="975"/>
      <c r="C88" s="975"/>
      <c r="D88" s="975"/>
      <c r="E88" s="975"/>
      <c r="F88" s="975"/>
      <c r="G88" s="975"/>
      <c r="H88" s="672"/>
      <c r="J88" s="674"/>
      <c r="K88" s="833"/>
      <c r="M88" s="664"/>
    </row>
    <row r="89" spans="2:26" s="4" customFormat="1" ht="25" customHeight="1">
      <c r="B89" s="975"/>
      <c r="C89" s="975"/>
      <c r="D89" s="975"/>
      <c r="E89" s="975"/>
      <c r="F89" s="975"/>
      <c r="G89" s="975"/>
      <c r="H89" s="672"/>
      <c r="J89" s="674"/>
      <c r="K89" s="833"/>
      <c r="M89" s="664"/>
    </row>
    <row r="90" spans="2:26" s="4" customFormat="1" ht="25" customHeight="1">
      <c r="B90" s="549" t="s">
        <v>598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623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392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567</v>
      </c>
      <c r="H94" s="24"/>
      <c r="I94" s="728" t="s">
        <v>568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495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462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414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79" t="s">
        <v>225</v>
      </c>
      <c r="E100" s="979"/>
      <c r="F100" s="979"/>
      <c r="G100" s="979"/>
      <c r="H100" s="979"/>
      <c r="I100" s="979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415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415</v>
      </c>
      <c r="C102" s="604" t="s">
        <v>421</v>
      </c>
      <c r="D102" s="978">
        <f>S3_archive.50_SEK</f>
        <v>350</v>
      </c>
      <c r="E102" s="978"/>
      <c r="F102" s="978"/>
      <c r="G102" s="978"/>
      <c r="H102" s="978"/>
      <c r="I102" s="978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415</v>
      </c>
      <c r="C103" s="616" t="s">
        <v>422</v>
      </c>
      <c r="D103" s="983">
        <f>S3_archive.100_SEK</f>
        <v>270</v>
      </c>
      <c r="E103" s="983"/>
      <c r="F103" s="983"/>
      <c r="G103" s="983"/>
      <c r="H103" s="983"/>
      <c r="I103" s="983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415</v>
      </c>
      <c r="C104" s="604" t="s">
        <v>423</v>
      </c>
      <c r="D104" s="985">
        <f>S3_archive.500_SEK</f>
        <v>200</v>
      </c>
      <c r="E104" s="985"/>
      <c r="F104" s="985"/>
      <c r="G104" s="985"/>
      <c r="H104" s="985"/>
      <c r="I104" s="985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415</v>
      </c>
      <c r="C105" s="616" t="s">
        <v>424</v>
      </c>
      <c r="D105" s="983">
        <f>S3_archive.1000_SEK</f>
        <v>185</v>
      </c>
      <c r="E105" s="983"/>
      <c r="F105" s="983"/>
      <c r="G105" s="983"/>
      <c r="H105" s="983"/>
      <c r="I105" s="983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415</v>
      </c>
      <c r="C106" s="608" t="s">
        <v>425</v>
      </c>
      <c r="D106" s="984" t="str">
        <f>S3_archive.quote_SEK</f>
        <v>Be om offert</v>
      </c>
      <c r="E106" s="984"/>
      <c r="F106" s="984"/>
      <c r="G106" s="984"/>
      <c r="H106" s="984"/>
      <c r="I106" s="984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75" t="s">
        <v>616</v>
      </c>
      <c r="C110" s="975"/>
      <c r="D110" s="975"/>
      <c r="E110" s="975"/>
      <c r="F110" s="975"/>
      <c r="G110" s="975"/>
      <c r="H110" s="672"/>
      <c r="J110" s="674"/>
      <c r="K110" s="833"/>
      <c r="L110" s="674"/>
      <c r="M110" s="664"/>
    </row>
    <row r="111" spans="2:19" s="4" customFormat="1" ht="25" customHeight="1">
      <c r="B111" s="975"/>
      <c r="C111" s="975"/>
      <c r="D111" s="975"/>
      <c r="E111" s="975"/>
      <c r="F111" s="975"/>
      <c r="G111" s="975"/>
      <c r="H111" s="672"/>
      <c r="J111" s="674"/>
      <c r="K111" s="833"/>
      <c r="L111" s="674"/>
      <c r="M111" s="664"/>
    </row>
    <row r="112" spans="2:19" s="4" customFormat="1" ht="25" customHeight="1">
      <c r="B112" s="975"/>
      <c r="C112" s="975"/>
      <c r="D112" s="975"/>
      <c r="E112" s="975"/>
      <c r="F112" s="975"/>
      <c r="G112" s="975"/>
      <c r="H112" s="672"/>
      <c r="J112" s="674"/>
      <c r="K112" s="833"/>
      <c r="L112" s="674"/>
      <c r="M112" s="664"/>
    </row>
    <row r="113" spans="2:32" s="4" customFormat="1" ht="25" customHeight="1">
      <c r="B113" s="549" t="s">
        <v>569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77" t="s">
        <v>560</v>
      </c>
      <c r="C114" s="977"/>
      <c r="D114" s="977"/>
      <c r="E114" s="977"/>
      <c r="F114" s="977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392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285</v>
      </c>
      <c r="F117" s="769"/>
      <c r="G117" s="24" t="s">
        <v>571</v>
      </c>
      <c r="H117" s="24"/>
      <c r="I117" s="728" t="s">
        <v>564</v>
      </c>
      <c r="J117" s="728" t="s">
        <v>572</v>
      </c>
      <c r="K117" s="612" t="s">
        <v>92</v>
      </c>
      <c r="L117" s="722"/>
      <c r="M117" s="664"/>
    </row>
    <row r="118" spans="2:32" ht="25" customHeight="1">
      <c r="B118" s="134" t="s">
        <v>463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464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465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75" t="s">
        <v>434</v>
      </c>
      <c r="C125" s="975"/>
      <c r="D125" s="975"/>
      <c r="E125" s="975"/>
      <c r="F125" s="975"/>
      <c r="G125" s="975"/>
      <c r="H125" s="672"/>
      <c r="J125" s="674"/>
      <c r="K125" s="833"/>
      <c r="L125" s="674"/>
      <c r="M125" s="664"/>
    </row>
    <row r="126" spans="2:32" s="4" customFormat="1" ht="25" hidden="1" customHeight="1">
      <c r="B126" s="975"/>
      <c r="C126" s="975"/>
      <c r="D126" s="975"/>
      <c r="E126" s="975"/>
      <c r="F126" s="975"/>
      <c r="G126" s="975"/>
      <c r="H126" s="672"/>
      <c r="J126" s="674"/>
      <c r="K126" s="833"/>
      <c r="L126" s="674"/>
      <c r="M126" s="664"/>
    </row>
    <row r="127" spans="2:32" s="4" customFormat="1" ht="25" hidden="1" customHeight="1">
      <c r="B127" s="975"/>
      <c r="C127" s="975"/>
      <c r="D127" s="975"/>
      <c r="E127" s="975"/>
      <c r="F127" s="975"/>
      <c r="G127" s="975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577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77" t="s">
        <v>611</v>
      </c>
      <c r="C129" s="977"/>
      <c r="D129" s="977"/>
      <c r="E129" s="977"/>
      <c r="F129" s="977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600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86" t="s">
        <v>578</v>
      </c>
      <c r="D132" s="986"/>
      <c r="E132" s="986" t="s">
        <v>579</v>
      </c>
      <c r="F132" s="986"/>
      <c r="G132" s="986" t="s">
        <v>285</v>
      </c>
      <c r="H132" s="986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466</v>
      </c>
      <c r="C133" s="991" t="s">
        <v>531</v>
      </c>
      <c r="D133" s="991"/>
      <c r="E133" s="993" t="s">
        <v>599</v>
      </c>
      <c r="F133" s="993"/>
      <c r="G133" s="987">
        <v>15000</v>
      </c>
      <c r="H133" s="988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467</v>
      </c>
      <c r="C134" s="992" t="s">
        <v>580</v>
      </c>
      <c r="D134" s="992"/>
      <c r="E134" s="994" t="s">
        <v>581</v>
      </c>
      <c r="F134" s="994"/>
      <c r="G134" s="989">
        <v>24000</v>
      </c>
      <c r="H134" s="990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75" t="s">
        <v>291</v>
      </c>
      <c r="C139" s="975"/>
      <c r="D139" s="975"/>
      <c r="E139" s="975"/>
      <c r="F139" s="975"/>
      <c r="G139" s="975"/>
      <c r="H139" s="672"/>
      <c r="J139" s="674"/>
      <c r="K139" s="833"/>
      <c r="M139" s="664"/>
    </row>
    <row r="140" spans="2:32" s="4" customFormat="1" ht="25" customHeight="1">
      <c r="B140" s="975"/>
      <c r="C140" s="975"/>
      <c r="D140" s="975"/>
      <c r="E140" s="975"/>
      <c r="F140" s="975"/>
      <c r="G140" s="975"/>
      <c r="H140" s="672"/>
      <c r="J140" s="674"/>
      <c r="K140" s="833"/>
      <c r="M140" s="664"/>
    </row>
    <row r="141" spans="2:32" s="4" customFormat="1" ht="25" customHeight="1">
      <c r="B141" s="975"/>
      <c r="C141" s="975"/>
      <c r="D141" s="975"/>
      <c r="E141" s="975"/>
      <c r="F141" s="975"/>
      <c r="G141" s="975"/>
      <c r="H141" s="672"/>
      <c r="J141" s="674"/>
      <c r="K141" s="833"/>
      <c r="M141" s="664"/>
    </row>
    <row r="142" spans="2:32" s="4" customFormat="1" ht="25" customHeight="1">
      <c r="B142" s="977" t="s">
        <v>560</v>
      </c>
      <c r="C142" s="977"/>
      <c r="D142" s="977"/>
      <c r="E142" s="977"/>
      <c r="F142" s="977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65"/>
      <c r="C143" s="1065"/>
      <c r="D143" s="1065"/>
      <c r="E143" s="1065"/>
      <c r="F143" s="1065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292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582</v>
      </c>
      <c r="M146" s="664"/>
    </row>
    <row r="147" spans="2:19" ht="25" customHeight="1">
      <c r="B147" s="470" t="s">
        <v>208</v>
      </c>
      <c r="C147" s="23" t="s">
        <v>583</v>
      </c>
      <c r="D147" s="23"/>
      <c r="E147" s="24" t="s">
        <v>275</v>
      </c>
      <c r="F147" s="24"/>
      <c r="G147" s="24"/>
      <c r="H147" s="24"/>
      <c r="I147" s="24"/>
      <c r="J147" s="23" t="s">
        <v>585</v>
      </c>
      <c r="K147" s="612" t="s">
        <v>268</v>
      </c>
      <c r="L147" s="13"/>
      <c r="M147" s="664"/>
      <c r="N147" s="742"/>
      <c r="O147" s="8"/>
    </row>
    <row r="148" spans="2:19" ht="25" customHeight="1">
      <c r="B148" s="134" t="s">
        <v>468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469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470</v>
      </c>
      <c r="C150" s="129" t="s">
        <v>295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471</v>
      </c>
      <c r="C151" s="130" t="s">
        <v>295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472</v>
      </c>
      <c r="C152" s="129" t="s">
        <v>115</v>
      </c>
      <c r="D152" s="129"/>
      <c r="E152" s="30" t="s">
        <v>584</v>
      </c>
      <c r="F152" s="37"/>
      <c r="G152" s="37"/>
      <c r="H152" s="37"/>
      <c r="I152" s="37"/>
      <c r="J152" s="770" t="s">
        <v>239</v>
      </c>
      <c r="K152" s="555" t="s">
        <v>586</v>
      </c>
      <c r="M152" s="664"/>
    </row>
    <row r="153" spans="2:19" ht="25" customHeight="1">
      <c r="B153" s="137" t="s">
        <v>473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474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297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587</v>
      </c>
      <c r="M159" s="664"/>
    </row>
    <row r="160" spans="2:19" ht="25" customHeight="1">
      <c r="B160" s="470" t="s">
        <v>208</v>
      </c>
      <c r="C160" s="23"/>
      <c r="D160" s="23"/>
      <c r="E160" s="24" t="s">
        <v>275</v>
      </c>
      <c r="F160" s="24"/>
      <c r="G160" s="24"/>
      <c r="H160" s="24"/>
      <c r="I160" s="24"/>
      <c r="J160" s="23" t="s">
        <v>585</v>
      </c>
      <c r="K160" s="612" t="s">
        <v>268</v>
      </c>
      <c r="M160" s="664"/>
      <c r="N160" s="742"/>
      <c r="O160" s="8"/>
    </row>
    <row r="161" spans="2:18" ht="25" customHeight="1">
      <c r="B161" s="134" t="s">
        <v>612</v>
      </c>
      <c r="C161" s="129"/>
      <c r="D161" s="30"/>
      <c r="E161" s="30" t="s">
        <v>671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475</v>
      </c>
      <c r="C162" s="130"/>
      <c r="D162" s="38"/>
      <c r="E162" s="38" t="s">
        <v>670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668</v>
      </c>
      <c r="C163" s="129"/>
      <c r="D163" s="30"/>
      <c r="E163" s="30" t="s">
        <v>669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476</v>
      </c>
      <c r="C164" s="130"/>
      <c r="D164" s="38"/>
      <c r="E164" s="38" t="s">
        <v>131</v>
      </c>
      <c r="F164" s="771"/>
      <c r="G164" s="771"/>
      <c r="H164" s="771"/>
      <c r="I164" s="771"/>
      <c r="J164" s="773" t="s">
        <v>94</v>
      </c>
      <c r="K164" s="829" t="s">
        <v>672</v>
      </c>
      <c r="M164" s="664"/>
      <c r="N164" s="742"/>
      <c r="O164" s="8"/>
    </row>
    <row r="165" spans="2:18" ht="25" customHeight="1">
      <c r="B165" s="134" t="s">
        <v>477</v>
      </c>
      <c r="C165" s="129"/>
      <c r="D165" s="30"/>
      <c r="E165" s="30" t="s">
        <v>133</v>
      </c>
      <c r="F165" s="30"/>
      <c r="G165" s="30"/>
      <c r="H165" s="30"/>
      <c r="I165" s="30"/>
      <c r="J165" s="770" t="s">
        <v>94</v>
      </c>
      <c r="K165" s="828" t="s">
        <v>672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588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589</v>
      </c>
      <c r="M170" s="664"/>
    </row>
    <row r="171" spans="2:18" ht="25" customHeight="1">
      <c r="B171" s="470" t="s">
        <v>208</v>
      </c>
      <c r="C171" s="23"/>
      <c r="D171" s="23"/>
      <c r="E171" s="24" t="s">
        <v>275</v>
      </c>
      <c r="F171" s="24"/>
      <c r="G171" s="24"/>
      <c r="H171" s="24"/>
      <c r="I171" s="24"/>
      <c r="J171" s="131"/>
      <c r="K171" s="612" t="s">
        <v>268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868" t="s">
        <v>586</v>
      </c>
      <c r="M172" s="664"/>
      <c r="N172" s="742"/>
      <c r="O172" s="8"/>
    </row>
    <row r="173" spans="2:18" ht="25" customHeight="1">
      <c r="B173" s="137" t="s">
        <v>478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867" t="s">
        <v>586</v>
      </c>
      <c r="M173" s="664"/>
      <c r="N173" s="742"/>
      <c r="O173" s="8"/>
    </row>
    <row r="174" spans="2:18" ht="25" customHeight="1">
      <c r="B174" s="134" t="s">
        <v>479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629" t="s">
        <v>586</v>
      </c>
      <c r="M174" s="664"/>
      <c r="N174" s="742"/>
      <c r="O174" s="8"/>
    </row>
    <row r="175" spans="2:18" ht="25" customHeight="1">
      <c r="B175" s="137" t="s">
        <v>480</v>
      </c>
      <c r="C175" s="130"/>
      <c r="D175" s="38"/>
      <c r="E175" s="38" t="s">
        <v>428</v>
      </c>
      <c r="F175" s="771"/>
      <c r="G175" s="771"/>
      <c r="H175" s="771"/>
      <c r="I175" s="771"/>
      <c r="J175" s="779"/>
      <c r="K175" s="867" t="s">
        <v>586</v>
      </c>
      <c r="M175" s="664"/>
      <c r="N175" s="742"/>
      <c r="O175" s="8"/>
    </row>
    <row r="176" spans="2:18" ht="25" customHeight="1">
      <c r="B176" s="134" t="s">
        <v>665</v>
      </c>
      <c r="C176" s="129"/>
      <c r="D176" s="30"/>
      <c r="E176" s="30" t="s">
        <v>664</v>
      </c>
      <c r="F176" s="30"/>
      <c r="G176" s="30"/>
      <c r="H176" s="30"/>
      <c r="I176" s="30"/>
      <c r="J176" s="40"/>
      <c r="K176" s="629">
        <v>5650</v>
      </c>
      <c r="M176" s="664"/>
      <c r="N176" s="742"/>
      <c r="O176" s="8"/>
    </row>
    <row r="177" spans="2:20" ht="25" customHeight="1">
      <c r="B177" s="137" t="s">
        <v>481</v>
      </c>
      <c r="C177" s="130"/>
      <c r="D177" s="38"/>
      <c r="E177" s="38" t="s">
        <v>147</v>
      </c>
      <c r="F177" s="771"/>
      <c r="G177" s="771"/>
      <c r="H177" s="771"/>
      <c r="I177" s="771"/>
      <c r="J177" s="779"/>
      <c r="K177" s="867" t="s">
        <v>586</v>
      </c>
      <c r="M177" s="664"/>
      <c r="N177" s="742"/>
      <c r="O177" s="8"/>
    </row>
    <row r="178" spans="2:20" ht="25" customHeight="1">
      <c r="B178" s="134" t="s">
        <v>482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629" t="s">
        <v>586</v>
      </c>
      <c r="M178" s="664"/>
      <c r="N178" s="742"/>
      <c r="O178" s="8"/>
    </row>
    <row r="179" spans="2:20" ht="25" customHeight="1">
      <c r="B179" s="137" t="s">
        <v>442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867" t="s">
        <v>586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857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846"/>
      <c r="L182" s="742"/>
      <c r="M182" s="664"/>
      <c r="N182" s="675"/>
      <c r="O182" s="675"/>
    </row>
    <row r="183" spans="2:20" s="4" customFormat="1" ht="25" customHeight="1">
      <c r="B183" s="975" t="s">
        <v>299</v>
      </c>
      <c r="C183" s="975"/>
      <c r="D183" s="975"/>
      <c r="E183" s="975"/>
      <c r="F183" s="975"/>
      <c r="G183" s="975"/>
      <c r="H183" s="780"/>
      <c r="J183" s="674"/>
      <c r="K183" s="833"/>
      <c r="M183" s="664"/>
    </row>
    <row r="184" spans="2:20" s="4" customFormat="1" ht="25" customHeight="1">
      <c r="B184" s="975"/>
      <c r="C184" s="975"/>
      <c r="D184" s="975"/>
      <c r="E184" s="975"/>
      <c r="F184" s="975"/>
      <c r="G184" s="975"/>
      <c r="H184" s="780"/>
      <c r="J184" s="674"/>
      <c r="K184" s="833"/>
      <c r="M184" s="664"/>
    </row>
    <row r="185" spans="2:20" s="4" customFormat="1" ht="25" customHeight="1">
      <c r="B185" s="975"/>
      <c r="C185" s="975"/>
      <c r="D185" s="975"/>
      <c r="E185" s="975"/>
      <c r="F185" s="975"/>
      <c r="G185" s="975"/>
      <c r="H185" s="780"/>
      <c r="J185" s="674"/>
      <c r="K185" s="833"/>
      <c r="M185" s="664"/>
    </row>
    <row r="186" spans="2:20" s="4" customFormat="1" ht="25" customHeight="1">
      <c r="B186" s="976" t="s">
        <v>590</v>
      </c>
      <c r="C186" s="976"/>
      <c r="D186" s="976"/>
      <c r="E186" s="976"/>
      <c r="F186" s="976"/>
      <c r="H186" s="780"/>
      <c r="J186" s="674"/>
      <c r="K186" s="833"/>
      <c r="M186" s="664"/>
    </row>
    <row r="187" spans="2:20" s="4" customFormat="1" ht="25" customHeight="1">
      <c r="B187" s="977" t="s">
        <v>412</v>
      </c>
      <c r="C187" s="977"/>
      <c r="D187" s="977"/>
      <c r="E187" s="977"/>
      <c r="F187" s="977"/>
      <c r="G187" s="677"/>
      <c r="H187" s="678"/>
      <c r="I187" s="677"/>
      <c r="J187" s="679"/>
      <c r="K187" s="834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834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858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591</v>
      </c>
      <c r="M190" s="664"/>
    </row>
    <row r="191" spans="2:20" ht="25" customHeight="1">
      <c r="B191" s="470" t="s">
        <v>208</v>
      </c>
      <c r="C191" s="23"/>
      <c r="D191" s="24" t="s">
        <v>275</v>
      </c>
      <c r="E191" s="132"/>
      <c r="F191" s="24"/>
      <c r="G191" s="131"/>
      <c r="H191" s="131"/>
      <c r="I191" s="23" t="s">
        <v>585</v>
      </c>
      <c r="J191" s="23"/>
      <c r="K191" s="612" t="s">
        <v>92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483</v>
      </c>
      <c r="C192" s="129"/>
      <c r="D192" s="30" t="s">
        <v>413</v>
      </c>
      <c r="E192" s="40"/>
      <c r="F192" s="30"/>
      <c r="G192" s="40"/>
      <c r="H192" s="40"/>
      <c r="I192" s="775" t="s">
        <v>94</v>
      </c>
      <c r="J192" s="775"/>
      <c r="K192" s="555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484</v>
      </c>
      <c r="C193" s="130"/>
      <c r="D193" s="38" t="s">
        <v>156</v>
      </c>
      <c r="E193" s="31"/>
      <c r="F193" s="771"/>
      <c r="G193" s="779"/>
      <c r="H193" s="779"/>
      <c r="I193" s="773" t="s">
        <v>244</v>
      </c>
      <c r="J193" s="773"/>
      <c r="K193" s="554" t="s">
        <v>592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485</v>
      </c>
      <c r="C194" s="129"/>
      <c r="D194" s="30" t="s">
        <v>160</v>
      </c>
      <c r="E194" s="129"/>
      <c r="F194" s="129"/>
      <c r="G194" s="129"/>
      <c r="H194" s="40"/>
      <c r="I194" s="770" t="s">
        <v>246</v>
      </c>
      <c r="J194" s="770"/>
      <c r="K194" s="555" t="s">
        <v>586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857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554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593</v>
      </c>
      <c r="C197" s="878"/>
      <c r="D197" s="878"/>
      <c r="F197" s="878"/>
      <c r="G197" s="878"/>
      <c r="H197" s="878"/>
      <c r="I197" s="879"/>
      <c r="J197" s="879"/>
      <c r="K197" s="704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594</v>
      </c>
      <c r="M198" s="664"/>
    </row>
    <row r="199" spans="2:18" ht="25" customHeight="1">
      <c r="B199" s="470" t="s">
        <v>208</v>
      </c>
      <c r="C199" s="23"/>
      <c r="D199" s="24" t="s">
        <v>275</v>
      </c>
      <c r="E199" s="132"/>
      <c r="F199" s="24"/>
      <c r="G199" s="131"/>
      <c r="H199" s="131"/>
      <c r="I199" s="23" t="s">
        <v>585</v>
      </c>
      <c r="J199" s="23"/>
      <c r="K199" s="612" t="s">
        <v>92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486</v>
      </c>
      <c r="C200" s="129"/>
      <c r="D200" s="30" t="s">
        <v>166</v>
      </c>
      <c r="E200" s="40"/>
      <c r="F200" s="30"/>
      <c r="G200" s="40"/>
      <c r="H200" s="40"/>
      <c r="I200" s="770" t="s">
        <v>246</v>
      </c>
      <c r="J200" s="770"/>
      <c r="K200" s="629">
        <f>PS_consult.jun_SEK</f>
        <v>1127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487</v>
      </c>
      <c r="C201" s="130"/>
      <c r="D201" s="38" t="s">
        <v>168</v>
      </c>
      <c r="E201" s="31"/>
      <c r="F201" s="771"/>
      <c r="G201" s="779"/>
      <c r="H201" s="779"/>
      <c r="I201" s="773" t="s">
        <v>246</v>
      </c>
      <c r="J201" s="773"/>
      <c r="K201" s="867">
        <f>PS_consult.sen_SEK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488</v>
      </c>
      <c r="C202" s="129"/>
      <c r="D202" s="30" t="s">
        <v>170</v>
      </c>
      <c r="E202" s="40"/>
      <c r="F202" s="30"/>
      <c r="G202" s="40"/>
      <c r="H202" s="40"/>
      <c r="I202" s="770" t="s">
        <v>246</v>
      </c>
      <c r="J202" s="770"/>
      <c r="K202" s="629">
        <f>PS_cloudarch.jun_SEK</f>
        <v>1277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489</v>
      </c>
      <c r="C203" s="130"/>
      <c r="D203" s="38" t="s">
        <v>172</v>
      </c>
      <c r="E203" s="38"/>
      <c r="F203" s="38"/>
      <c r="G203" s="779"/>
      <c r="H203" s="779"/>
      <c r="I203" s="773" t="s">
        <v>246</v>
      </c>
      <c r="J203" s="773"/>
      <c r="K203" s="867">
        <f>PS_cloudarch.sen_SEK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490</v>
      </c>
      <c r="C204" s="129"/>
      <c r="D204" s="30" t="s">
        <v>174</v>
      </c>
      <c r="E204" s="40"/>
      <c r="F204" s="30"/>
      <c r="G204" s="40"/>
      <c r="H204" s="40"/>
      <c r="I204" s="770" t="s">
        <v>246</v>
      </c>
      <c r="J204" s="770"/>
      <c r="K204" s="629">
        <f>PS_pm.jun_SEK</f>
        <v>1139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491</v>
      </c>
      <c r="C205" s="130"/>
      <c r="D205" s="38" t="s">
        <v>176</v>
      </c>
      <c r="E205" s="31"/>
      <c r="F205" s="771"/>
      <c r="G205" s="779"/>
      <c r="H205" s="779"/>
      <c r="I205" s="773" t="s">
        <v>246</v>
      </c>
      <c r="J205" s="773"/>
      <c r="K205" s="867">
        <f>PS_pm.sen_SEK</f>
        <v>1374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857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554"/>
      <c r="M207" s="664"/>
      <c r="N207" s="742"/>
      <c r="O207" s="8"/>
    </row>
    <row r="208" spans="2:18" ht="25" customHeight="1">
      <c r="B208" s="649" t="s">
        <v>250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595</v>
      </c>
      <c r="M209" s="664"/>
    </row>
    <row r="210" spans="1:18" ht="25" customHeight="1">
      <c r="B210" s="470" t="s">
        <v>208</v>
      </c>
      <c r="C210" s="23"/>
      <c r="D210" s="24" t="s">
        <v>275</v>
      </c>
      <c r="E210" s="132"/>
      <c r="F210" s="24"/>
      <c r="G210" s="23" t="s">
        <v>251</v>
      </c>
      <c r="H210" s="23"/>
      <c r="I210" s="23" t="s">
        <v>585</v>
      </c>
      <c r="J210" s="23"/>
      <c r="K210" s="612" t="s">
        <v>92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627</v>
      </c>
      <c r="C211" s="129"/>
      <c r="D211" s="30" t="s">
        <v>252</v>
      </c>
      <c r="E211" s="40"/>
      <c r="F211" s="30"/>
      <c r="G211" s="770" t="s">
        <v>253</v>
      </c>
      <c r="H211" s="770"/>
      <c r="I211" s="770" t="s">
        <v>307</v>
      </c>
      <c r="J211" s="770"/>
      <c r="K211" s="555" t="s">
        <v>586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628</v>
      </c>
      <c r="C212" s="130"/>
      <c r="D212" s="38" t="s">
        <v>255</v>
      </c>
      <c r="E212" s="31"/>
      <c r="F212" s="771"/>
      <c r="G212" s="773" t="s">
        <v>253</v>
      </c>
      <c r="H212" s="773"/>
      <c r="I212" s="773" t="s">
        <v>307</v>
      </c>
      <c r="J212" s="773"/>
      <c r="K212" s="554" t="s">
        <v>586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629</v>
      </c>
      <c r="C213" s="129"/>
      <c r="D213" s="30" t="s">
        <v>256</v>
      </c>
      <c r="E213" s="40"/>
      <c r="F213" s="30"/>
      <c r="G213" s="770" t="s">
        <v>596</v>
      </c>
      <c r="H213" s="770"/>
      <c r="I213" s="770" t="s">
        <v>307</v>
      </c>
      <c r="J213" s="770"/>
      <c r="K213" s="555" t="s">
        <v>586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630</v>
      </c>
      <c r="C214" s="130"/>
      <c r="D214" s="38" t="s">
        <v>258</v>
      </c>
      <c r="E214" s="31"/>
      <c r="F214" s="771"/>
      <c r="G214" s="773" t="s">
        <v>596</v>
      </c>
      <c r="H214" s="773"/>
      <c r="I214" s="773" t="s">
        <v>307</v>
      </c>
      <c r="J214" s="773"/>
      <c r="K214" s="554" t="s">
        <v>586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857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847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859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973" t="s">
        <v>312</v>
      </c>
      <c r="C221" s="973"/>
      <c r="D221" s="973"/>
      <c r="E221" s="973"/>
      <c r="F221" s="973"/>
      <c r="G221" s="973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3"/>
      <c r="C222" s="973"/>
      <c r="D222" s="973"/>
      <c r="E222" s="973"/>
      <c r="F222" s="973"/>
      <c r="G222" s="973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3"/>
      <c r="C223" s="973"/>
      <c r="D223" s="973"/>
      <c r="E223" s="973"/>
      <c r="F223" s="973"/>
      <c r="G223" s="973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74" t="s">
        <v>560</v>
      </c>
      <c r="C224" s="974"/>
      <c r="D224" s="974"/>
      <c r="E224" s="974"/>
      <c r="F224" s="974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22" t="s">
        <v>597</v>
      </c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18" t="s">
        <v>433</v>
      </c>
      <c r="C227" s="62"/>
      <c r="D227" s="62"/>
      <c r="E227" s="62"/>
      <c r="F227" s="62"/>
      <c r="G227" s="3"/>
      <c r="H227" s="666"/>
      <c r="I227" s="3"/>
      <c r="J227" s="667"/>
      <c r="K227" s="831"/>
      <c r="L227" s="794"/>
      <c r="M227" s="664"/>
    </row>
    <row r="228" spans="1:20" s="4" customFormat="1" ht="25" customHeight="1">
      <c r="A228" s="3"/>
      <c r="B228" s="913" t="s">
        <v>624</v>
      </c>
      <c r="C228" s="67"/>
      <c r="D228" s="67"/>
      <c r="E228" s="67"/>
      <c r="F228" s="67"/>
      <c r="G228" s="794"/>
      <c r="H228" s="795"/>
      <c r="I228" s="794"/>
      <c r="J228" s="796"/>
      <c r="K228" s="861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861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493</v>
      </c>
      <c r="C230" s="56"/>
      <c r="D230" s="57"/>
      <c r="E230" s="56"/>
      <c r="F230" s="659"/>
      <c r="G230" s="659"/>
      <c r="H230" s="659"/>
      <c r="I230" s="56"/>
      <c r="J230" s="659" t="s">
        <v>312</v>
      </c>
      <c r="K230" s="862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31" s="71"/>
      <c r="E231" s="656"/>
      <c r="F231" s="656"/>
      <c r="G231" s="657"/>
      <c r="H231" s="800"/>
      <c r="I231" s="801"/>
      <c r="J231" s="660">
        <f>K66+K75+K57+K40+K84</f>
        <v>0</v>
      </c>
      <c r="K231" s="828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K96&amp;" TB - S3"&amp;"     /     "&amp;K95&amp;" TB - Archive"</f>
        <v>0 TB - S3     /     0 TB - Archive</v>
      </c>
      <c r="D232" s="658"/>
      <c r="E232" s="658"/>
      <c r="F232" s="802"/>
      <c r="G232" s="803"/>
      <c r="H232" s="803"/>
      <c r="I232" s="804"/>
      <c r="J232" s="661">
        <f>K97</f>
        <v>0</v>
      </c>
      <c r="K232" s="828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661">
        <f>K121</f>
        <v>0</v>
      </c>
      <c r="K233" s="828"/>
      <c r="L233" s="2"/>
      <c r="M233" s="664"/>
      <c r="N233" s="28"/>
    </row>
    <row r="234" spans="1:20" s="808" customFormat="1" ht="25" customHeight="1">
      <c r="A234" s="806"/>
      <c r="B234" s="918" t="s">
        <v>222</v>
      </c>
      <c r="C234" s="662"/>
      <c r="D234" s="662"/>
      <c r="E234" s="662"/>
      <c r="F234" s="662"/>
      <c r="G234" s="662"/>
      <c r="H234" s="662"/>
      <c r="I234" s="662"/>
      <c r="J234" s="662">
        <f>SUM(J231:J233)</f>
        <v>0</v>
      </c>
      <c r="K234" s="863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864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828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594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865"/>
    </row>
    <row r="239" spans="1:20" s="112" customFormat="1" ht="25" customHeight="1">
      <c r="B239" s="914" t="s">
        <v>573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574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575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4" t="s">
        <v>576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6" t="s">
        <v>618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30" spans="2:4" ht="25" customHeight="1">
      <c r="B330" s="647"/>
      <c r="C330" s="38"/>
      <c r="D330" s="96"/>
    </row>
  </sheetData>
  <sheetProtection algorithmName="SHA-512" hashValue="NtLd8/0AddZPc7E9rmJB9b9KZ7Egz0UP2TGTaMgUHcPCNo/v6lqhuF9yCgLn83EWX5IfpXf0vRZVhy6KOzm4CA==" saltValue="SIlgghlU2pjjvndxsMmWmA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6:F186"/>
    <mergeCell ref="B187:F187"/>
    <mergeCell ref="B221:G223"/>
    <mergeCell ref="B224:F224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3:G185"/>
    <mergeCell ref="C133:D133"/>
    <mergeCell ref="E133:F133"/>
    <mergeCell ref="G133:H133"/>
  </mergeCells>
  <phoneticPr fontId="2" type="noConversion"/>
  <conditionalFormatting sqref="I26:I39 K26:K39 I47:I56 K47:K56 I62:I65 K62:K65 I72:I74 K72:K74 I81:I83 K81:K83 I95:I96 K95:K96 I118:I120 K118:K120 J119:J120">
    <cfRule type="cellIs" dxfId="39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  <hyperlink ref="B45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7" max="11" man="1"/>
    <brk id="257" max="13" man="1"/>
    <brk id="279" max="16383" man="1"/>
  </rowBreaks>
  <ignoredErrors>
    <ignoredError sqref="G82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48"/>
      <c r="C4" s="1048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0" t="str">
        <f>"1 SEK = "&amp;NOK&amp;" NOK"</f>
        <v>1 SEK = 1 NOK</v>
      </c>
      <c r="E11" s="1050"/>
      <c r="F11" s="1050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0" t="s">
        <v>4</v>
      </c>
      <c r="C15" s="1040"/>
      <c r="D15" s="1040"/>
      <c r="E15" s="1040"/>
      <c r="F15" s="1040"/>
      <c r="G15" s="1040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0"/>
      <c r="C16" s="1040"/>
      <c r="D16" s="1040"/>
      <c r="E16" s="1040"/>
      <c r="F16" s="1040"/>
      <c r="G16" s="1040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0"/>
      <c r="C17" s="1040"/>
      <c r="D17" s="1040"/>
      <c r="E17" s="1040"/>
      <c r="F17" s="1040"/>
      <c r="G17" s="1040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47" t="s">
        <v>265</v>
      </c>
      <c r="C19" s="1047"/>
      <c r="D19" s="1047"/>
      <c r="E19" s="1047"/>
      <c r="F19" s="1047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1049" t="s">
        <v>276</v>
      </c>
      <c r="G88" s="1049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66">
        <f>VOLUME_large_SEK</f>
        <v>1.2</v>
      </c>
      <c r="G89" s="1066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68">
        <f>VOLUME_fast_SEK</f>
        <v>3.6</v>
      </c>
      <c r="G90" s="1068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0" t="s">
        <v>72</v>
      </c>
      <c r="C95" s="1040"/>
      <c r="D95" s="1040"/>
      <c r="E95" s="1040"/>
      <c r="F95" s="1040"/>
      <c r="G95" s="1040"/>
      <c r="H95" s="177"/>
      <c r="J95" s="178"/>
      <c r="K95" s="178"/>
      <c r="M95" s="179"/>
      <c r="O95" s="168"/>
    </row>
    <row r="96" spans="2:23" s="169" customFormat="1" ht="25.5" customHeight="1">
      <c r="B96" s="1040"/>
      <c r="C96" s="1040"/>
      <c r="D96" s="1040"/>
      <c r="E96" s="1040"/>
      <c r="F96" s="1040"/>
      <c r="G96" s="1040"/>
      <c r="H96" s="177"/>
      <c r="J96" s="178"/>
      <c r="K96" s="178"/>
      <c r="M96" s="179"/>
      <c r="O96" s="168"/>
    </row>
    <row r="97" spans="2:23" s="169" customFormat="1" ht="25.5" customHeight="1">
      <c r="B97" s="1040"/>
      <c r="C97" s="1040"/>
      <c r="D97" s="1040"/>
      <c r="E97" s="1040"/>
      <c r="F97" s="1040"/>
      <c r="G97" s="1040"/>
      <c r="H97" s="177"/>
      <c r="J97" s="178"/>
      <c r="K97" s="178"/>
      <c r="M97" s="179"/>
      <c r="O97" s="168"/>
    </row>
    <row r="98" spans="2:23" s="169" customFormat="1" ht="25.5" customHeight="1">
      <c r="B98" s="1069" t="s">
        <v>278</v>
      </c>
      <c r="C98" s="1069"/>
      <c r="D98" s="1069"/>
      <c r="E98" s="1069"/>
      <c r="F98" s="1069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47" t="s">
        <v>279</v>
      </c>
      <c r="C99" s="1047"/>
      <c r="D99" s="1047"/>
      <c r="E99" s="1047"/>
      <c r="F99" s="1047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1049" t="s">
        <v>282</v>
      </c>
      <c r="E102" s="1049"/>
      <c r="F102" s="1049"/>
      <c r="G102" s="1049"/>
      <c r="H102" s="1049"/>
      <c r="I102" s="1049"/>
      <c r="J102" s="1049"/>
      <c r="K102" s="1049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67">
        <f>S3_storage.50_SEK</f>
        <v>350</v>
      </c>
      <c r="E103" s="1067"/>
      <c r="F103" s="1067"/>
      <c r="G103" s="1067"/>
      <c r="H103" s="1067"/>
      <c r="I103" s="1067"/>
      <c r="J103" s="1067"/>
      <c r="K103" s="1067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1">
        <f>S3_storage.100_SEK</f>
        <v>270</v>
      </c>
      <c r="E104" s="1071"/>
      <c r="F104" s="1071"/>
      <c r="G104" s="1071"/>
      <c r="H104" s="1071"/>
      <c r="I104" s="1071"/>
      <c r="J104" s="1071"/>
      <c r="K104" s="1071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0">
        <f>S3_storage.500_SEK</f>
        <v>200</v>
      </c>
      <c r="E105" s="1070"/>
      <c r="F105" s="1070"/>
      <c r="G105" s="1070"/>
      <c r="H105" s="1070"/>
      <c r="I105" s="1070"/>
      <c r="J105" s="1070"/>
      <c r="K105" s="1070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1">
        <f>S3_storage.1000_SEK</f>
        <v>185</v>
      </c>
      <c r="E106" s="1071"/>
      <c r="F106" s="1071"/>
      <c r="G106" s="1071"/>
      <c r="H106" s="1071"/>
      <c r="I106" s="1071"/>
      <c r="J106" s="1071"/>
      <c r="K106" s="1071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2" t="str">
        <f>S3_storage.quote_SEK</f>
        <v>Be om offert</v>
      </c>
      <c r="E107" s="1072"/>
      <c r="F107" s="1072"/>
      <c r="G107" s="1072"/>
      <c r="H107" s="1072"/>
      <c r="I107" s="1072"/>
      <c r="J107" s="1072"/>
      <c r="K107" s="1072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0" t="s">
        <v>86</v>
      </c>
      <c r="C116" s="1040"/>
      <c r="D116" s="1040"/>
      <c r="E116" s="1040"/>
      <c r="F116" s="1040"/>
      <c r="G116" s="1040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0"/>
      <c r="C117" s="1040"/>
      <c r="D117" s="1040"/>
      <c r="E117" s="1040"/>
      <c r="F117" s="1040"/>
      <c r="G117" s="1040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0"/>
      <c r="C118" s="1040"/>
      <c r="D118" s="1040"/>
      <c r="E118" s="1040"/>
      <c r="F118" s="1040"/>
      <c r="G118" s="1040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69" t="s">
        <v>283</v>
      </c>
      <c r="C119" s="1069"/>
      <c r="D119" s="1069"/>
      <c r="E119" s="1069"/>
      <c r="F119" s="1069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47" t="s">
        <v>284</v>
      </c>
      <c r="C120" s="1047"/>
      <c r="D120" s="1047"/>
      <c r="E120" s="1047"/>
      <c r="F120" s="1047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49" t="s">
        <v>285</v>
      </c>
      <c r="D123" s="1049"/>
      <c r="E123" s="131" t="s">
        <v>267</v>
      </c>
      <c r="F123" s="1049" t="s">
        <v>276</v>
      </c>
      <c r="G123" s="1049"/>
      <c r="H123" s="266" t="s">
        <v>90</v>
      </c>
      <c r="I123" s="265"/>
      <c r="J123" s="1024" t="s">
        <v>286</v>
      </c>
      <c r="K123" s="1024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3">
        <f>BAAS_on.demand_SEK</f>
        <v>2.4500000000000002</v>
      </c>
      <c r="G124" s="1074"/>
      <c r="H124" s="307"/>
      <c r="I124" s="472" t="s">
        <v>69</v>
      </c>
      <c r="J124" s="1029" t="s">
        <v>94</v>
      </c>
      <c r="K124" s="1029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5">
        <f>BAAS_small_SEK</f>
        <v>1.75</v>
      </c>
      <c r="G125" s="1076"/>
      <c r="H125" s="309"/>
      <c r="I125" s="473" t="s">
        <v>69</v>
      </c>
      <c r="J125" s="1033">
        <v>0.75</v>
      </c>
      <c r="K125" s="1034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77">
        <f>BAAS_large_SEK</f>
        <v>0.92</v>
      </c>
      <c r="G126" s="1078"/>
      <c r="H126" s="298"/>
      <c r="I126" s="474" t="s">
        <v>69</v>
      </c>
      <c r="J126" s="1038">
        <v>0.75</v>
      </c>
      <c r="K126" s="1039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0" t="s">
        <v>291</v>
      </c>
      <c r="C137" s="1040"/>
      <c r="D137" s="1040"/>
      <c r="E137" s="1040"/>
      <c r="F137" s="1040"/>
      <c r="G137" s="1040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0"/>
      <c r="C138" s="1040"/>
      <c r="D138" s="1040"/>
      <c r="E138" s="1040"/>
      <c r="F138" s="1040"/>
      <c r="G138" s="1040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0"/>
      <c r="C139" s="1040"/>
      <c r="D139" s="1040"/>
      <c r="E139" s="1040"/>
      <c r="F139" s="1040"/>
      <c r="G139" s="1040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47" t="s">
        <v>284</v>
      </c>
      <c r="C140" s="1047"/>
      <c r="D140" s="1047"/>
      <c r="E140" s="1047"/>
      <c r="F140" s="1047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25"/>
      <c r="C141" s="1025"/>
      <c r="D141" s="1025"/>
      <c r="E141" s="1025"/>
      <c r="F141" s="1025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0" t="s">
        <v>299</v>
      </c>
      <c r="C176" s="1040"/>
      <c r="D176" s="1040"/>
      <c r="E176" s="1040"/>
      <c r="F176" s="1040"/>
      <c r="G176" s="1040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0"/>
      <c r="C177" s="1040"/>
      <c r="D177" s="1040"/>
      <c r="E177" s="1040"/>
      <c r="F177" s="1040"/>
      <c r="G177" s="1040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0"/>
      <c r="C178" s="1040"/>
      <c r="D178" s="1040"/>
      <c r="E178" s="1040"/>
      <c r="F178" s="1040"/>
      <c r="G178" s="1040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47" t="s">
        <v>284</v>
      </c>
      <c r="C179" s="1047"/>
      <c r="D179" s="1047"/>
      <c r="E179" s="1047"/>
      <c r="F179" s="1047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25"/>
      <c r="C180" s="1025"/>
      <c r="D180" s="1025"/>
      <c r="E180" s="1025"/>
      <c r="F180" s="1025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55" t="s">
        <v>312</v>
      </c>
      <c r="C211" s="1055"/>
      <c r="D211" s="1055"/>
      <c r="E211" s="1055"/>
      <c r="F211" s="1055"/>
      <c r="G211" s="1055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55"/>
      <c r="C212" s="1055"/>
      <c r="D212" s="1055"/>
      <c r="E212" s="1055"/>
      <c r="F212" s="1055"/>
      <c r="G212" s="1055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55"/>
      <c r="C213" s="1055"/>
      <c r="D213" s="1055"/>
      <c r="E213" s="1055"/>
      <c r="F213" s="1055"/>
      <c r="G213" s="1055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79" t="s">
        <v>313</v>
      </c>
      <c r="C214" s="1079"/>
      <c r="D214" s="1079"/>
      <c r="E214" s="1079"/>
      <c r="F214" s="1079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0" t="str">
        <f>SUM(E67)&amp;" GB NVME-Disk"</f>
        <v>0 GB NVME-Disk</v>
      </c>
      <c r="G221" s="1080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38" priority="40" operator="greaterThan">
      <formula>0</formula>
    </cfRule>
  </conditionalFormatting>
  <conditionalFormatting sqref="H124:H126">
    <cfRule type="cellIs" dxfId="37" priority="36" operator="greaterThan">
      <formula>0</formula>
    </cfRule>
  </conditionalFormatting>
  <conditionalFormatting sqref="I25:I37 I43:I66">
    <cfRule type="cellIs" dxfId="36" priority="149" operator="lessThan">
      <formula>#REF!</formula>
    </cfRule>
  </conditionalFormatting>
  <conditionalFormatting sqref="I25:I37">
    <cfRule type="cellIs" dxfId="35" priority="14" operator="greaterThan">
      <formula>0</formula>
    </cfRule>
  </conditionalFormatting>
  <conditionalFormatting sqref="I43:I66">
    <cfRule type="cellIs" dxfId="34" priority="6" operator="greaterThan">
      <formula>0</formula>
    </cfRule>
  </conditionalFormatting>
  <conditionalFormatting sqref="I89:I90">
    <cfRule type="cellIs" dxfId="33" priority="41" operator="greaterThan">
      <formula>0</formula>
    </cfRule>
  </conditionalFormatting>
  <conditionalFormatting sqref="I72:J75">
    <cfRule type="cellIs" dxfId="32" priority="34" operator="lessThan">
      <formula>$J72</formula>
    </cfRule>
    <cfRule type="cellIs" dxfId="31" priority="43" operator="greaterThan">
      <formula>0</formula>
    </cfRule>
  </conditionalFormatting>
  <conditionalFormatting sqref="I81:J83">
    <cfRule type="cellIs" dxfId="30" priority="28" operator="greaterThan">
      <formula>0</formula>
    </cfRule>
    <cfRule type="cellIs" dxfId="29" priority="30" operator="lessThan">
      <formula>$J81</formula>
    </cfRule>
  </conditionalFormatting>
  <conditionalFormatting sqref="J125:J126">
    <cfRule type="cellIs" dxfId="28" priority="35" operator="greaterThan">
      <formula>0</formula>
    </cfRule>
  </conditionalFormatting>
  <conditionalFormatting sqref="K25:K66">
    <cfRule type="cellIs" dxfId="27" priority="2" operator="greaterThan">
      <formula>0</formula>
    </cfRule>
  </conditionalFormatting>
  <conditionalFormatting sqref="K68 L69:M70">
    <cfRule type="cellIs" dxfId="26" priority="44" operator="greaterThan">
      <formula>0</formula>
    </cfRule>
  </conditionalFormatting>
  <conditionalFormatting sqref="L72:M72 L74:M74">
    <cfRule type="cellIs" dxfId="25" priority="31" operator="greaterThan">
      <formula>0</formula>
    </cfRule>
  </conditionalFormatting>
  <conditionalFormatting sqref="L72:M75">
    <cfRule type="cellIs" dxfId="24" priority="16" operator="greaterThan">
      <formula>0</formula>
    </cfRule>
  </conditionalFormatting>
  <conditionalFormatting sqref="L81:M83">
    <cfRule type="cellIs" dxfId="23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48"/>
      <c r="C4" s="1048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0" t="s">
        <v>4</v>
      </c>
      <c r="C15" s="1040"/>
      <c r="D15" s="1040"/>
      <c r="E15" s="1040"/>
      <c r="F15" s="1040"/>
      <c r="G15" s="1040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0"/>
      <c r="C16" s="1040"/>
      <c r="D16" s="1040"/>
      <c r="E16" s="1040"/>
      <c r="F16" s="1040"/>
      <c r="G16" s="1040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0"/>
      <c r="C17" s="1040"/>
      <c r="D17" s="1040"/>
      <c r="E17" s="1040"/>
      <c r="F17" s="1040"/>
      <c r="G17" s="1040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25" t="s">
        <v>205</v>
      </c>
      <c r="C19" s="1025"/>
      <c r="D19" s="1025"/>
      <c r="E19" s="1025"/>
      <c r="F19" s="1025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49" t="s">
        <v>221</v>
      </c>
      <c r="G98" s="1049"/>
      <c r="H98" s="1024"/>
      <c r="I98" s="1024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66">
        <f>VOLUME_large_SEK</f>
        <v>1.2</v>
      </c>
      <c r="G99" s="1066"/>
      <c r="H99" s="1093"/>
      <c r="I99" s="1093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68">
        <f>VOLUME_fast_SEK</f>
        <v>3.6</v>
      </c>
      <c r="G100" s="1068"/>
      <c r="H100" s="1094"/>
      <c r="I100" s="1094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0" t="s">
        <v>343</v>
      </c>
      <c r="C105" s="1040"/>
      <c r="D105" s="1040"/>
      <c r="E105" s="1040"/>
      <c r="F105" s="1040"/>
      <c r="G105" s="1040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0"/>
      <c r="C106" s="1040"/>
      <c r="D106" s="1040"/>
      <c r="E106" s="1040"/>
      <c r="F106" s="1040"/>
      <c r="G106" s="1040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0"/>
      <c r="C107" s="1040"/>
      <c r="D107" s="1040"/>
      <c r="E107" s="1040"/>
      <c r="F107" s="1040"/>
      <c r="G107" s="1040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6" t="s">
        <v>223</v>
      </c>
      <c r="C108" s="1046"/>
      <c r="D108" s="1046"/>
      <c r="E108" s="1046"/>
      <c r="F108" s="1046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47" t="s">
        <v>344</v>
      </c>
      <c r="C109" s="1047"/>
      <c r="D109" s="1047"/>
      <c r="E109" s="1047"/>
      <c r="F109" s="1047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49" t="s">
        <v>345</v>
      </c>
      <c r="E112" s="1049"/>
      <c r="F112" s="1049"/>
      <c r="G112" s="1049"/>
      <c r="H112" s="1049"/>
      <c r="I112" s="1049"/>
      <c r="J112" s="1049"/>
      <c r="K112" s="1049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90">
        <f>S3_storage.50_SUNET</f>
        <v>0.35</v>
      </c>
      <c r="E113" s="1090"/>
      <c r="F113" s="1067"/>
      <c r="G113" s="1067"/>
      <c r="H113" s="1067"/>
      <c r="I113" s="1067"/>
      <c r="J113" s="1067"/>
      <c r="K113" s="1067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89">
        <f>S3_storage.100_SUNET</f>
        <v>0.19</v>
      </c>
      <c r="E114" s="1089"/>
      <c r="F114" s="1071"/>
      <c r="G114" s="1071"/>
      <c r="H114" s="1071"/>
      <c r="I114" s="1071"/>
      <c r="J114" s="1071"/>
      <c r="K114" s="1071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88">
        <f>S3_storage.500_SUNET</f>
        <v>0.1</v>
      </c>
      <c r="E115" s="1088"/>
      <c r="F115" s="1070"/>
      <c r="G115" s="1070"/>
      <c r="H115" s="1070"/>
      <c r="I115" s="1070"/>
      <c r="J115" s="1070"/>
      <c r="K115" s="1070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89">
        <f>S3_storage.1000_SUNET</f>
        <v>0.06</v>
      </c>
      <c r="E116" s="1089"/>
      <c r="F116" s="1071"/>
      <c r="G116" s="1071"/>
      <c r="H116" s="1071"/>
      <c r="I116" s="1071"/>
      <c r="J116" s="1071"/>
      <c r="K116" s="1071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5" t="str">
        <f>S3_storage.quote_SUNET</f>
        <v>Be om offert</v>
      </c>
      <c r="E117" s="1085"/>
      <c r="F117" s="1072"/>
      <c r="G117" s="1072"/>
      <c r="H117" s="1072"/>
      <c r="I117" s="1072"/>
      <c r="J117" s="1072"/>
      <c r="K117" s="1072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49" t="s">
        <v>221</v>
      </c>
      <c r="G120" s="1049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6" cm="1">
        <f t="array" ref="F121">_xlfn.IFS(H121&lt;=299,D113,H121&lt;1000,D114,H121&lt;2000,D115,H121&gt;=2000,D116)</f>
        <v>0.35</v>
      </c>
      <c r="G121" s="1087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1">
        <f>ROUNDUP((H121*1000)*F121,2)</f>
        <v>0</v>
      </c>
      <c r="N121" s="1091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2">
        <f>SUM(M121)</f>
        <v>0</v>
      </c>
      <c r="N122" s="1092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0" t="s">
        <v>86</v>
      </c>
      <c r="C126" s="1040"/>
      <c r="D126" s="1040"/>
      <c r="E126" s="1040"/>
      <c r="F126" s="1040"/>
      <c r="G126" s="1040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0"/>
      <c r="C127" s="1040"/>
      <c r="D127" s="1040"/>
      <c r="E127" s="1040"/>
      <c r="F127" s="1040"/>
      <c r="G127" s="1040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0"/>
      <c r="C128" s="1040"/>
      <c r="D128" s="1040"/>
      <c r="E128" s="1040"/>
      <c r="F128" s="1040"/>
      <c r="G128" s="1040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4" t="s">
        <v>87</v>
      </c>
      <c r="C129" s="1054"/>
      <c r="D129" s="1054"/>
      <c r="E129" s="1054"/>
      <c r="F129" s="1054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25" t="s">
        <v>226</v>
      </c>
      <c r="C130" s="1025"/>
      <c r="D130" s="1025"/>
      <c r="E130" s="1025"/>
      <c r="F130" s="1025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49" t="s">
        <v>228</v>
      </c>
      <c r="D133" s="1049"/>
      <c r="E133" s="131" t="s">
        <v>210</v>
      </c>
      <c r="F133" s="1049" t="s">
        <v>221</v>
      </c>
      <c r="G133" s="1049"/>
      <c r="H133" s="266" t="s">
        <v>90</v>
      </c>
      <c r="I133" s="265"/>
      <c r="J133" s="1024" t="s">
        <v>229</v>
      </c>
      <c r="K133" s="1024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3">
        <f>BAAS_on.demand_SEK</f>
        <v>2.4500000000000002</v>
      </c>
      <c r="G134" s="1074"/>
      <c r="H134" s="307">
        <v>0</v>
      </c>
      <c r="I134" s="472" t="s">
        <v>69</v>
      </c>
      <c r="J134" s="1029" t="s">
        <v>94</v>
      </c>
      <c r="K134" s="1029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5">
        <f>BAAS_small_SEK</f>
        <v>1.75</v>
      </c>
      <c r="G135" s="1076"/>
      <c r="H135" s="309">
        <v>0</v>
      </c>
      <c r="I135" s="473" t="s">
        <v>69</v>
      </c>
      <c r="J135" s="1033">
        <v>0.75</v>
      </c>
      <c r="K135" s="1034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77">
        <f>BAAS_large_SEK</f>
        <v>0.92</v>
      </c>
      <c r="G136" s="1078"/>
      <c r="H136" s="298">
        <v>0</v>
      </c>
      <c r="I136" s="474" t="s">
        <v>69</v>
      </c>
      <c r="J136" s="1038">
        <v>0.75</v>
      </c>
      <c r="K136" s="1039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55" t="s">
        <v>259</v>
      </c>
      <c r="C150" s="1055"/>
      <c r="D150" s="1055"/>
      <c r="E150" s="1055"/>
      <c r="F150" s="1055"/>
      <c r="G150" s="1055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55"/>
      <c r="C151" s="1055"/>
      <c r="D151" s="1055"/>
      <c r="E151" s="1055"/>
      <c r="F151" s="1055"/>
      <c r="G151" s="1055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55"/>
      <c r="C152" s="1055"/>
      <c r="D152" s="1055"/>
      <c r="E152" s="1055"/>
      <c r="F152" s="1055"/>
      <c r="G152" s="1055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79" t="s">
        <v>226</v>
      </c>
      <c r="C153" s="1079"/>
      <c r="D153" s="1079"/>
      <c r="E153" s="1079"/>
      <c r="F153" s="1079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82" t="s">
        <v>196</v>
      </c>
      <c r="C160" s="1082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3" t="s">
        <v>197</v>
      </c>
      <c r="C161" s="1083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4" t="s">
        <v>199</v>
      </c>
      <c r="C163" s="1084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1">
        <f>SUM(M160:M163)</f>
        <v>0</v>
      </c>
      <c r="K164" s="1081"/>
      <c r="L164" s="1081"/>
      <c r="M164" s="1081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2" priority="55" operator="greaterThan">
      <formula>0</formula>
    </cfRule>
  </conditionalFormatting>
  <conditionalFormatting sqref="H134:H136">
    <cfRule type="cellIs" dxfId="21" priority="51" operator="greaterThan">
      <formula>0</formula>
    </cfRule>
  </conditionalFormatting>
  <conditionalFormatting sqref="I41:I59">
    <cfRule type="cellIs" dxfId="20" priority="40" operator="lessThan">
      <formula>$J41</formula>
    </cfRule>
  </conditionalFormatting>
  <conditionalFormatting sqref="I65:I85 I25:I35">
    <cfRule type="cellIs" dxfId="19" priority="54" operator="lessThan">
      <formula>$J25</formula>
    </cfRule>
  </conditionalFormatting>
  <conditionalFormatting sqref="I91:J93">
    <cfRule type="cellIs" dxfId="18" priority="45" operator="lessThan">
      <formula>$J91</formula>
    </cfRule>
  </conditionalFormatting>
  <conditionalFormatting sqref="I25:K35">
    <cfRule type="cellIs" dxfId="17" priority="58" operator="greaterThan">
      <formula>0</formula>
    </cfRule>
  </conditionalFormatting>
  <conditionalFormatting sqref="I41:K59">
    <cfRule type="cellIs" dxfId="16" priority="39" operator="greaterThan">
      <formula>0</formula>
    </cfRule>
  </conditionalFormatting>
  <conditionalFormatting sqref="I65:K85">
    <cfRule type="cellIs" dxfId="15" priority="6" operator="greaterThan">
      <formula>0</formula>
    </cfRule>
  </conditionalFormatting>
  <conditionalFormatting sqref="I91:K93">
    <cfRule type="cellIs" dxfId="14" priority="41" operator="greaterThan">
      <formula>0</formula>
    </cfRule>
  </conditionalFormatting>
  <conditionalFormatting sqref="J99:J136">
    <cfRule type="cellIs" dxfId="13" priority="50" operator="greaterThan">
      <formula>0</formula>
    </cfRule>
  </conditionalFormatting>
  <conditionalFormatting sqref="M25:N35 M39:N39">
    <cfRule type="cellIs" dxfId="12" priority="59" operator="greaterThan">
      <formula>0</formula>
    </cfRule>
  </conditionalFormatting>
  <conditionalFormatting sqref="M41:N85">
    <cfRule type="cellIs" dxfId="11" priority="1" operator="greaterThan">
      <formula>0</formula>
    </cfRule>
  </conditionalFormatting>
  <conditionalFormatting sqref="M91:N93">
    <cfRule type="cellIs" dxfId="10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33" zoomScale="120" zoomScaleNormal="120" workbookViewId="0">
      <selection activeCell="E62" sqref="E62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667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247</v>
      </c>
      <c r="F55" s="127" t="s">
        <v>384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247</v>
      </c>
      <c r="F56" s="126" t="s">
        <v>384</v>
      </c>
      <c r="G56" s="484" t="s">
        <v>94</v>
      </c>
    </row>
    <row r="57" spans="2:7" ht="30" customHeight="1">
      <c r="B57" s="84" t="s">
        <v>385</v>
      </c>
      <c r="C57" s="83"/>
      <c r="D57" s="143"/>
      <c r="E57" s="125" t="s">
        <v>247</v>
      </c>
      <c r="F57" s="127" t="s">
        <v>384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386</v>
      </c>
      <c r="F58" s="126" t="s">
        <v>387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241</v>
      </c>
      <c r="C61" s="116"/>
      <c r="D61" s="117" t="s">
        <v>353</v>
      </c>
      <c r="E61" s="117" t="s">
        <v>203</v>
      </c>
      <c r="F61" s="117" t="s">
        <v>355</v>
      </c>
      <c r="G61" s="482" t="s">
        <v>369</v>
      </c>
    </row>
    <row r="62" spans="2:7" ht="30" customHeight="1">
      <c r="B62" s="128" t="s">
        <v>404</v>
      </c>
      <c r="C62" s="44"/>
      <c r="D62" s="143" t="s">
        <v>619</v>
      </c>
      <c r="E62" s="151" t="s">
        <v>247</v>
      </c>
      <c r="F62" s="152" t="s">
        <v>620</v>
      </c>
      <c r="G62" s="484" t="s">
        <v>94</v>
      </c>
    </row>
    <row r="63" spans="2:7" ht="30" customHeight="1">
      <c r="B63" s="84" t="s">
        <v>405</v>
      </c>
      <c r="C63" s="83"/>
      <c r="D63" s="143" t="s">
        <v>619</v>
      </c>
      <c r="E63" s="149" t="s">
        <v>247</v>
      </c>
      <c r="F63" s="127" t="s">
        <v>545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247</v>
      </c>
      <c r="F64" s="152" t="s">
        <v>545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247</v>
      </c>
      <c r="F65" s="150" t="s">
        <v>545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247</v>
      </c>
      <c r="F66" s="152" t="s">
        <v>545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247</v>
      </c>
      <c r="F67" s="150" t="s">
        <v>545</v>
      </c>
      <c r="G67" s="485" t="s">
        <v>94</v>
      </c>
    </row>
    <row r="68" spans="2:7" ht="30" customHeight="1">
      <c r="B68" s="128" t="s">
        <v>427</v>
      </c>
      <c r="C68" s="44"/>
      <c r="D68" s="143">
        <v>0</v>
      </c>
      <c r="E68" s="151" t="s">
        <v>247</v>
      </c>
      <c r="F68" s="152" t="s">
        <v>545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249</v>
      </c>
      <c r="C70" s="116"/>
      <c r="D70" s="117" t="s">
        <v>353</v>
      </c>
      <c r="E70" s="117" t="s">
        <v>203</v>
      </c>
      <c r="F70" s="117" t="s">
        <v>355</v>
      </c>
      <c r="G70" s="482" t="s">
        <v>369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166</vt:i4>
      </vt:variant>
    </vt:vector>
  </HeadingPairs>
  <TitlesOfParts>
    <vt:vector size="173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2023-07-31T14:08:58Z</cp:lastPrinted>
  <dcterms:created xsi:type="dcterms:W3CDTF">2015-05-31T16:02:08Z</dcterms:created>
  <dcterms:modified xsi:type="dcterms:W3CDTF">2024-02-27T10:32:07Z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