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2FA81974-6419-DE4E-9769-A16065216CE9}" xr6:coauthVersionLast="47" xr6:coauthVersionMax="47" xr10:uidLastSave="{00000000-0000-0000-0000-000000000000}"/>
  <workbookProtection workbookAlgorithmName="SHA-512" workbookHashValue="0pmspEitqH1bTbHKkq9aM8EONKXhyXzcm8pj/F69r/KZvfiGU6TdYrAjZy0183GSQnA+e84OxJgZkMCz5SAP6Q==" workbookSaltValue="ielo1VXLeuNTCdea2fGyUA==" workbookSpinCount="100000" lockStructure="1"/>
  <bookViews>
    <workbookView xWindow="0" yWindow="500" windowWidth="33600" windowHeight="20500" tabRatio="530" activeTab="1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2023'!$A$3:$L$241</definedName>
    <definedName name="_xlnm.Print_Area" localSheetId="3">'NOK - Safespring tjenester 2023'!$A$1:$L$242</definedName>
    <definedName name="_xlnm.Print_Area" localSheetId="4">'NOK - Safesprings tjeneste 2021'!$A$1:$N$305</definedName>
    <definedName name="_xlnm.Print_Area" localSheetId="0">'SEK - Safesprings tjänster 2023'!$A$1:$L$239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1" l="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0" i="12" a="1"/>
  <c r="C230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7" i="11"/>
  <c r="K176" i="11"/>
  <c r="K175" i="11"/>
  <c r="K173" i="11"/>
  <c r="K150" i="11"/>
  <c r="I56" i="11"/>
  <c r="C56" i="11" a="1"/>
  <c r="C56" i="11" s="1"/>
  <c r="D56" i="11" a="1"/>
  <c r="D56" i="11" s="1"/>
  <c r="I39" i="11"/>
  <c r="C229" i="11" a="1"/>
  <c r="C229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7" i="3" a="1"/>
  <c r="C227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K174" i="11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K175" i="12" l="1"/>
  <c r="K172" i="3"/>
  <c r="D114" i="8"/>
  <c r="C228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K171" i="3"/>
  <c r="K173" i="3"/>
  <c r="K17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1" i="12" l="1"/>
  <c r="K96" i="11"/>
  <c r="J230" i="11" s="1"/>
  <c r="C230" i="11"/>
  <c r="L174" i="8"/>
  <c r="K172" i="11"/>
  <c r="G133" i="11"/>
  <c r="L173" i="8"/>
  <c r="G132" i="11"/>
  <c r="K132" i="11" s="1"/>
  <c r="K134" i="11" s="1"/>
  <c r="K171" i="11"/>
  <c r="K96" i="12"/>
  <c r="J231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199" i="12" s="1"/>
  <c r="E75" i="4"/>
  <c r="K204" i="12" s="1"/>
  <c r="E74" i="4"/>
  <c r="K203" i="12" s="1"/>
  <c r="E73" i="4"/>
  <c r="K202" i="12" s="1"/>
  <c r="E72" i="4"/>
  <c r="K201" i="12" s="1"/>
  <c r="E71" i="4"/>
  <c r="K200" i="12" s="1"/>
  <c r="L198" i="8" l="1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0" i="3"/>
  <c r="M195" i="10"/>
  <c r="K199" i="3"/>
  <c r="M194" i="10"/>
  <c r="K198" i="3"/>
  <c r="M193" i="10"/>
  <c r="K196" i="3"/>
  <c r="K197" i="3"/>
  <c r="K201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2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1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8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0" i="12" s="1"/>
  <c r="J233" i="12" s="1"/>
  <c r="K83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29" i="3" s="1"/>
  <c r="K81" i="3"/>
  <c r="K80" i="3"/>
  <c r="F81" i="3"/>
  <c r="F80" i="3"/>
  <c r="K83" i="3" l="1"/>
  <c r="J227" i="3" s="1"/>
  <c r="J230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<sst xmlns="http://schemas.openxmlformats.org/spreadsheetml/2006/main" count="2101" uniqueCount="670">
  <si>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</si>
  <si>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</si>
  <si>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</si>
  <si>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</si>
  <si>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</si>
  <si>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</si>
  <si>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</si>
  <si>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</si>
  <si>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</si>
  <si>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</si>
  <si>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</si>
  <si>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</si>
  <si>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</si>
  <si>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</si>
  <si>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</si>
  <si>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</si>
  <si>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</si>
  <si>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</si>
  <si>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</si>
  <si>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</si>
  <si>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</si>
  <si>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</si>
  <si>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</si>
  <si>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</si>
  <si>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</si>
  <si>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</si>
  <si>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</si>
  <si>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</si>
  <si>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</si>
  <si>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</si>
  <si>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</si>
  <si>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</si>
  <si>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</si>
  <si>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</si>
  <si>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</si>
  <si>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</si>
  <si>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</si>
  <si>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</si>
  <si>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</si>
  <si>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</si>
  <si>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</si>
  <si>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</si>
  <si>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</si>
  <si>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</si>
  <si>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</si>
  <si>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</si>
  <si>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</si>
  <si>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</si>
  <si>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</si>
  <si>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</si>
  <si>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</si>
  <si>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</si>
  <si>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</si>
  <si>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</si>
  <si>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</si>
  <si>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</si>
  <si>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</si>
  <si>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</si>
  <si>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</si>
  <si>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</si>
  <si>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</si>
  <si>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</si>
  <si>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</si>
  <si>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</si>
  <si>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</si>
  <si>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</si>
  <si>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</si>
  <si>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</si>
  <si>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</si>
  <si>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</si>
  <si>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</si>
  <si>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</si>
  <si>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</si>
  <si>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</si>
  <si>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</si>
  <si>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</si>
  <si>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</si>
  <si>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</si>
  <si>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</si>
  <si>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</si>
  <si>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</si>
  <si>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</si>
  <si>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</si>
  <si>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</si>
  <si>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</si>
  <si>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</si>
  <si>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</si>
  <si>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</si>
  <si>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</si>
  <si>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</si>
  <si>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</si>
  <si>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</si>
  <si>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</si>
  <si>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</si>
  <si>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</si>
  <si>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</si>
  <si>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</si>
  <si>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</si>
  <si>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</si>
  <si>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</si>
  <si>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</si>
  <si>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</si>
  <si>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</si>
  <si>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</si>
  <si>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</si>
  <si>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</si>
  <si>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</si>
  <si>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</si>
  <si>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</si>
  <si>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</si>
  <si>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</si>
  <si>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</si>
  <si>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</si>
  <si>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</si>
  <si>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</si>
  <si>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</si>
  <si>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</si>
  <si>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</si>
  <si>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</si>
  <si>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</si>
  <si>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</si>
  <si>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</si>
  <si>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</si>
  <si>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</si>
  <si>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</si>
  <si>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</si>
  <si>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</si>
  <si>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</si>
  <si>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</si>
  <si>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</si>
  <si>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</si>
  <si>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</si>
  <si>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</si>
  <si>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</si>
  <si>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</si>
  <si>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</si>
  <si>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</si>
  <si>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</si>
  <si>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</si>
  <si>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</si>
  <si>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</si>
  <si>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</si>
  <si>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</si>
  <si>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</si>
  <si>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</si>
  <si>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</si>
  <si>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</si>
  <si>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</si>
  <si>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</si>
  <si>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</si>
  <si>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</si>
  <si>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</si>
  <si>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</si>
  <si>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</si>
  <si>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</si>
  <si>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</si>
  <si>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</si>
  <si>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</si>
  <si>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</si>
  <si>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</si>
  <si>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</si>
  <si>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</si>
  <si>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</si>
  <si>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</si>
  <si>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</si>
  <si>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</si>
  <si>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</si>
  <si>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</si>
  <si>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</si>
  <si>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</si>
  <si>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</si>
  <si>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</si>
  <si>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</si>
  <si>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</si>
  <si>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</si>
  <si>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</si>
  <si>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</si>
  <si>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</si>
  <si>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</si>
  <si>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</si>
  <si>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</si>
  <si>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</si>
  <si>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</si>
  <si>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</si>
  <si>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</si>
  <si>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</si>
  <si>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</si>
  <si>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</si>
  <si>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</si>
  <si>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</si>
  <si>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</si>
  <si>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</si>
  <si>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</si>
  <si>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</si>
  <si>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</si>
  <si>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</si>
  <si>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</si>
  <si>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</si>
  <si>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</si>
  <si>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</si>
  <si>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</si>
  <si>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</si>
  <si>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</si>
  <si>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</si>
  <si>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</si>
  <si>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</si>
  <si>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</si>
  <si>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</si>
  <si>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</si>
  <si>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</si>
  <si>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</si>
  <si>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</si>
  <si>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</si>
  <si>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</si>
  <si>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</si>
  <si>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</si>
  <si>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</si>
  <si>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</si>
  <si>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</si>
  <si>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</si>
  <si>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</si>
  <si>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</si>
  <si>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</si>
  <si>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</si>
  <si>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</si>
  <si>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</si>
  <si>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</si>
  <si>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</si>
  <si>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</si>
  <si>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</si>
  <si>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</si>
  <si>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</si>
  <si>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</si>
  <si>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</si>
  <si>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</si>
  <si>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</si>
  <si>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</si>
  <si>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</si>
  <si>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</si>
  <si>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</si>
  <si>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</si>
  <si>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</si>
  <si>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</si>
  <si>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</si>
  <si>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</si>
  <si>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</si>
  <si>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</si>
  <si>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</si>
  <si>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</si>
  <si>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</si>
  <si>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</si>
  <si>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</si>
  <si>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</si>
  <si>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</si>
  <si>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</si>
  <si>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</si>
  <si>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</si>
  <si>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</si>
  <si>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</si>
  <si>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</si>
  <si>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</si>
  <si>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</si>
  <si>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</si>
  <si>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</si>
  <si>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</si>
  <si>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</si>
  <si>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</si>
  <si>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</si>
  <si>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</si>
  <si>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</si>
  <si>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</si>
  <si>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</si>
  <si>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</si>
  <si>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</si>
  <si>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</si>
  <si>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</si>
  <si>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</si>
  <si>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</si>
  <si>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</si>
  <si>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</si>
  <si>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</si>
  <si>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</si>
  <si>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</si>
  <si>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</si>
  <si>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</si>
  <si>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</si>
  <si>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</si>
  <si>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</si>
  <si>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</si>
  <si>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</si>
  <si>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</si>
  <si>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</si>
  <si>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</si>
  <si>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</si>
  <si>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</si>
  <si>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</si>
  <si>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</si>
  <si>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</si>
  <si>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</si>
  <si>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</si>
  <si>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</si>
  <si>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</si>
  <si>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</si>
  <si>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</si>
  <si>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</si>
  <si>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</si>
  <si>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</si>
  <si>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</si>
  <si>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</si>
  <si>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</si>
  <si>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</si>
  <si>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</si>
  <si>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</si>
  <si>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</si>
  <si>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</si>
  <si>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</si>
  <si>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</si>
  <si>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</si>
  <si>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</si>
  <si>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</si>
  <si>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</si>
  <si>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</si>
  <si>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</si>
  <si>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</si>
  <si>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</si>
  <si>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</si>
  <si>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</si>
  <si>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</si>
  <si>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</si>
  <si>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</si>
  <si>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</si>
  <si>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</si>
  <si>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</si>
  <si>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</si>
  <si>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</si>
  <si>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</si>
  <si>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</si>
  <si>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</si>
  <si>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</si>
  <si>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</si>
  <si>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</si>
  <si>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</si>
  <si>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</si>
  <si>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</si>
  <si>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</si>
  <si>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</si>
  <si>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</si>
  <si>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</si>
  <si>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</si>
  <si>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</si>
  <si>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</si>
  <si>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</si>
  <si>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</si>
  <si>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</si>
  <si>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</si>
  <si>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</si>
  <si>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</si>
  <si>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</si>
  <si>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</si>
  <si>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</si>
  <si>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</si>
  <si>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</si>
  <si>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</si>
  <si>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</si>
  <si>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</si>
  <si>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</si>
  <si>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</si>
  <si>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</si>
  <si>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</si>
  <si>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</si>
  <si>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</si>
  <si>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</si>
  <si>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</si>
  <si>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</si>
  <si>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</si>
  <si>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</si>
  <si>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</si>
  <si>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</si>
  <si>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</si>
  <si>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</si>
  <si>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</si>
  <si>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</si>
  <si>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</si>
  <si>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</si>
  <si>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</si>
  <si>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</si>
  <si>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</si>
  <si>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</si>
  <si>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</si>
  <si>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</si>
  <si>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</si>
  <si>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</si>
  <si>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</si>
  <si>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</si>
  <si>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</si>
  <si>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</si>
  <si>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</si>
  <si>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</si>
  <si>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</si>
  <si>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</si>
  <si>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</si>
  <si>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</si>
  <si>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</si>
  <si>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</si>
  <si>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</si>
  <si>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</si>
  <si>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</si>
  <si>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</si>
  <si>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</si>
  <si>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</si>
  <si>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</si>
  <si>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</si>
  <si>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</si>
  <si>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</si>
  <si>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</si>
  <si>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</si>
  <si>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</si>
  <si>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</si>
  <si>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</si>
  <si>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</si>
  <si>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</si>
  <si>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</si>
  <si>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</si>
  <si>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</si>
  <si>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</si>
  <si>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</si>
  <si>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</si>
  <si>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</si>
  <si>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</si>
  <si>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</si>
  <si>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</si>
  <si>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</si>
  <si>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</si>
  <si>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</si>
  <si>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</si>
  <si>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</si>
  <si>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</si>
  <si>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</si>
  <si>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</si>
  <si>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</si>
  <si>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</si>
  <si>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</si>
  <si>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</si>
  <si>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</si>
  <si>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</si>
  <si>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</si>
  <si>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</si>
  <si>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</si>
  <si>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</si>
  <si>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</si>
  <si>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</si>
  <si>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</si>
  <si>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</si>
  <si>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</si>
  <si>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</si>
  <si>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</si>
  <si>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</si>
  <si>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</si>
  <si>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</si>
  <si>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</si>
  <si>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</si>
  <si>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</si>
  <si>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</si>
  <si>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</si>
  <si>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</si>
  <si>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</si>
  <si>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</si>
  <si>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</si>
  <si>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</si>
  <si>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</si>
  <si>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</si>
  <si>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</si>
  <si>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</si>
  <si>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</si>
  <si>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</si>
  <si>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</si>
  <si>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</si>
  <si>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</si>
  <si>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</si>
  <si>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</si>
  <si>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</si>
  <si>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</si>
  <si>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</si>
  <si>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</si>
  <si>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</si>
  <si>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</si>
  <si>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</si>
  <si>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</si>
  <si>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</si>
  <si>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</si>
  <si>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</si>
  <si>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</si>
  <si>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</si>
  <si>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</si>
  <si>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</si>
  <si>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</si>
  <si>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</si>
  <si>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</si>
  <si>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</si>
  <si>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</si>
  <si>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</si>
  <si>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</si>
  <si>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</si>
  <si>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</si>
  <si>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</si>
  <si>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</si>
  <si>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</si>
  <si>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</si>
  <si>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</si>
  <si>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</si>
  <si>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</si>
  <si>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</si>
  <si>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</si>
  <si>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</si>
  <si>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</si>
  <si>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</si>
  <si>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</si>
  <si>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</si>
  <si>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</si>
  <si>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</si>
  <si>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</si>
  <si>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</si>
  <si>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</si>
  <si>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</si>
  <si>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</si>
  <si>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</si>
  <si>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</si>
  <si>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</si>
  <si>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</si>
  <si>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</si>
  <si>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</si>
  <si>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</si>
  <si>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</si>
  <si>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</si>
  <si>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</si>
  <si>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</si>
  <si>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</si>
  <si>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</si>
  <si>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</si>
  <si>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</si>
  <si>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</si>
  <si>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</si>
  <si>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</si>
  <si>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</si>
  <si>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</si>
  <si>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</si>
  <si>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</si>
  <si>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</si>
  <si>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</si>
  <si>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</si>
  <si>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</si>
  <si>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</si>
  <si>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</si>
  <si>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</si>
  <si>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</si>
  <si>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</si>
  <si>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</si>
  <si>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</si>
  <si>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</si>
  <si>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</si>
  <si>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</si>
  <si>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</si>
  <si>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</si>
  <si>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</si>
  <si>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</si>
  <si>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</si>
  <si>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</si>
  <si>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</si>
  <si>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</si>
  <si>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</si>
  <si>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</si>
  <si>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</si>
  <si>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</si>
  <si>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</si>
  <si>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</si>
  <si>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</si>
  <si>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</si>
  <si>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</si>
  <si>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</si>
  <si>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</si>
  <si>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</si>
  <si>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</si>
  <si>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</si>
  <si>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</si>
  <si>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</si>
  <si>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</si>
  <si>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</si>
  <si>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</si>
  <si>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</si>
  <si>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</si>
  <si>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</si>
  <si>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</si>
  <si>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</si>
  <si>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</si>
  <si>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</si>
  <si>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</si>
  <si>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</si>
  <si>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</si>
  <si>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</si>
  <si>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</si>
  <si>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</si>
  <si>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</si>
  <si>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</si>
  <si>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</si>
  <si>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</si>
  <si>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</si>
  <si>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</si>
  <si>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</si>
  <si>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</si>
  <si>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</si>
  <si>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</si>
  <si>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</si>
  <si>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</si>
  <si>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</si>
  <si>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</si>
  <si>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</si>
  <si>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</si>
  <si>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</si>
  <si>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</si>
  <si>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</si>
  <si>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</si>
  <si>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</si>
  <si>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</si>
  <si>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</si>
  <si>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</si>
  <si>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</si>
  <si>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</si>
  <si>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</si>
  <si>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</si>
  <si>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</si>
  <si>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Price calculator 2023-03-30</t>
  </si>
  <si>
    <t>Priskalkulator 30.03.2023</t>
  </si>
  <si>
    <t>Priskalkylator 2023-03-30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</si>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</sst>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9" formatCode="#,##0.00\ [$€-1];\-#,##0.00\ [$€-1]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6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0" xfId="0" applyNumberFormat="1" applyFont="1" applyFill="1" applyAlignment="1" applyProtection="1">
      <alignment horizontal="right" vertical="center" indent="1"/>
      <protection hidden="1"/>
    </xf>
    <xf numFmtId="189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9" fontId="4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indent="1" readingOrder="1"/>
      <protection hidden="1"/>
    </xf>
    <xf numFmtId="189" fontId="34" fillId="0" borderId="0" xfId="0" applyNumberFormat="1" applyFont="1" applyAlignment="1" applyProtection="1">
      <alignment horizontal="right" indent="1" readingOrder="1"/>
      <protection hidden="1"/>
    </xf>
    <xf numFmtId="189" fontId="9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indent="1" readingOrder="1"/>
      <protection hidden="1"/>
    </xf>
    <xf numFmtId="189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37" fillId="0" borderId="0" xfId="0" applyNumberFormat="1" applyFont="1" applyAlignment="1" applyProtection="1">
      <alignment horizontal="right" vertical="center" indent="1" readingOrder="1"/>
      <protection hidden="1"/>
    </xf>
    <xf numFmtId="189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vertical="top" indent="1"/>
      <protection hidden="1"/>
    </xf>
    <xf numFmtId="18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9" fillId="0" borderId="0" xfId="0" applyNumberFormat="1" applyFont="1" applyAlignment="1" applyProtection="1">
      <alignment horizontal="right" indent="1"/>
      <protection hidden="1"/>
    </xf>
    <xf numFmtId="189" fontId="6" fillId="0" borderId="0" xfId="0" applyNumberFormat="1" applyFont="1" applyAlignment="1" applyProtection="1">
      <alignment horizontal="right" indent="1"/>
      <protection hidden="1"/>
    </xf>
    <xf numFmtId="189" fontId="28" fillId="0" borderId="0" xfId="0" applyNumberFormat="1" applyFont="1" applyAlignment="1" applyProtection="1">
      <alignment horizontal="right" vertical="center" indent="1"/>
      <protection hidden="1"/>
    </xf>
    <xf numFmtId="189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 readingOrder="1"/>
      <protection hidden="1"/>
    </xf>
    <xf numFmtId="189" fontId="16" fillId="0" borderId="0" xfId="0" applyNumberFormat="1" applyFont="1" applyAlignment="1" applyProtection="1">
      <alignment horizontal="right" vertical="center" indent="1"/>
      <protection hidden="1"/>
    </xf>
    <xf numFmtId="189" fontId="7" fillId="0" borderId="0" xfId="0" applyNumberFormat="1" applyFont="1" applyAlignment="1" applyProtection="1">
      <alignment horizontal="right" vertical="top" indent="1" readingOrder="1"/>
      <protection hidden="1"/>
    </xf>
    <xf numFmtId="18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9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9" fontId="38" fillId="0" borderId="0" xfId="0" applyNumberFormat="1" applyFont="1" applyAlignment="1" applyProtection="1">
      <alignment horizontal="right" vertical="center" indent="1"/>
      <protection hidden="1"/>
    </xf>
    <xf numFmtId="18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59" fillId="0" borderId="0" xfId="0" applyNumberFormat="1" applyFont="1" applyAlignment="1" applyProtection="1">
      <alignment horizontal="right" vertical="center" indent="1" readingOrder="1"/>
      <protection hidden="1"/>
    </xf>
    <xf numFmtId="18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9" fontId="9" fillId="0" borderId="6" xfId="0" applyNumberFormat="1" applyFont="1" applyBorder="1" applyAlignment="1" applyProtection="1">
      <alignment horizontal="right" vertical="center" indent="1"/>
      <protection hidden="1"/>
    </xf>
    <xf numFmtId="189" fontId="6" fillId="4" borderId="0" xfId="0" applyNumberFormat="1" applyFont="1" applyFill="1" applyAlignment="1" applyProtection="1">
      <alignment horizontal="center" vertical="center" readingOrder="1"/>
      <protection hidden="1"/>
    </xf>
    <xf numFmtId="189" fontId="6" fillId="0" borderId="0" xfId="0" applyNumberFormat="1" applyFont="1" applyAlignment="1" applyProtection="1">
      <alignment horizontal="center" vertical="center" readingOrder="1"/>
      <protection hidden="1"/>
    </xf>
    <xf numFmtId="189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9" fontId="25" fillId="0" borderId="0" xfId="0" applyNumberFormat="1" applyFont="1" applyAlignment="1" applyProtection="1">
      <alignment horizontal="right" vertical="center" indent="1"/>
      <protection hidden="1"/>
    </xf>
    <xf numFmtId="189" fontId="9" fillId="0" borderId="0" xfId="0" applyNumberFormat="1" applyFont="1" applyAlignment="1" applyProtection="1">
      <alignment horizontal="right" vertical="top"/>
      <protection hidden="1"/>
    </xf>
    <xf numFmtId="189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9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7" fillId="4" borderId="0" xfId="0" applyNumberFormat="1" applyFont="1" applyFill="1" applyAlignment="1" applyProtection="1">
      <alignment horizontal="right" indent="1" readingOrder="1"/>
      <protection hidden="1"/>
    </xf>
    <xf numFmtId="189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37" fillId="4" borderId="0" xfId="0" applyNumberFormat="1" applyFont="1" applyFill="1" applyAlignment="1" applyProtection="1">
      <alignment horizontal="right" indent="1" readingOrder="1"/>
      <protection hidden="1"/>
    </xf>
    <xf numFmtId="189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 readingOrder="1"/>
      <protection hidden="1"/>
    </xf>
    <xf numFmtId="189" fontId="47" fillId="0" borderId="0" xfId="0" applyNumberFormat="1" applyFont="1" applyAlignment="1" applyProtection="1">
      <alignment horizontal="right" vertical="center" indent="1"/>
      <protection hidden="1"/>
    </xf>
    <xf numFmtId="18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9" fontId="37" fillId="4" borderId="6" xfId="0" applyNumberFormat="1" applyFont="1" applyFill="1" applyBorder="1" applyAlignment="1" applyProtection="1">
      <alignment horizontal="right" readingOrder="1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53" fillId="0" borderId="0" xfId="0" applyFont="1" applyProtection="1">
      <protection hidden="1"/>
    </xf>
    <xf numFmtId="0" fontId="9" fillId="0" borderId="0" xfId="0" applyFont="1" applyAlignment="1" applyProtection="1">
      <alignment horizontal="left" vertical="top"/>
      <protection locked="0"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2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6"/>
  <sheetViews>
    <sheetView showGridLines="0" zoomScale="120" zoomScaleNormal="120" zoomScaleSheetLayoutView="100" workbookViewId="0">
      <selection activeCell="I80" sqref="I80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632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608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400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3" t="s">
        <v>666</v>
      </c>
      <c r="C24" s="1093"/>
      <c r="D24" s="1093"/>
      <c r="E24" s="1093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638</v>
      </c>
      <c r="E25" s="131" t="s">
        <v>637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639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640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641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642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643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644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645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646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647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648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649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650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651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665</v>
      </c>
      <c r="C43" s="650"/>
      <c r="D43" s="650"/>
      <c r="K43" s="842"/>
      <c r="M43" s="664"/>
    </row>
    <row r="44" spans="2:19" ht="25" customHeight="1">
      <c r="B44" s="1093" t="s">
        <v>666</v>
      </c>
      <c r="C44" s="1093"/>
      <c r="D44" s="1093"/>
      <c r="E44" s="1093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652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653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654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655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">
        <v>656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657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658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659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660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661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603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603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19" t="s">
        <v>609</v>
      </c>
      <c r="C86" s="919"/>
      <c r="D86" s="919"/>
      <c r="E86" s="919"/>
      <c r="F86" s="919"/>
      <c r="G86" s="919"/>
      <c r="H86" s="919"/>
      <c r="I86" s="919"/>
      <c r="J86" s="919"/>
      <c r="K86" s="919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919"/>
      <c r="I87" s="919"/>
      <c r="J87" s="919"/>
      <c r="K87" s="919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919"/>
      <c r="I88" s="919"/>
      <c r="J88" s="919"/>
      <c r="K88" s="919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616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437</v>
      </c>
      <c r="D131" s="920"/>
      <c r="E131" s="920" t="s">
        <v>438</v>
      </c>
      <c r="F131" s="920"/>
      <c r="G131" s="920" t="s">
        <v>228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436</v>
      </c>
      <c r="F132" s="928"/>
      <c r="G132" s="922">
        <v>15000</v>
      </c>
      <c r="H132" s="923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435</v>
      </c>
      <c r="D133" s="927"/>
      <c r="E133" s="929" t="s">
        <v>439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234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29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555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554" t="str">
        <f>PAAS_openshift_SEK</f>
        <v>Begär offert</v>
      </c>
      <c r="M172" s="664"/>
      <c r="N172" s="742"/>
      <c r="O172" s="8"/>
    </row>
    <row r="173" spans="2:18" ht="25" customHeight="1">
      <c r="B173" s="134" t="s">
        <v>483</v>
      </c>
      <c r="C173" s="129"/>
      <c r="D173" s="30"/>
      <c r="E173" s="30" t="s">
        <v>147</v>
      </c>
      <c r="F173" s="30"/>
      <c r="G173" s="30"/>
      <c r="H173" s="30"/>
      <c r="I173" s="30"/>
      <c r="J173" s="40"/>
      <c r="K173" s="555" t="str">
        <f>PAAS_man.nats_SEK</f>
        <v>Begär offert</v>
      </c>
      <c r="M173" s="664"/>
      <c r="N173" s="742"/>
      <c r="O173" s="8"/>
    </row>
    <row r="174" spans="2:18" ht="25" customHeight="1">
      <c r="B174" s="137" t="s">
        <v>484</v>
      </c>
      <c r="C174" s="130"/>
      <c r="D174" s="38"/>
      <c r="E174" s="38" t="s">
        <v>150</v>
      </c>
      <c r="F174" s="771"/>
      <c r="G174" s="771"/>
      <c r="H174" s="771"/>
      <c r="I174" s="771"/>
      <c r="J174" s="779"/>
      <c r="K174" s="554" t="str">
        <f>PAAS_man.mariadb_SEK</f>
        <v>Begär offert</v>
      </c>
      <c r="M174" s="664"/>
      <c r="N174" s="742"/>
      <c r="O174" s="8"/>
    </row>
    <row r="175" spans="2:18" ht="25" customHeight="1">
      <c r="B175" s="134" t="s">
        <v>442</v>
      </c>
      <c r="C175" s="129"/>
      <c r="D175" s="30"/>
      <c r="E175" s="30" t="s">
        <v>144</v>
      </c>
      <c r="F175" s="30"/>
      <c r="G175" s="30"/>
      <c r="H175" s="30"/>
      <c r="I175" s="30"/>
      <c r="J175" s="40"/>
      <c r="K175" s="555" t="s">
        <v>247</v>
      </c>
      <c r="M175" s="664"/>
      <c r="N175" s="742"/>
      <c r="O175" s="8"/>
    </row>
    <row r="176" spans="2:18" ht="25" customHeight="1">
      <c r="B176" s="106"/>
      <c r="C176" s="103"/>
      <c r="D176" s="397"/>
      <c r="E176" s="105"/>
      <c r="F176" s="777"/>
      <c r="G176" s="777"/>
      <c r="H176" s="777"/>
      <c r="I176" s="777"/>
      <c r="J176" s="778"/>
      <c r="K176" s="857"/>
      <c r="M176" s="664"/>
      <c r="N176" s="742"/>
      <c r="O176" s="8"/>
    </row>
    <row r="177" spans="2:20" ht="25" customHeight="1">
      <c r="B177" s="137"/>
      <c r="C177" s="130"/>
      <c r="D177" s="38"/>
      <c r="E177" s="31"/>
      <c r="F177" s="771"/>
      <c r="G177" s="779"/>
      <c r="H177" s="773"/>
      <c r="I177" s="441"/>
      <c r="M177" s="664"/>
    </row>
    <row r="178" spans="2:20" ht="25" customHeight="1">
      <c r="B178" s="417"/>
      <c r="C178" s="26"/>
      <c r="D178" s="26"/>
      <c r="E178" s="26"/>
      <c r="F178" s="760"/>
      <c r="G178" s="761"/>
      <c r="H178" s="26"/>
      <c r="I178" s="740"/>
      <c r="K178" s="846"/>
      <c r="L178" s="742"/>
      <c r="M178" s="664"/>
      <c r="N178" s="675"/>
      <c r="O178" s="675"/>
    </row>
    <row r="179" spans="2:20" s="4" customFormat="1" ht="25" customHeight="1">
      <c r="B179" s="919" t="s">
        <v>243</v>
      </c>
      <c r="C179" s="919"/>
      <c r="D179" s="919"/>
      <c r="E179" s="919"/>
      <c r="F179" s="919"/>
      <c r="G179" s="919"/>
      <c r="H179" s="780"/>
      <c r="J179" s="674"/>
      <c r="K179" s="833"/>
      <c r="M179" s="664"/>
    </row>
    <row r="180" spans="2:20" s="4" customFormat="1" ht="25" customHeight="1">
      <c r="B180" s="919"/>
      <c r="C180" s="919"/>
      <c r="D180" s="919"/>
      <c r="E180" s="919"/>
      <c r="F180" s="919"/>
      <c r="G180" s="919"/>
      <c r="H180" s="780"/>
      <c r="J180" s="674"/>
      <c r="K180" s="833"/>
      <c r="M180" s="664"/>
    </row>
    <row r="181" spans="2:20" s="4" customFormat="1" ht="25" customHeight="1">
      <c r="B181" s="919"/>
      <c r="C181" s="919"/>
      <c r="D181" s="919"/>
      <c r="E181" s="919"/>
      <c r="F181" s="919"/>
      <c r="G181" s="919"/>
      <c r="H181" s="780"/>
      <c r="J181" s="674"/>
      <c r="K181" s="833"/>
      <c r="M181" s="664"/>
    </row>
    <row r="182" spans="2:20" s="4" customFormat="1" ht="25" customHeight="1">
      <c r="B182" s="939" t="s">
        <v>506</v>
      </c>
      <c r="C182" s="939"/>
      <c r="D182" s="939"/>
      <c r="E182" s="939"/>
      <c r="F182" s="939"/>
      <c r="H182" s="780"/>
      <c r="J182" s="674"/>
      <c r="K182" s="833"/>
      <c r="M182" s="664"/>
    </row>
    <row r="183" spans="2:20" s="4" customFormat="1" ht="25" customHeight="1">
      <c r="B183" s="935" t="s">
        <v>412</v>
      </c>
      <c r="C183" s="935"/>
      <c r="D183" s="935"/>
      <c r="E183" s="935"/>
      <c r="F183" s="935"/>
      <c r="G183" s="677"/>
      <c r="H183" s="678"/>
      <c r="I183" s="677"/>
      <c r="J183" s="679"/>
      <c r="K183" s="834"/>
      <c r="L183" s="677"/>
      <c r="M183" s="664"/>
    </row>
    <row r="184" spans="2:20" s="4" customFormat="1" ht="25" customHeight="1">
      <c r="B184" s="465"/>
      <c r="C184" s="133"/>
      <c r="D184" s="133"/>
      <c r="E184" s="133"/>
      <c r="F184" s="133"/>
      <c r="G184" s="677"/>
      <c r="H184" s="678"/>
      <c r="I184" s="677"/>
      <c r="J184" s="679"/>
      <c r="K184" s="834"/>
      <c r="L184" s="677"/>
      <c r="M184" s="664"/>
    </row>
    <row r="185" spans="2:20" ht="25" customHeight="1">
      <c r="B185" s="649" t="s">
        <v>152</v>
      </c>
      <c r="C185" s="13"/>
      <c r="D185" s="13"/>
      <c r="F185" s="13"/>
      <c r="G185" s="13"/>
      <c r="H185" s="13"/>
      <c r="I185" s="13"/>
      <c r="J185" s="13"/>
      <c r="K185" s="858"/>
      <c r="L185" s="13"/>
      <c r="M185" s="664"/>
      <c r="O185" s="742"/>
      <c r="P185" s="742"/>
      <c r="Q185" s="8"/>
      <c r="S185" s="675"/>
      <c r="T185" s="675"/>
    </row>
    <row r="186" spans="2:20" ht="25" customHeight="1">
      <c r="B186" s="628" t="s">
        <v>502</v>
      </c>
      <c r="M186" s="664"/>
    </row>
    <row r="187" spans="2:20" ht="25" customHeight="1">
      <c r="B187" s="470" t="s">
        <v>208</v>
      </c>
      <c r="C187" s="23"/>
      <c r="D187" s="23" t="s">
        <v>220</v>
      </c>
      <c r="E187" s="132"/>
      <c r="F187" s="24"/>
      <c r="G187" s="131"/>
      <c r="H187" s="131"/>
      <c r="I187" s="23" t="s">
        <v>236</v>
      </c>
      <c r="J187" s="23"/>
      <c r="K187" s="612" t="s">
        <v>92</v>
      </c>
      <c r="L187" s="740"/>
      <c r="M187" s="664"/>
      <c r="N187" s="742"/>
      <c r="O187" s="8"/>
      <c r="Q187" s="675"/>
      <c r="R187" s="675"/>
    </row>
    <row r="188" spans="2:20" ht="25" customHeight="1">
      <c r="B188" s="134" t="s">
        <v>485</v>
      </c>
      <c r="C188" s="129"/>
      <c r="D188" s="30" t="s">
        <v>413</v>
      </c>
      <c r="E188" s="40"/>
      <c r="F188" s="30"/>
      <c r="G188" s="40"/>
      <c r="H188" s="40"/>
      <c r="I188" s="775" t="s">
        <v>94</v>
      </c>
      <c r="J188" s="775"/>
      <c r="K188" s="555">
        <v>0</v>
      </c>
      <c r="L188" s="740"/>
      <c r="M188" s="664"/>
      <c r="N188" s="742"/>
      <c r="O188" s="8"/>
      <c r="Q188" s="675"/>
      <c r="R188" s="675"/>
    </row>
    <row r="189" spans="2:20" ht="25" customHeight="1">
      <c r="B189" s="137" t="s">
        <v>486</v>
      </c>
      <c r="C189" s="130"/>
      <c r="D189" s="38" t="s">
        <v>156</v>
      </c>
      <c r="E189" s="31"/>
      <c r="F189" s="771"/>
      <c r="G189" s="779"/>
      <c r="H189" s="779"/>
      <c r="I189" s="773" t="s">
        <v>244</v>
      </c>
      <c r="J189" s="773"/>
      <c r="K189" s="554" t="s">
        <v>499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487</v>
      </c>
      <c r="C190" s="129"/>
      <c r="D190" s="30" t="s">
        <v>160</v>
      </c>
      <c r="E190" s="129"/>
      <c r="F190" s="129"/>
      <c r="G190" s="129"/>
      <c r="H190" s="40"/>
      <c r="I190" s="770" t="s">
        <v>246</v>
      </c>
      <c r="J190" s="770"/>
      <c r="K190" s="555" t="s">
        <v>247</v>
      </c>
      <c r="L190" s="740"/>
      <c r="M190" s="664"/>
      <c r="N190" s="742"/>
      <c r="O190" s="8"/>
      <c r="Q190" s="675"/>
      <c r="R190" s="675"/>
    </row>
    <row r="191" spans="2:20" ht="25" customHeight="1">
      <c r="B191" s="106"/>
      <c r="C191" s="103"/>
      <c r="D191" s="103"/>
      <c r="E191" s="105"/>
      <c r="F191" s="777"/>
      <c r="G191" s="778"/>
      <c r="H191" s="778"/>
      <c r="I191" s="781"/>
      <c r="J191" s="781"/>
      <c r="K191" s="857"/>
      <c r="L191" s="740"/>
      <c r="M191" s="664"/>
      <c r="N191" s="742"/>
      <c r="O191" s="8"/>
      <c r="Q191" s="675"/>
      <c r="R191" s="675"/>
    </row>
    <row r="192" spans="2:20" ht="25" customHeight="1">
      <c r="B192" s="137"/>
      <c r="C192" s="130"/>
      <c r="D192" s="38"/>
      <c r="E192" s="31"/>
      <c r="F192" s="771"/>
      <c r="G192" s="779"/>
      <c r="H192" s="779"/>
      <c r="I192" s="773"/>
      <c r="J192" s="773"/>
      <c r="K192" s="554"/>
      <c r="L192" s="740"/>
      <c r="M192" s="664"/>
      <c r="N192" s="742"/>
      <c r="O192" s="8"/>
      <c r="Q192" s="675"/>
      <c r="R192" s="675"/>
    </row>
    <row r="193" spans="2:18" s="651" customFormat="1" ht="25" customHeight="1">
      <c r="B193" s="649" t="s">
        <v>249</v>
      </c>
      <c r="C193" s="878"/>
      <c r="D193" s="878"/>
      <c r="F193" s="878"/>
      <c r="G193" s="878"/>
      <c r="H193" s="878"/>
      <c r="I193" s="879"/>
      <c r="J193" s="879"/>
      <c r="K193" s="704"/>
      <c r="L193" s="880"/>
      <c r="M193" s="664"/>
      <c r="N193" s="881"/>
      <c r="O193" s="882"/>
      <c r="Q193" s="882"/>
      <c r="R193" s="882"/>
    </row>
    <row r="194" spans="2:18" ht="25" customHeight="1">
      <c r="B194" s="628" t="s">
        <v>503</v>
      </c>
      <c r="M194" s="664"/>
    </row>
    <row r="195" spans="2:18" ht="25" customHeight="1">
      <c r="B195" s="470" t="s">
        <v>208</v>
      </c>
      <c r="C195" s="23"/>
      <c r="D195" s="23" t="s">
        <v>220</v>
      </c>
      <c r="E195" s="132"/>
      <c r="F195" s="24"/>
      <c r="G195" s="131"/>
      <c r="H195" s="131"/>
      <c r="I195" s="23" t="s">
        <v>236</v>
      </c>
      <c r="J195" s="23"/>
      <c r="K195" s="612" t="s">
        <v>92</v>
      </c>
      <c r="L195" s="740"/>
      <c r="M195" s="664"/>
      <c r="N195" s="742"/>
      <c r="O195" s="8"/>
      <c r="Q195" s="675"/>
      <c r="R195" s="675"/>
    </row>
    <row r="196" spans="2:18" ht="25" customHeight="1">
      <c r="B196" s="134" t="s">
        <v>488</v>
      </c>
      <c r="C196" s="129"/>
      <c r="D196" s="30" t="s">
        <v>166</v>
      </c>
      <c r="E196" s="40"/>
      <c r="F196" s="30"/>
      <c r="G196" s="40"/>
      <c r="H196" s="40"/>
      <c r="I196" s="770" t="s">
        <v>246</v>
      </c>
      <c r="J196" s="770"/>
      <c r="K196" s="629">
        <f>PS_consult.jun_SEK</f>
        <v>1127</v>
      </c>
      <c r="L196" s="740"/>
      <c r="M196" s="664"/>
      <c r="N196" s="742"/>
      <c r="O196" s="8"/>
      <c r="Q196" s="675"/>
      <c r="R196" s="675"/>
    </row>
    <row r="197" spans="2:18" ht="25" customHeight="1">
      <c r="B197" s="137" t="s">
        <v>489</v>
      </c>
      <c r="C197" s="130"/>
      <c r="D197" s="38" t="s">
        <v>168</v>
      </c>
      <c r="E197" s="31"/>
      <c r="F197" s="771"/>
      <c r="G197" s="779"/>
      <c r="H197" s="779"/>
      <c r="I197" s="773" t="s">
        <v>246</v>
      </c>
      <c r="J197" s="773"/>
      <c r="K197" s="867">
        <f>PS_consult.sen_SEK</f>
        <v>1374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490</v>
      </c>
      <c r="C198" s="129"/>
      <c r="D198" s="30" t="s">
        <v>170</v>
      </c>
      <c r="E198" s="40"/>
      <c r="F198" s="30"/>
      <c r="G198" s="40"/>
      <c r="H198" s="40"/>
      <c r="I198" s="770" t="s">
        <v>246</v>
      </c>
      <c r="J198" s="770"/>
      <c r="K198" s="629">
        <f>PS_cloudarch.jun_SEK</f>
        <v>1277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491</v>
      </c>
      <c r="C199" s="130"/>
      <c r="D199" s="38" t="s">
        <v>172</v>
      </c>
      <c r="E199" s="38"/>
      <c r="F199" s="38"/>
      <c r="G199" s="779"/>
      <c r="H199" s="779"/>
      <c r="I199" s="773" t="s">
        <v>246</v>
      </c>
      <c r="J199" s="773"/>
      <c r="K199" s="867">
        <f>PS_cloudarch.sen_SEK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492</v>
      </c>
      <c r="C200" s="129"/>
      <c r="D200" s="30" t="s">
        <v>174</v>
      </c>
      <c r="E200" s="40"/>
      <c r="F200" s="30"/>
      <c r="G200" s="40"/>
      <c r="H200" s="40"/>
      <c r="I200" s="770" t="s">
        <v>246</v>
      </c>
      <c r="J200" s="770"/>
      <c r="K200" s="629">
        <f>PS_pm.jun_SEK</f>
        <v>1139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493</v>
      </c>
      <c r="C201" s="130"/>
      <c r="D201" s="38" t="s">
        <v>176</v>
      </c>
      <c r="E201" s="31"/>
      <c r="F201" s="771"/>
      <c r="G201" s="779"/>
      <c r="H201" s="779"/>
      <c r="I201" s="773" t="s">
        <v>246</v>
      </c>
      <c r="J201" s="773"/>
      <c r="K201" s="867">
        <f>PS_pm.sen_SEK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06"/>
      <c r="C202" s="103"/>
      <c r="D202" s="397"/>
      <c r="E202" s="105"/>
      <c r="F202" s="777"/>
      <c r="G202" s="778"/>
      <c r="H202" s="778"/>
      <c r="I202" s="781"/>
      <c r="J202" s="781"/>
      <c r="K202" s="857"/>
      <c r="L202" s="740"/>
      <c r="M202" s="664"/>
      <c r="N202" s="742"/>
      <c r="O202" s="8"/>
      <c r="Q202" s="675"/>
      <c r="R202" s="675"/>
    </row>
    <row r="203" spans="2:18" ht="25" customHeight="1">
      <c r="B203" s="137"/>
      <c r="C203" s="130"/>
      <c r="D203" s="38"/>
      <c r="E203" s="31"/>
      <c r="F203" s="771"/>
      <c r="G203" s="779"/>
      <c r="H203" s="779"/>
      <c r="I203" s="773"/>
      <c r="J203" s="773"/>
      <c r="K203" s="554"/>
      <c r="M203" s="664"/>
      <c r="N203" s="742"/>
      <c r="O203" s="8"/>
    </row>
    <row r="204" spans="2:18" ht="25" customHeight="1">
      <c r="B204" s="649" t="s">
        <v>250</v>
      </c>
      <c r="C204" s="13"/>
      <c r="D204" s="13"/>
      <c r="F204" s="13"/>
      <c r="G204" s="13"/>
      <c r="H204" s="13"/>
      <c r="I204" s="776"/>
      <c r="J204" s="776"/>
      <c r="L204" s="740"/>
      <c r="M204" s="664"/>
      <c r="N204" s="742"/>
      <c r="O204" s="8"/>
      <c r="Q204" s="675"/>
      <c r="R204" s="675"/>
    </row>
    <row r="205" spans="2:18" ht="25" customHeight="1">
      <c r="B205" s="628" t="s">
        <v>504</v>
      </c>
      <c r="M205" s="664"/>
    </row>
    <row r="206" spans="2:18" ht="25" customHeight="1">
      <c r="B206" s="470" t="s">
        <v>208</v>
      </c>
      <c r="C206" s="23"/>
      <c r="D206" s="23" t="s">
        <v>220</v>
      </c>
      <c r="E206" s="132"/>
      <c r="F206" s="24"/>
      <c r="G206" s="23" t="s">
        <v>251</v>
      </c>
      <c r="H206" s="23"/>
      <c r="I206" s="23" t="s">
        <v>236</v>
      </c>
      <c r="J206" s="23"/>
      <c r="K206" s="612" t="s">
        <v>92</v>
      </c>
      <c r="L206" s="740"/>
      <c r="M206" s="664"/>
      <c r="N206" s="742"/>
      <c r="O206" s="8"/>
      <c r="Q206" s="675"/>
      <c r="R206" s="675"/>
    </row>
    <row r="207" spans="2:18" ht="25" customHeight="1">
      <c r="B207" s="134" t="s">
        <v>633</v>
      </c>
      <c r="C207" s="129"/>
      <c r="D207" s="30" t="s">
        <v>252</v>
      </c>
      <c r="E207" s="40"/>
      <c r="F207" s="30"/>
      <c r="G207" s="770" t="s">
        <v>253</v>
      </c>
      <c r="H207" s="770"/>
      <c r="I207" s="770" t="s">
        <v>254</v>
      </c>
      <c r="J207" s="770"/>
      <c r="K207" s="555" t="s">
        <v>247</v>
      </c>
      <c r="L207" s="740"/>
      <c r="M207" s="664"/>
      <c r="N207" s="742"/>
      <c r="O207" s="8"/>
      <c r="Q207" s="675"/>
      <c r="R207" s="675"/>
    </row>
    <row r="208" spans="2:18" ht="25" customHeight="1">
      <c r="B208" s="137" t="s">
        <v>634</v>
      </c>
      <c r="C208" s="130"/>
      <c r="D208" s="38" t="s">
        <v>255</v>
      </c>
      <c r="E208" s="31"/>
      <c r="F208" s="771"/>
      <c r="G208" s="773" t="s">
        <v>253</v>
      </c>
      <c r="H208" s="773"/>
      <c r="I208" s="773" t="s">
        <v>254</v>
      </c>
      <c r="J208" s="773"/>
      <c r="K208" s="554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635</v>
      </c>
      <c r="C209" s="129"/>
      <c r="D209" s="30" t="s">
        <v>256</v>
      </c>
      <c r="E209" s="40"/>
      <c r="F209" s="30"/>
      <c r="G209" s="770" t="s">
        <v>257</v>
      </c>
      <c r="H209" s="770"/>
      <c r="I209" s="770" t="s">
        <v>254</v>
      </c>
      <c r="J209" s="770"/>
      <c r="K209" s="555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636</v>
      </c>
      <c r="C210" s="130"/>
      <c r="D210" s="38" t="s">
        <v>258</v>
      </c>
      <c r="E210" s="31"/>
      <c r="F210" s="771"/>
      <c r="G210" s="773" t="s">
        <v>257</v>
      </c>
      <c r="H210" s="773"/>
      <c r="I210" s="773" t="s">
        <v>254</v>
      </c>
      <c r="J210" s="773"/>
      <c r="K210" s="554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06"/>
      <c r="C211" s="103"/>
      <c r="D211" s="397"/>
      <c r="E211" s="105"/>
      <c r="F211" s="777"/>
      <c r="G211" s="778"/>
      <c r="H211" s="778"/>
      <c r="I211" s="778"/>
      <c r="J211" s="778"/>
      <c r="K211" s="857"/>
      <c r="L211" s="740"/>
      <c r="M211" s="664"/>
      <c r="N211" s="742"/>
      <c r="O211" s="8"/>
      <c r="Q211" s="675"/>
      <c r="R211" s="675"/>
    </row>
    <row r="212" spans="1:18" ht="25" customHeight="1">
      <c r="B212" s="417"/>
      <c r="C212" s="26"/>
      <c r="D212" s="26"/>
      <c r="E212" s="26"/>
      <c r="F212" s="760"/>
      <c r="G212" s="761"/>
      <c r="H212" s="740"/>
      <c r="I212" s="740"/>
      <c r="J212" s="740"/>
      <c r="K212" s="847"/>
      <c r="L212" s="742"/>
      <c r="M212" s="664"/>
      <c r="N212" s="675"/>
      <c r="O212" s="675"/>
    </row>
    <row r="213" spans="1:18" ht="25" customHeight="1">
      <c r="A213" s="769"/>
      <c r="B213" s="640"/>
      <c r="C213" s="60"/>
      <c r="D213" s="60"/>
      <c r="E213" s="60"/>
      <c r="F213" s="782"/>
      <c r="G213" s="783"/>
      <c r="H213" s="784"/>
      <c r="I213" s="785"/>
      <c r="J213" s="786"/>
      <c r="K213" s="859"/>
      <c r="L213" s="787"/>
      <c r="M213" s="664"/>
      <c r="N213" s="675"/>
      <c r="O213" s="675"/>
    </row>
    <row r="214" spans="1:18" s="4" customFormat="1" ht="25" customHeight="1">
      <c r="A214" s="3"/>
      <c r="B214" s="641"/>
      <c r="C214" s="54"/>
      <c r="D214" s="54"/>
      <c r="E214" s="54"/>
      <c r="F214" s="788"/>
      <c r="G214" s="789"/>
      <c r="H214" s="790"/>
      <c r="I214" s="791"/>
      <c r="J214" s="792"/>
      <c r="K214" s="860"/>
      <c r="L214" s="3"/>
      <c r="M214" s="664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937" t="s">
        <v>259</v>
      </c>
      <c r="C217" s="937"/>
      <c r="D217" s="937"/>
      <c r="E217" s="937"/>
      <c r="F217" s="937"/>
      <c r="G217" s="937"/>
      <c r="H217" s="666"/>
      <c r="I217" s="793"/>
      <c r="J217" s="3"/>
      <c r="K217" s="831"/>
      <c r="L217" s="3"/>
      <c r="M217" s="664"/>
    </row>
    <row r="218" spans="1:18" s="4" customFormat="1" ht="25" customHeight="1">
      <c r="A218" s="3"/>
      <c r="B218" s="937"/>
      <c r="C218" s="937"/>
      <c r="D218" s="937"/>
      <c r="E218" s="937"/>
      <c r="F218" s="937"/>
      <c r="G218" s="937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37"/>
      <c r="C219" s="937"/>
      <c r="D219" s="937"/>
      <c r="E219" s="937"/>
      <c r="F219" s="937"/>
      <c r="G219" s="937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38" t="s">
        <v>412</v>
      </c>
      <c r="C220" s="938"/>
      <c r="D220" s="938"/>
      <c r="E220" s="938"/>
      <c r="F220" s="938"/>
      <c r="G220" s="3"/>
      <c r="H220" s="666"/>
      <c r="I220" s="793"/>
      <c r="J220" s="3"/>
      <c r="K220" s="831"/>
      <c r="L220" s="794"/>
      <c r="M220" s="664"/>
    </row>
    <row r="221" spans="1:18" s="4" customFormat="1" ht="25" customHeight="1">
      <c r="A221" s="3"/>
      <c r="B221" s="634"/>
      <c r="C221" s="62"/>
      <c r="D221" s="62"/>
      <c r="E221" s="62"/>
      <c r="F221" s="62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422" t="s">
        <v>494</v>
      </c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18" t="s">
        <v>202</v>
      </c>
      <c r="C223" s="62"/>
      <c r="D223" s="62"/>
      <c r="E223" s="62"/>
      <c r="F223" s="62"/>
      <c r="G223" s="3"/>
      <c r="H223" s="666"/>
      <c r="I223" s="3"/>
      <c r="J223" s="667"/>
      <c r="K223" s="831"/>
      <c r="L223" s="794"/>
      <c r="M223" s="664"/>
    </row>
    <row r="224" spans="1:18" s="4" customFormat="1" ht="25" customHeight="1">
      <c r="A224" s="3"/>
      <c r="B224" s="913" t="s">
        <v>627</v>
      </c>
      <c r="C224" s="67"/>
      <c r="D224" s="67"/>
      <c r="E224" s="67"/>
      <c r="F224" s="67"/>
      <c r="G224" s="794"/>
      <c r="H224" s="795"/>
      <c r="I224" s="794"/>
      <c r="J224" s="796"/>
      <c r="K224" s="861"/>
      <c r="L224" s="794"/>
      <c r="M224" s="664"/>
    </row>
    <row r="225" spans="1:20" s="715" customFormat="1" ht="25" customHeight="1">
      <c r="A225" s="797"/>
      <c r="B225" s="883"/>
      <c r="C225" s="135"/>
      <c r="D225" s="135"/>
      <c r="E225" s="135"/>
      <c r="F225" s="135"/>
      <c r="G225" s="794"/>
      <c r="H225" s="795"/>
      <c r="I225" s="794"/>
      <c r="J225" s="796"/>
      <c r="K225" s="861"/>
      <c r="L225" s="797"/>
      <c r="M225" s="664"/>
      <c r="N225" s="798"/>
      <c r="O225" s="729"/>
      <c r="P225" s="729"/>
      <c r="Q225" s="729"/>
      <c r="R225" s="729"/>
      <c r="S225" s="729"/>
      <c r="T225" s="729"/>
    </row>
    <row r="226" spans="1:20" ht="25" customHeight="1">
      <c r="A226" s="2"/>
      <c r="B226" s="642" t="s">
        <v>495</v>
      </c>
      <c r="C226" s="56"/>
      <c r="D226" s="57"/>
      <c r="E226" s="56"/>
      <c r="F226" s="659"/>
      <c r="G226" s="659"/>
      <c r="H226" s="659"/>
      <c r="I226" s="56"/>
      <c r="J226" s="659" t="s">
        <v>259</v>
      </c>
      <c r="K226" s="862"/>
      <c r="L226" s="799"/>
      <c r="M226" s="664"/>
      <c r="N226" s="28"/>
    </row>
    <row r="227" spans="1:20" ht="25" customHeight="1">
      <c r="A227" s="2"/>
      <c r="B227" s="827" t="s">
        <v>4</v>
      </c>
      <c r="C227" s="656" t="str" cm="1">
        <f t="array" ref="C227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7" s="71"/>
      <c r="E227" s="656"/>
      <c r="F227" s="656"/>
      <c r="G227" s="657"/>
      <c r="H227" s="800"/>
      <c r="I227" s="801"/>
      <c r="J227" s="660">
        <f>K65+K74+K56+K39+K83</f>
        <v>0</v>
      </c>
      <c r="K227" s="828"/>
      <c r="L227" s="2"/>
      <c r="M227" s="664"/>
      <c r="N227" s="28"/>
    </row>
    <row r="228" spans="1:20" ht="25" customHeight="1">
      <c r="A228" s="2"/>
      <c r="B228" s="491" t="s">
        <v>72</v>
      </c>
      <c r="C228" s="610" t="str">
        <f>K95&amp;" TB - Storage"&amp;"     /     "&amp;K94&amp;" TB - Archive"</f>
        <v>0 TB - Storage     /     0 TB - Archive</v>
      </c>
      <c r="D228" s="658"/>
      <c r="E228" s="658"/>
      <c r="F228" s="802"/>
      <c r="G228" s="803"/>
      <c r="H228" s="803"/>
      <c r="I228" s="804"/>
      <c r="J228" s="661">
        <f>K96</f>
        <v>0</v>
      </c>
      <c r="K228" s="828"/>
      <c r="L228" s="2"/>
      <c r="M228" s="664"/>
      <c r="N228" s="28"/>
    </row>
    <row r="229" spans="1:20" ht="25" customHeight="1">
      <c r="A229" s="2"/>
      <c r="B229" s="491" t="s">
        <v>86</v>
      </c>
      <c r="C229" s="136"/>
      <c r="D229" s="72"/>
      <c r="E229" s="73"/>
      <c r="F229" s="802"/>
      <c r="G229" s="803"/>
      <c r="H229" s="803"/>
      <c r="I229" s="804"/>
      <c r="J229" s="661">
        <f>K120</f>
        <v>0</v>
      </c>
      <c r="K229" s="828"/>
      <c r="L229" s="2"/>
      <c r="M229" s="664"/>
      <c r="N229" s="28"/>
    </row>
    <row r="230" spans="1:20" s="808" customFormat="1" ht="25" customHeight="1">
      <c r="A230" s="806"/>
      <c r="B230" s="807" t="s">
        <v>222</v>
      </c>
      <c r="C230" s="807"/>
      <c r="D230" s="807"/>
      <c r="E230" s="807"/>
      <c r="F230" s="807"/>
      <c r="G230" s="807"/>
      <c r="H230" s="807"/>
      <c r="I230" s="807"/>
      <c r="J230" s="662">
        <f>SUM(J227:J229)</f>
        <v>0</v>
      </c>
      <c r="K230" s="863"/>
      <c r="L230" s="806"/>
      <c r="M230" s="664"/>
    </row>
    <row r="231" spans="1:20" ht="25" customHeight="1">
      <c r="A231" s="2"/>
      <c r="B231" s="421"/>
      <c r="C231" s="59"/>
      <c r="D231" s="59"/>
      <c r="E231" s="59"/>
      <c r="F231" s="809"/>
      <c r="G231" s="810"/>
      <c r="H231" s="810"/>
      <c r="I231" s="811"/>
      <c r="J231" s="811"/>
      <c r="K231" s="864"/>
      <c r="L231" s="2"/>
      <c r="M231" s="664"/>
    </row>
    <row r="232" spans="1:20" ht="25" customHeight="1">
      <c r="A232" s="2"/>
      <c r="B232" s="643"/>
      <c r="C232" s="30"/>
      <c r="D232" s="36"/>
      <c r="E232" s="37"/>
      <c r="F232" s="40"/>
      <c r="G232" s="442"/>
      <c r="H232" s="30"/>
      <c r="I232" s="774"/>
      <c r="J232" s="734"/>
      <c r="K232" s="828"/>
      <c r="L232" s="2"/>
      <c r="M232" s="664"/>
    </row>
    <row r="233" spans="1:20" ht="25" customHeight="1">
      <c r="A233" s="812"/>
      <c r="B233" s="644"/>
      <c r="C233" s="42"/>
      <c r="D233" s="33"/>
      <c r="E233" s="34"/>
      <c r="F233" s="813"/>
      <c r="G233" s="805"/>
      <c r="H233" s="42"/>
      <c r="I233" s="814"/>
      <c r="J233" s="437"/>
      <c r="K233" s="594"/>
      <c r="L233" s="815"/>
      <c r="M233" s="664"/>
    </row>
    <row r="234" spans="1:20" s="112" customFormat="1" ht="25" customHeight="1">
      <c r="B234" s="645"/>
      <c r="C234" s="108"/>
      <c r="D234" s="109"/>
      <c r="E234" s="110"/>
      <c r="F234" s="816"/>
      <c r="G234" s="817"/>
      <c r="H234" s="108"/>
      <c r="I234" s="818"/>
      <c r="J234" s="819"/>
      <c r="K234" s="865"/>
    </row>
    <row r="235" spans="1:20" s="112" customFormat="1" ht="25" customHeight="1">
      <c r="B235" s="914" t="s">
        <v>444</v>
      </c>
      <c r="C235" s="108"/>
      <c r="D235" s="108"/>
      <c r="E235" s="108"/>
      <c r="F235" s="820"/>
      <c r="G235" s="821"/>
      <c r="H235" s="822"/>
      <c r="I235" s="822"/>
      <c r="J235" s="822"/>
      <c r="K235" s="866"/>
      <c r="L235" s="819"/>
      <c r="M235" s="819"/>
      <c r="N235" s="819"/>
    </row>
    <row r="236" spans="1:20" s="112" customFormat="1" ht="25" customHeight="1">
      <c r="B236" s="914" t="s">
        <v>445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5" t="s">
        <v>446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4" t="s">
        <v>447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6" t="s">
        <v>620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645"/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823" customFormat="1" ht="25" customHeight="1">
      <c r="A244" s="112"/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  <c r="O244" s="112"/>
      <c r="P244" s="112"/>
      <c r="Q244" s="112"/>
      <c r="R244" s="112"/>
      <c r="S244" s="112"/>
      <c r="T244" s="112"/>
      <c r="U244" s="112"/>
      <c r="V244" s="112"/>
      <c r="W244" s="112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6"/>
      <c r="K264" s="866"/>
      <c r="M264" s="824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26" spans="2:4" ht="25" customHeight="1">
      <c r="B326" s="647"/>
      <c r="C326" s="38"/>
      <c r="D326" s="96"/>
    </row>
  </sheetData>
  <sheetProtection algorithmName="SHA-512" hashValue="8ngw+b1Gt28mapGZ5RO4Vk7q4zUA5x12+NM/XXPrSYNZkj/hjZ5kZZWeQPqHPHWV+ma8nD5VS4eZpee65AmFsg==" saltValue="Lvl7k9OUPDk1vlq2oNnW+g==" spinCount="100000" sheet="1" selectLockedCells="1"/>
  <mergeCells count="43">
    <mergeCell ref="B217:G219"/>
    <mergeCell ref="B220:F220"/>
    <mergeCell ref="B138:G140"/>
    <mergeCell ref="B179:G181"/>
    <mergeCell ref="B182:F182"/>
    <mergeCell ref="B183:F183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</mergeCells>
  <phoneticPr fontId="2" type="noConversion"/>
  <conditionalFormatting sqref="I61:I64 K61:K64 I71:I73 K71:K73 I80:I82 K80:K82 I94:I95 K94:K95 I117:I119 J118:J119 K117:K119 I46:I55 K46:K55 I26:I38 K26:K38">
    <cfRule type="cellIs" dxfId="12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4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5" manualBreakCount="5">
    <brk id="22" max="11" man="1"/>
    <brk id="83" max="11" man="1"/>
    <brk id="233" max="11" man="1"/>
    <brk id="253" max="13" man="1"/>
    <brk id="275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tabSelected="1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104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104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104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1042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1042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104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104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104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104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104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104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104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1044"/>
      <c r="L12" s="670"/>
      <c r="M12" s="664"/>
    </row>
    <row r="13" spans="1:26" s="4" customFormat="1" ht="25" customHeight="1">
      <c r="B13" s="636"/>
      <c r="G13" s="671"/>
      <c r="H13" s="671"/>
      <c r="I13" s="672"/>
      <c r="K13" s="1045"/>
      <c r="L13" s="673"/>
      <c r="M13" s="664"/>
    </row>
    <row r="14" spans="1:26" s="4" customFormat="1" ht="25" customHeight="1">
      <c r="B14" s="636"/>
      <c r="G14" s="671"/>
      <c r="H14" s="671"/>
      <c r="I14" s="672"/>
      <c r="K14" s="1045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1045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1045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104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104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104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104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104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104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662</v>
      </c>
      <c r="C23" s="107"/>
      <c r="D23" s="107"/>
      <c r="E23" s="107"/>
      <c r="F23" s="107"/>
      <c r="G23" s="107"/>
      <c r="H23" s="21"/>
      <c r="I23" s="682"/>
      <c r="J23" s="682"/>
      <c r="K23" s="1047"/>
      <c r="M23" s="664"/>
      <c r="P23" s="684"/>
      <c r="Q23" s="684"/>
      <c r="R23" s="685"/>
    </row>
    <row r="24" spans="2:26" ht="25" customHeight="1">
      <c r="B24" s="1095" t="s">
        <v>669</v>
      </c>
      <c r="C24" s="1095"/>
      <c r="D24" s="1095"/>
      <c r="E24" s="1095"/>
      <c r="F24" s="1095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104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105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105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105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105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105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105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105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105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105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105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105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105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105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105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105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105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1054"/>
      <c r="M42" s="664"/>
      <c r="P42" s="681"/>
      <c r="Q42" s="681"/>
      <c r="R42" s="688"/>
    </row>
    <row r="43" spans="2:18" s="651" customFormat="1" ht="25" customHeight="1">
      <c r="B43" s="652" t="s">
        <v>663</v>
      </c>
      <c r="C43" s="650"/>
      <c r="D43" s="650"/>
      <c r="K43" s="1055"/>
      <c r="M43" s="664"/>
    </row>
    <row r="44" spans="2:18" ht="25" customHeight="1">
      <c r="B44" s="1095" t="s">
        <v>669</v>
      </c>
      <c r="C44" s="1095"/>
      <c r="D44" s="1095"/>
      <c r="E44" s="1095"/>
      <c r="F44" s="1095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104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105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105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105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1051">
        <f t="shared" si="11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105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105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105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105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105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105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105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105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1057"/>
      <c r="L58" s="712"/>
      <c r="M58" s="664"/>
      <c r="R58" s="713"/>
      <c r="S58" s="713"/>
      <c r="T58" s="714"/>
    </row>
    <row r="59" spans="1:20" ht="25" hidden="1" customHeight="1">
      <c r="B59" s="936" t="s">
        <v>500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104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105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105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105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105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105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105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105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1058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500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104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105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105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105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105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105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105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105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106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106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106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106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105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106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1064"/>
      <c r="L85" s="741"/>
      <c r="M85" s="664"/>
    </row>
    <row r="86" spans="2:20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1045"/>
      <c r="M86" s="664"/>
    </row>
    <row r="87" spans="2:20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1045"/>
      <c r="M87" s="664"/>
    </row>
    <row r="88" spans="2:20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104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104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106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104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105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106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106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106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105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105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106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106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106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106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106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106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107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105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104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1063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1045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1045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104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104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104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104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105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106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106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106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106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105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107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106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1063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1045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1045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104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104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104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104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105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20" t="s">
        <v>528</v>
      </c>
      <c r="D131" s="920"/>
      <c r="E131" s="920" t="s">
        <v>529</v>
      </c>
      <c r="F131" s="920"/>
      <c r="G131" s="940" t="s">
        <v>520</v>
      </c>
      <c r="H131" s="940"/>
      <c r="I131" s="24"/>
      <c r="J131" s="24"/>
      <c r="K131" s="1060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532</v>
      </c>
      <c r="F132" s="928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107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27" t="s">
        <v>530</v>
      </c>
      <c r="D133" s="927"/>
      <c r="E133" s="929" t="s">
        <v>531</v>
      </c>
      <c r="F133" s="929"/>
      <c r="G133" s="902" t="str">
        <f>PAAS_man.kubernetes8_EUR</f>
        <v>Requests for quotation</v>
      </c>
      <c r="H133" s="900"/>
      <c r="I133" s="753"/>
      <c r="J133" s="738"/>
      <c r="K133" s="107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105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105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107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104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100</v>
      </c>
      <c r="C138" s="919"/>
      <c r="D138" s="919"/>
      <c r="E138" s="919"/>
      <c r="F138" s="919"/>
      <c r="G138" s="919"/>
      <c r="H138" s="672"/>
      <c r="J138" s="674"/>
      <c r="K138" s="1045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1045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104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104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104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104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106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104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104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104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104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107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104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104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107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106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106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106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106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106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107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107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107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106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106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107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106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106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106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106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484</v>
      </c>
      <c r="C176" s="130"/>
      <c r="D176" s="38"/>
      <c r="E176" s="38" t="s">
        <v>150</v>
      </c>
      <c r="F176" s="771"/>
      <c r="G176" s="771"/>
      <c r="H176" s="771"/>
      <c r="I176" s="771"/>
      <c r="J176" s="779"/>
      <c r="K176" s="1062" t="str">
        <f>PAAS_man.mariadb_EUR</f>
        <v>Requests for quotation</v>
      </c>
      <c r="M176" s="664"/>
      <c r="N176" s="742"/>
      <c r="O176" s="8"/>
    </row>
    <row r="177" spans="2:20" ht="25" customHeight="1">
      <c r="B177" s="134" t="s">
        <v>442</v>
      </c>
      <c r="C177" s="129"/>
      <c r="D177" s="30"/>
      <c r="E177" s="30" t="s">
        <v>144</v>
      </c>
      <c r="F177" s="30"/>
      <c r="G177" s="30"/>
      <c r="H177" s="30"/>
      <c r="I177" s="30"/>
      <c r="J177" s="40"/>
      <c r="K177" s="1061" t="str">
        <f>PAAS_man.redis_EUR</f>
        <v>Requests for quotation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1078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1063"/>
      <c r="L180" s="742"/>
      <c r="M180" s="664"/>
      <c r="N180" s="675"/>
      <c r="O180" s="675"/>
    </row>
    <row r="181" spans="2:20" s="4" customFormat="1" ht="25" customHeight="1">
      <c r="B181" s="919" t="s">
        <v>541</v>
      </c>
      <c r="C181" s="919"/>
      <c r="D181" s="919"/>
      <c r="E181" s="919"/>
      <c r="F181" s="919"/>
      <c r="G181" s="919"/>
      <c r="H181" s="780"/>
      <c r="J181" s="674"/>
      <c r="K181" s="1045"/>
      <c r="M181" s="664"/>
    </row>
    <row r="182" spans="2:20" s="4" customFormat="1" ht="25" customHeight="1">
      <c r="B182" s="919"/>
      <c r="C182" s="919"/>
      <c r="D182" s="919"/>
      <c r="E182" s="919"/>
      <c r="F182" s="919"/>
      <c r="G182" s="919"/>
      <c r="H182" s="780"/>
      <c r="J182" s="674"/>
      <c r="K182" s="1045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1045"/>
      <c r="M183" s="664"/>
    </row>
    <row r="184" spans="2:20" s="4" customFormat="1" ht="25" customHeight="1">
      <c r="B184" s="939" t="s">
        <v>542</v>
      </c>
      <c r="C184" s="939"/>
      <c r="D184" s="939"/>
      <c r="E184" s="939"/>
      <c r="F184" s="939"/>
      <c r="H184" s="780"/>
      <c r="J184" s="674"/>
      <c r="K184" s="1045"/>
      <c r="M184" s="664"/>
    </row>
    <row r="185" spans="2:20" s="4" customFormat="1" ht="25" customHeight="1">
      <c r="B185" s="935" t="s">
        <v>543</v>
      </c>
      <c r="C185" s="935"/>
      <c r="D185" s="935"/>
      <c r="E185" s="935"/>
      <c r="F185" s="935"/>
      <c r="G185" s="677"/>
      <c r="H185" s="678"/>
      <c r="I185" s="677"/>
      <c r="J185" s="679"/>
      <c r="K185" s="1046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1046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1080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544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535</v>
      </c>
      <c r="J189" s="23"/>
      <c r="K189" s="1060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485</v>
      </c>
      <c r="C190" s="129"/>
      <c r="D190" s="30" t="s">
        <v>545</v>
      </c>
      <c r="E190" s="40"/>
      <c r="F190" s="30"/>
      <c r="G190" s="40"/>
      <c r="H190" s="40"/>
      <c r="I190" s="775" t="s">
        <v>560</v>
      </c>
      <c r="J190" s="775"/>
      <c r="K190" s="1061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486</v>
      </c>
      <c r="C191" s="130"/>
      <c r="D191" s="38" t="s">
        <v>156</v>
      </c>
      <c r="E191" s="31"/>
      <c r="F191" s="771"/>
      <c r="G191" s="779"/>
      <c r="H191" s="779"/>
      <c r="I191" s="773" t="s">
        <v>157</v>
      </c>
      <c r="J191" s="773"/>
      <c r="K191" s="1062" t="s">
        <v>546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487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1061" t="s">
        <v>547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1078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1062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548</v>
      </c>
      <c r="C195" s="878"/>
      <c r="D195" s="878"/>
      <c r="F195" s="878"/>
      <c r="G195" s="878"/>
      <c r="H195" s="878"/>
      <c r="I195" s="879"/>
      <c r="J195" s="879"/>
      <c r="K195" s="1081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549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535</v>
      </c>
      <c r="J197" s="23"/>
      <c r="K197" s="1060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488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1061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489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1062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490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1061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491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1062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492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1061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493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1062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1078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1062"/>
      <c r="M205" s="664"/>
      <c r="N205" s="742"/>
      <c r="O205" s="8"/>
    </row>
    <row r="206" spans="2:18" ht="25" customHeight="1">
      <c r="B206" s="649" t="s">
        <v>550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551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535</v>
      </c>
      <c r="J208" s="23"/>
      <c r="K208" s="1060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633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1061" t="s">
        <v>547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634</v>
      </c>
      <c r="C210" s="130"/>
      <c r="D210" s="38" t="s">
        <v>552</v>
      </c>
      <c r="E210" s="31"/>
      <c r="F210" s="771"/>
      <c r="G210" s="779" t="s">
        <v>181</v>
      </c>
      <c r="H210" s="773"/>
      <c r="I210" s="906" t="s">
        <v>183</v>
      </c>
      <c r="J210" s="773"/>
      <c r="K210" s="1062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635</v>
      </c>
      <c r="C211" s="129"/>
      <c r="D211" s="30" t="s">
        <v>553</v>
      </c>
      <c r="E211" s="40"/>
      <c r="F211" s="30"/>
      <c r="G211" s="40" t="s">
        <v>187</v>
      </c>
      <c r="H211" s="770"/>
      <c r="I211" s="905" t="s">
        <v>183</v>
      </c>
      <c r="J211" s="770"/>
      <c r="K211" s="1061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636</v>
      </c>
      <c r="C212" s="130"/>
      <c r="D212" s="38" t="s">
        <v>554</v>
      </c>
      <c r="E212" s="31"/>
      <c r="F212" s="771"/>
      <c r="G212" s="779" t="s">
        <v>187</v>
      </c>
      <c r="H212" s="773"/>
      <c r="I212" s="906" t="s">
        <v>183</v>
      </c>
      <c r="J212" s="773"/>
      <c r="K212" s="1062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1078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1064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1082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1083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108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1083"/>
      <c r="L218" s="3"/>
      <c r="M218" s="664"/>
    </row>
    <row r="219" spans="1:18" s="4" customFormat="1" ht="25" customHeight="1">
      <c r="A219" s="3"/>
      <c r="B219" s="937" t="s">
        <v>191</v>
      </c>
      <c r="C219" s="937"/>
      <c r="D219" s="937"/>
      <c r="E219" s="937"/>
      <c r="F219" s="937"/>
      <c r="G219" s="937"/>
      <c r="H219" s="666"/>
      <c r="I219" s="793"/>
      <c r="J219" s="3"/>
      <c r="K219" s="1043"/>
      <c r="L219" s="3"/>
      <c r="M219" s="664"/>
    </row>
    <row r="220" spans="1:18" s="4" customFormat="1" ht="25" customHeight="1">
      <c r="A220" s="3"/>
      <c r="B220" s="937"/>
      <c r="C220" s="937"/>
      <c r="D220" s="937"/>
      <c r="E220" s="937"/>
      <c r="F220" s="937"/>
      <c r="G220" s="937"/>
      <c r="H220" s="666"/>
      <c r="I220" s="793"/>
      <c r="J220" s="3"/>
      <c r="K220" s="1043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1043"/>
      <c r="L221" s="3"/>
      <c r="M221" s="664"/>
    </row>
    <row r="222" spans="1:18" s="4" customFormat="1" ht="25" customHeight="1">
      <c r="A222" s="3"/>
      <c r="B222" s="938" t="s">
        <v>543</v>
      </c>
      <c r="C222" s="938"/>
      <c r="D222" s="938"/>
      <c r="E222" s="938"/>
      <c r="F222" s="938"/>
      <c r="G222" s="3"/>
      <c r="H222" s="666"/>
      <c r="I222" s="793"/>
      <c r="J222" s="3"/>
      <c r="K222" s="1043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1043"/>
      <c r="L223" s="794"/>
      <c r="M223" s="664"/>
    </row>
    <row r="224" spans="1:18" s="4" customFormat="1" ht="25" customHeight="1">
      <c r="A224" s="3"/>
      <c r="B224" s="422" t="s">
        <v>556</v>
      </c>
      <c r="C224" s="62"/>
      <c r="D224" s="62"/>
      <c r="E224" s="62"/>
      <c r="F224" s="62"/>
      <c r="G224" s="3"/>
      <c r="H224" s="666"/>
      <c r="I224" s="793"/>
      <c r="J224" s="3"/>
      <c r="K224" s="1043"/>
      <c r="L224" s="794"/>
      <c r="M224" s="664"/>
    </row>
    <row r="225" spans="1:20" s="4" customFormat="1" ht="25" customHeight="1">
      <c r="A225" s="3"/>
      <c r="B225" s="418" t="s">
        <v>557</v>
      </c>
      <c r="C225" s="62"/>
      <c r="D225" s="62"/>
      <c r="E225" s="62"/>
      <c r="F225" s="62"/>
      <c r="G225" s="3"/>
      <c r="H225" s="666"/>
      <c r="I225" s="3"/>
      <c r="J225" s="667"/>
      <c r="K225" s="1043"/>
      <c r="L225" s="794"/>
      <c r="M225" s="664"/>
    </row>
    <row r="226" spans="1:20" s="4" customFormat="1" ht="25" customHeight="1">
      <c r="A226" s="3"/>
      <c r="B226" s="913" t="s">
        <v>627</v>
      </c>
      <c r="C226" s="67"/>
      <c r="D226" s="67"/>
      <c r="E226" s="67"/>
      <c r="F226" s="67"/>
      <c r="G226" s="794"/>
      <c r="H226" s="795"/>
      <c r="I226" s="794"/>
      <c r="J226" s="796"/>
      <c r="K226" s="1084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1084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558</v>
      </c>
      <c r="C228" s="56"/>
      <c r="D228" s="57"/>
      <c r="E228" s="56"/>
      <c r="F228" s="659"/>
      <c r="G228" s="659"/>
      <c r="H228" s="659"/>
      <c r="I228" s="56"/>
      <c r="J228" s="659" t="s">
        <v>555</v>
      </c>
      <c r="K228" s="1085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1090">
        <f>K65+K74+K56+K39+K83</f>
        <v>0</v>
      </c>
      <c r="K229" s="1061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K95&amp;" TB - S3"&amp;"     /     "&amp;K94&amp;" TB - Archive"</f>
        <v>0 TB - S3     /     0 TB - Archive</v>
      </c>
      <c r="D230" s="658"/>
      <c r="E230" s="658"/>
      <c r="F230" s="802"/>
      <c r="G230" s="803"/>
      <c r="H230" s="803"/>
      <c r="I230" s="804"/>
      <c r="J230" s="1091">
        <f>K96</f>
        <v>0</v>
      </c>
      <c r="K230" s="1061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1091">
        <f>K120</f>
        <v>0</v>
      </c>
      <c r="K231" s="1061"/>
      <c r="L231" s="2"/>
      <c r="M231" s="664"/>
      <c r="N231" s="28"/>
    </row>
    <row r="232" spans="1:20" s="808" customFormat="1" ht="25" customHeight="1">
      <c r="A232" s="806"/>
      <c r="B232" s="917" t="s">
        <v>30</v>
      </c>
      <c r="C232" s="907"/>
      <c r="D232" s="907"/>
      <c r="E232" s="907"/>
      <c r="F232" s="907"/>
      <c r="G232" s="907"/>
      <c r="H232" s="907"/>
      <c r="I232" s="907"/>
      <c r="J232" s="1092">
        <f>SUM(J229:J231)</f>
        <v>0</v>
      </c>
      <c r="K232" s="1086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1087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1061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1066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1088"/>
    </row>
    <row r="237" spans="1:20" s="112" customFormat="1" ht="25" customHeight="1">
      <c r="B237" s="914" t="s">
        <v>523</v>
      </c>
      <c r="C237" s="108"/>
      <c r="D237" s="108"/>
      <c r="E237" s="108"/>
      <c r="F237" s="820"/>
      <c r="G237" s="821"/>
      <c r="H237" s="822"/>
      <c r="I237" s="822"/>
      <c r="J237" s="822"/>
      <c r="K237" s="1089"/>
      <c r="L237" s="819"/>
      <c r="M237" s="819"/>
      <c r="N237" s="819"/>
    </row>
    <row r="238" spans="1:20" s="112" customFormat="1" ht="25" customHeight="1">
      <c r="B238" s="914" t="s">
        <v>524</v>
      </c>
      <c r="C238" s="108"/>
      <c r="D238" s="108"/>
      <c r="E238" s="108"/>
      <c r="F238" s="820"/>
      <c r="G238" s="821"/>
      <c r="H238" s="822"/>
      <c r="I238" s="822"/>
      <c r="J238" s="822"/>
      <c r="K238" s="1089"/>
      <c r="L238" s="819"/>
      <c r="M238" s="819"/>
      <c r="N238" s="819"/>
    </row>
    <row r="239" spans="1:20" s="112" customFormat="1" ht="25" customHeight="1">
      <c r="B239" s="915" t="s">
        <v>525</v>
      </c>
      <c r="C239" s="108"/>
      <c r="D239" s="108"/>
      <c r="E239" s="108"/>
      <c r="F239" s="820"/>
      <c r="G239" s="821"/>
      <c r="H239" s="822"/>
      <c r="I239" s="822"/>
      <c r="J239" s="822"/>
      <c r="K239" s="1089"/>
      <c r="L239" s="819"/>
      <c r="M239" s="819"/>
      <c r="N239" s="819"/>
    </row>
    <row r="240" spans="1:20" s="112" customFormat="1" ht="25" customHeight="1">
      <c r="B240" s="914" t="s">
        <v>526</v>
      </c>
      <c r="C240" s="108"/>
      <c r="D240" s="108"/>
      <c r="E240" s="108"/>
      <c r="F240" s="820"/>
      <c r="G240" s="821"/>
      <c r="H240" s="822"/>
      <c r="I240" s="822"/>
      <c r="J240" s="822"/>
      <c r="K240" s="1089"/>
      <c r="L240" s="819"/>
      <c r="M240" s="819"/>
      <c r="N240" s="819"/>
    </row>
    <row r="241" spans="1:23" s="112" customFormat="1" ht="25" customHeight="1">
      <c r="B241" s="916" t="s">
        <v>621</v>
      </c>
      <c r="C241" s="108"/>
      <c r="D241" s="108"/>
      <c r="E241" s="108"/>
      <c r="F241" s="820"/>
      <c r="G241" s="821"/>
      <c r="H241" s="822"/>
      <c r="I241" s="822"/>
      <c r="J241" s="822"/>
      <c r="K241" s="1089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108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108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108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1089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1089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1089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108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108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108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108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108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108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108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108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108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108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108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108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108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108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108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108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108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1089"/>
      <c r="L265" s="819"/>
      <c r="M265" s="819"/>
      <c r="N265" s="819"/>
    </row>
    <row r="266" spans="2:14" s="112" customFormat="1" ht="25" customHeight="1">
      <c r="B266" s="646"/>
      <c r="K266" s="1089"/>
      <c r="M266" s="824"/>
    </row>
    <row r="267" spans="2:14" s="112" customFormat="1" ht="25" customHeight="1">
      <c r="B267" s="646"/>
      <c r="K267" s="1089"/>
      <c r="M267" s="824"/>
    </row>
    <row r="268" spans="2:14" s="112" customFormat="1" ht="25" customHeight="1">
      <c r="B268" s="646"/>
      <c r="K268" s="1089"/>
      <c r="M268" s="824"/>
    </row>
    <row r="269" spans="2:14" s="112" customFormat="1" ht="25" customHeight="1">
      <c r="B269" s="646"/>
      <c r="K269" s="1089"/>
      <c r="M269" s="824"/>
    </row>
    <row r="270" spans="2:14" s="112" customFormat="1" ht="25" customHeight="1">
      <c r="B270" s="646"/>
      <c r="K270" s="1089"/>
      <c r="M270" s="824"/>
    </row>
    <row r="271" spans="2:14" s="112" customFormat="1" ht="25" customHeight="1">
      <c r="B271" s="646"/>
      <c r="K271" s="1089"/>
      <c r="M271" s="824"/>
    </row>
    <row r="272" spans="2:14" s="112" customFormat="1" ht="25" customHeight="1">
      <c r="B272" s="646"/>
      <c r="K272" s="1089"/>
      <c r="M272" s="824"/>
    </row>
    <row r="273" spans="2:13" s="112" customFormat="1" ht="25" customHeight="1">
      <c r="B273" s="646"/>
      <c r="K273" s="1089"/>
      <c r="M273" s="824"/>
    </row>
    <row r="274" spans="2:13" s="112" customFormat="1" ht="25" customHeight="1">
      <c r="B274" s="646"/>
      <c r="K274" s="1089"/>
      <c r="M274" s="824"/>
    </row>
    <row r="275" spans="2:13" s="112" customFormat="1" ht="25" customHeight="1">
      <c r="B275" s="646"/>
      <c r="K275" s="1089"/>
      <c r="M275" s="824"/>
    </row>
    <row r="276" spans="2:13" s="112" customFormat="1" ht="25" customHeight="1">
      <c r="B276" s="646"/>
      <c r="K276" s="1089"/>
      <c r="M276" s="824"/>
    </row>
    <row r="277" spans="2:13" s="112" customFormat="1" ht="25" customHeight="1">
      <c r="B277" s="646"/>
      <c r="K277" s="1089"/>
      <c r="M277" s="824"/>
    </row>
    <row r="278" spans="2:13" s="112" customFormat="1" ht="25" customHeight="1">
      <c r="B278" s="646"/>
      <c r="K278" s="1089"/>
      <c r="M278" s="824"/>
    </row>
    <row r="279" spans="2:13" s="112" customFormat="1" ht="25" customHeight="1">
      <c r="B279" s="646"/>
      <c r="K279" s="1089"/>
      <c r="M279" s="824"/>
    </row>
    <row r="280" spans="2:13" s="112" customFormat="1" ht="25" customHeight="1">
      <c r="B280" s="646"/>
      <c r="K280" s="1089"/>
      <c r="M280" s="824"/>
    </row>
    <row r="281" spans="2:13" s="112" customFormat="1" ht="25" customHeight="1">
      <c r="B281" s="646"/>
      <c r="K281" s="1089"/>
      <c r="M281" s="824"/>
    </row>
    <row r="282" spans="2:13" s="112" customFormat="1" ht="25" customHeight="1">
      <c r="B282" s="646"/>
      <c r="K282" s="1089"/>
      <c r="M282" s="824"/>
    </row>
    <row r="283" spans="2:13" s="112" customFormat="1" ht="25" customHeight="1">
      <c r="B283" s="646"/>
      <c r="K283" s="1089"/>
      <c r="M283" s="824"/>
    </row>
    <row r="284" spans="2:13" s="112" customFormat="1" ht="25" customHeight="1">
      <c r="B284" s="646"/>
      <c r="K284" s="1089"/>
      <c r="M284" s="824"/>
    </row>
    <row r="285" spans="2:13" s="112" customFormat="1" ht="25" customHeight="1">
      <c r="B285" s="646"/>
      <c r="K285" s="1089"/>
      <c r="M285" s="824"/>
    </row>
    <row r="286" spans="2:13" s="112" customFormat="1" ht="25" customHeight="1">
      <c r="B286" s="646"/>
      <c r="K286" s="1089"/>
      <c r="M286" s="824"/>
    </row>
    <row r="287" spans="2:13" s="112" customFormat="1" ht="25" customHeight="1">
      <c r="B287" s="646"/>
      <c r="K287" s="1089"/>
      <c r="M287" s="824"/>
    </row>
    <row r="288" spans="2:13" s="112" customFormat="1" ht="25" customHeight="1">
      <c r="B288" s="646"/>
      <c r="K288" s="1089"/>
      <c r="M288" s="824"/>
    </row>
    <row r="289" spans="2:13" s="112" customFormat="1" ht="25" customHeight="1">
      <c r="B289" s="646"/>
      <c r="K289" s="1089"/>
      <c r="M289" s="824"/>
    </row>
    <row r="290" spans="2:13" s="112" customFormat="1" ht="25" customHeight="1">
      <c r="B290" s="646"/>
      <c r="K290" s="1089"/>
      <c r="M290" s="824"/>
    </row>
    <row r="291" spans="2:13" s="112" customFormat="1" ht="25" customHeight="1">
      <c r="B291" s="646"/>
      <c r="K291" s="1089"/>
      <c r="M291" s="824"/>
    </row>
    <row r="292" spans="2:13" s="112" customFormat="1" ht="25" customHeight="1">
      <c r="B292" s="646"/>
      <c r="K292" s="1089"/>
      <c r="M292" s="824"/>
    </row>
    <row r="293" spans="2:13" s="112" customFormat="1" ht="25" customHeight="1">
      <c r="B293" s="646"/>
      <c r="K293" s="1089"/>
      <c r="M293" s="824"/>
    </row>
    <row r="294" spans="2:13" s="112" customFormat="1" ht="25" customHeight="1">
      <c r="B294" s="646"/>
      <c r="K294" s="1089"/>
      <c r="M294" s="824"/>
    </row>
    <row r="295" spans="2:13" s="112" customFormat="1" ht="25" customHeight="1">
      <c r="B295" s="646"/>
      <c r="K295" s="1089"/>
      <c r="M295" s="824"/>
    </row>
    <row r="296" spans="2:13" s="112" customFormat="1" ht="25" customHeight="1">
      <c r="B296" s="646"/>
      <c r="K296" s="1089"/>
      <c r="M296" s="824"/>
    </row>
    <row r="297" spans="2:13" s="112" customFormat="1" ht="25" customHeight="1">
      <c r="B297" s="646"/>
      <c r="K297" s="1089"/>
      <c r="M297" s="824"/>
    </row>
    <row r="298" spans="2:13" s="112" customFormat="1" ht="25" customHeight="1">
      <c r="B298" s="646"/>
      <c r="K298" s="1089"/>
      <c r="M298" s="824"/>
    </row>
    <row r="299" spans="2:13" s="112" customFormat="1" ht="25" customHeight="1">
      <c r="B299" s="646"/>
      <c r="K299" s="1089"/>
      <c r="M299" s="824"/>
    </row>
    <row r="300" spans="2:13" s="112" customFormat="1" ht="25" customHeight="1">
      <c r="B300" s="646"/>
      <c r="K300" s="1089"/>
      <c r="M300" s="824"/>
    </row>
    <row r="301" spans="2:13" s="112" customFormat="1" ht="25" customHeight="1">
      <c r="B301" s="646"/>
      <c r="K301" s="1089"/>
      <c r="M301" s="824"/>
    </row>
    <row r="302" spans="2:13" s="112" customFormat="1" ht="25" customHeight="1">
      <c r="B302" s="646"/>
      <c r="K302" s="1089"/>
      <c r="M302" s="824"/>
    </row>
    <row r="303" spans="2:13" s="112" customFormat="1" ht="25" customHeight="1">
      <c r="B303" s="646"/>
      <c r="K303" s="1089"/>
      <c r="M303" s="824"/>
    </row>
    <row r="304" spans="2:13" s="112" customFormat="1" ht="25" customHeight="1">
      <c r="B304" s="646"/>
      <c r="K304" s="1089"/>
      <c r="M304" s="824"/>
    </row>
    <row r="305" spans="2:13" s="112" customFormat="1" ht="25" customHeight="1">
      <c r="B305" s="646"/>
      <c r="K305" s="1089"/>
      <c r="M305" s="824"/>
    </row>
    <row r="306" spans="2:13" s="112" customFormat="1" ht="25" customHeight="1">
      <c r="B306" s="646"/>
      <c r="K306" s="1089"/>
      <c r="M306" s="824"/>
    </row>
    <row r="307" spans="2:13" s="112" customFormat="1" ht="25" customHeight="1">
      <c r="B307" s="646"/>
      <c r="K307" s="1089"/>
      <c r="M307" s="824"/>
    </row>
    <row r="308" spans="2:13" s="112" customFormat="1" ht="25" customHeight="1">
      <c r="B308" s="646"/>
      <c r="K308" s="1089"/>
      <c r="M308" s="824"/>
    </row>
    <row r="309" spans="2:13" s="112" customFormat="1" ht="25" customHeight="1">
      <c r="B309" s="646"/>
      <c r="K309" s="1089"/>
      <c r="M309" s="824"/>
    </row>
    <row r="310" spans="2:13" s="112" customFormat="1" ht="25" customHeight="1">
      <c r="B310" s="646"/>
      <c r="K310" s="1089"/>
      <c r="M310" s="824"/>
    </row>
    <row r="311" spans="2:13" s="112" customFormat="1" ht="25" customHeight="1">
      <c r="B311" s="646"/>
      <c r="K311" s="1089"/>
      <c r="M311" s="824"/>
    </row>
    <row r="312" spans="2:13" s="112" customFormat="1" ht="25" customHeight="1">
      <c r="B312" s="646"/>
      <c r="K312" s="1089"/>
      <c r="M312" s="824"/>
    </row>
    <row r="313" spans="2:13" s="112" customFormat="1" ht="25" customHeight="1">
      <c r="B313" s="646"/>
      <c r="K313" s="1089"/>
      <c r="M313" s="824"/>
    </row>
    <row r="314" spans="2:13" s="112" customFormat="1" ht="25" customHeight="1">
      <c r="B314" s="646"/>
      <c r="K314" s="1089"/>
      <c r="M314" s="824"/>
    </row>
    <row r="315" spans="2:13" s="112" customFormat="1" ht="25" customHeight="1">
      <c r="B315" s="646"/>
      <c r="K315" s="1089"/>
      <c r="M315" s="824"/>
    </row>
    <row r="316" spans="2:13" s="112" customFormat="1" ht="25" customHeight="1">
      <c r="B316" s="646"/>
      <c r="K316" s="1089"/>
      <c r="M316" s="824"/>
    </row>
    <row r="328" spans="2:4" ht="25" customHeight="1">
      <c r="B328" s="647"/>
      <c r="C328" s="38"/>
      <c r="D328" s="96"/>
    </row>
  </sheetData>
  <sheetProtection algorithmName="SHA-512" hashValue="/QAcScTwsvwGjJCVOGhLxbCeDyrTWDCPcMfc85xTQiAky8UUXIfznYCrcpa6Dk5GguH1pN5PPDXosrbKRhzS0w==" saltValue="qICrJTwLtcP/agHDJlXuBQ==" spinCount="100000" sheet="1" selectLockedCells="1"/>
  <mergeCells count="40">
    <mergeCell ref="B184:F184"/>
    <mergeCell ref="B185:F185"/>
    <mergeCell ref="B219:G221"/>
    <mergeCell ref="B222:F222"/>
    <mergeCell ref="C133:D133"/>
    <mergeCell ref="E133:F133"/>
    <mergeCell ref="B138:G140"/>
    <mergeCell ref="B181:G18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</mergeCells>
  <phoneticPr fontId="2" type="noConversion"/>
  <conditionalFormatting sqref="I61:I64 K61:K64 I71:I73 K71:K73 I80:I82 K80:K82 I94:I95 K94:K95 I117:I119 J118:J119 K117:K119 I46:I55 K46:K55 I26:I38 K26:K38">
    <cfRule type="cellIs" dxfId="12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5" max="11" man="1"/>
    <brk id="255" max="13" man="1"/>
    <brk id="277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972" t="str">
        <f>"1 SEK = "&amp;EUR&amp;" EUR"</f>
        <v>1 SEK = 0,089 EUR</v>
      </c>
      <c r="E11" s="972"/>
      <c r="F11" s="972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944"/>
      <c r="C16" s="944"/>
      <c r="D16" s="944"/>
      <c r="E16" s="944"/>
      <c r="F16" s="944"/>
      <c r="G16" s="944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944"/>
      <c r="C17" s="944"/>
      <c r="D17" s="944"/>
      <c r="E17" s="944"/>
      <c r="F17" s="944"/>
      <c r="G17" s="944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971" t="s">
        <v>6</v>
      </c>
      <c r="C19" s="971"/>
      <c r="D19" s="971"/>
      <c r="E19" s="971"/>
      <c r="F19" s="971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63" t="s">
        <v>65</v>
      </c>
      <c r="G88" s="963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976">
        <f>VOLUME_large_EUR</f>
        <v>0.10679999999999999</v>
      </c>
      <c r="G89" s="976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992">
        <f>VOLUME_fast_EUR</f>
        <v>0.32040000000000002</v>
      </c>
      <c r="G90" s="992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565"/>
      <c r="O95" s="168"/>
    </row>
    <row r="96" spans="2:23" s="169" customFormat="1" ht="2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565"/>
      <c r="O96" s="168"/>
    </row>
    <row r="97" spans="2:22" s="169" customFormat="1" ht="2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565"/>
      <c r="O97" s="168"/>
    </row>
    <row r="98" spans="2:22" s="169" customFormat="1" ht="25" customHeight="1">
      <c r="B98" s="993" t="s">
        <v>73</v>
      </c>
      <c r="C98" s="993"/>
      <c r="D98" s="993"/>
      <c r="E98" s="993"/>
      <c r="F98" s="993"/>
      <c r="H98" s="177"/>
      <c r="J98" s="178"/>
      <c r="K98" s="178"/>
      <c r="M98" s="565"/>
      <c r="N98" s="182"/>
      <c r="O98" s="187"/>
    </row>
    <row r="99" spans="2:22" s="291" customFormat="1" ht="25" customHeight="1">
      <c r="B99" s="971" t="s">
        <v>74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63" t="s">
        <v>76</v>
      </c>
      <c r="E102" s="963"/>
      <c r="F102" s="963"/>
      <c r="G102" s="963"/>
      <c r="H102" s="266" t="s">
        <v>75</v>
      </c>
      <c r="I102" s="265"/>
      <c r="J102" s="963"/>
      <c r="K102" s="963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974">
        <f>S3_storage.50_EUR</f>
        <v>31.15</v>
      </c>
      <c r="E104" s="974"/>
      <c r="F104" s="975"/>
      <c r="G104" s="975"/>
      <c r="H104" s="975"/>
      <c r="I104" s="975"/>
      <c r="J104" s="975"/>
      <c r="K104" s="975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962">
        <f>S3_storage.100_EUR</f>
        <v>24.029999999999998</v>
      </c>
      <c r="E105" s="962"/>
      <c r="F105" s="967"/>
      <c r="G105" s="967"/>
      <c r="H105" s="967"/>
      <c r="I105" s="967"/>
      <c r="J105" s="967"/>
      <c r="K105" s="96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966">
        <f>S3_storage.500_EUR</f>
        <v>17.8</v>
      </c>
      <c r="E106" s="966"/>
      <c r="F106" s="961"/>
      <c r="G106" s="961"/>
      <c r="H106" s="961"/>
      <c r="I106" s="961"/>
      <c r="J106" s="961"/>
      <c r="K106" s="96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962">
        <f>S3_storage.1000_EUR</f>
        <v>16.465</v>
      </c>
      <c r="E107" s="962"/>
      <c r="F107" s="967"/>
      <c r="G107" s="967"/>
      <c r="H107" s="967"/>
      <c r="I107" s="967"/>
      <c r="J107" s="967"/>
      <c r="K107" s="96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68" t="str">
        <f>S3_storage.quote_EUR</f>
        <v>Request a quote</v>
      </c>
      <c r="E108" s="968"/>
      <c r="F108" s="969"/>
      <c r="G108" s="969"/>
      <c r="H108" s="969"/>
      <c r="I108" s="969"/>
      <c r="J108" s="969"/>
      <c r="K108" s="969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973" t="s">
        <v>76</v>
      </c>
      <c r="E111" s="973"/>
      <c r="F111" s="963"/>
      <c r="G111" s="963"/>
      <c r="H111" s="266" t="s">
        <v>75</v>
      </c>
      <c r="I111" s="266"/>
      <c r="J111" s="963"/>
      <c r="K111" s="963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974">
        <f>S3_archive.50_EUR</f>
        <v>31.15</v>
      </c>
      <c r="E113" s="974"/>
      <c r="F113" s="975"/>
      <c r="G113" s="975"/>
      <c r="H113" s="975"/>
      <c r="I113" s="975"/>
      <c r="J113" s="975"/>
      <c r="K113" s="975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962">
        <f>S3_archive.100_EUR</f>
        <v>24.029999999999998</v>
      </c>
      <c r="E114" s="962"/>
      <c r="F114" s="967"/>
      <c r="G114" s="967"/>
      <c r="H114" s="967"/>
      <c r="I114" s="967"/>
      <c r="J114" s="967"/>
      <c r="K114" s="96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966">
        <f>S3_archive.500_EUR</f>
        <v>17.8</v>
      </c>
      <c r="E115" s="966"/>
      <c r="F115" s="961"/>
      <c r="G115" s="961"/>
      <c r="H115" s="961"/>
      <c r="I115" s="961"/>
      <c r="J115" s="961"/>
      <c r="K115" s="96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962">
        <f>S3_archive.1000_EUR</f>
        <v>16.465</v>
      </c>
      <c r="E116" s="962"/>
      <c r="F116" s="967"/>
      <c r="G116" s="967"/>
      <c r="H116" s="967"/>
      <c r="I116" s="967"/>
      <c r="J116" s="967"/>
      <c r="K116" s="96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68" t="str">
        <f>S3_archive.quote_EUR</f>
        <v>Request a quote</v>
      </c>
      <c r="E117" s="968"/>
      <c r="F117" s="969"/>
      <c r="G117" s="969"/>
      <c r="H117" s="969"/>
      <c r="I117" s="969"/>
      <c r="J117" s="969"/>
      <c r="K117" s="969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944" t="s">
        <v>86</v>
      </c>
      <c r="C122" s="944"/>
      <c r="D122" s="944"/>
      <c r="E122" s="944"/>
      <c r="F122" s="944"/>
      <c r="G122" s="944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944"/>
      <c r="C123" s="944"/>
      <c r="D123" s="944"/>
      <c r="E123" s="944"/>
      <c r="F123" s="944"/>
      <c r="G123" s="944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944"/>
      <c r="C124" s="944"/>
      <c r="D124" s="944"/>
      <c r="E124" s="944"/>
      <c r="F124" s="944"/>
      <c r="G124" s="944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965" t="s">
        <v>87</v>
      </c>
      <c r="C125" s="965"/>
      <c r="D125" s="965"/>
      <c r="E125" s="965"/>
      <c r="F125" s="965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945" t="s">
        <v>6</v>
      </c>
      <c r="C126" s="945"/>
      <c r="D126" s="945"/>
      <c r="E126" s="945"/>
      <c r="F126" s="945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63" t="s">
        <v>89</v>
      </c>
      <c r="G129" s="963"/>
      <c r="H129" s="266" t="s">
        <v>90</v>
      </c>
      <c r="I129" s="265"/>
      <c r="J129" s="977" t="s">
        <v>91</v>
      </c>
      <c r="K129" s="977"/>
      <c r="L129" s="533"/>
      <c r="M129" s="575" t="s">
        <v>92</v>
      </c>
      <c r="N129" s="252"/>
      <c r="O129" s="160"/>
    </row>
    <row r="130" spans="2:34" ht="25" customHeight="1">
      <c r="B130" s="978" t="s">
        <v>93</v>
      </c>
      <c r="C130" s="978"/>
      <c r="D130" s="467" t="s">
        <v>94</v>
      </c>
      <c r="E130" s="29"/>
      <c r="F130" s="979">
        <f>BAAS_on.demand_EUR</f>
        <v>0.21804999999999999</v>
      </c>
      <c r="G130" s="980"/>
      <c r="H130" s="307">
        <v>0</v>
      </c>
      <c r="I130" s="272" t="s">
        <v>69</v>
      </c>
      <c r="J130" s="981" t="s">
        <v>94</v>
      </c>
      <c r="K130" s="981"/>
      <c r="L130" s="308"/>
      <c r="M130" s="576">
        <f>ROUNDUP(H130*F130,2)</f>
        <v>0</v>
      </c>
      <c r="N130" s="252"/>
      <c r="O130" s="160"/>
    </row>
    <row r="131" spans="2:34" ht="25" customHeight="1">
      <c r="B131" s="982" t="s">
        <v>95</v>
      </c>
      <c r="C131" s="982"/>
      <c r="D131" s="468">
        <f>BAAS_small.fee_EUR</f>
        <v>489.5</v>
      </c>
      <c r="E131" s="32"/>
      <c r="F131" s="983">
        <f>BAAS_small_EUR</f>
        <v>0.15575</v>
      </c>
      <c r="G131" s="984"/>
      <c r="H131" s="309">
        <v>0</v>
      </c>
      <c r="I131" s="276" t="s">
        <v>69</v>
      </c>
      <c r="J131" s="985">
        <v>0.75</v>
      </c>
      <c r="K131" s="986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987" t="s">
        <v>96</v>
      </c>
      <c r="C132" s="987"/>
      <c r="D132" s="469">
        <f>BAAS_large.fee_EUR</f>
        <v>845.5</v>
      </c>
      <c r="E132" s="35"/>
      <c r="F132" s="988">
        <f>BAAS_large_EUR</f>
        <v>8.1879999999999994E-2</v>
      </c>
      <c r="G132" s="989"/>
      <c r="H132" s="298">
        <v>0</v>
      </c>
      <c r="I132" s="299" t="s">
        <v>69</v>
      </c>
      <c r="J132" s="990">
        <v>0.75</v>
      </c>
      <c r="K132" s="991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64" t="s">
        <v>97</v>
      </c>
      <c r="C135" s="964"/>
      <c r="D135" s="964"/>
      <c r="E135" s="964"/>
      <c r="F135" s="964"/>
      <c r="G135" s="964"/>
      <c r="H135" s="964"/>
      <c r="I135" s="964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64" t="s">
        <v>98</v>
      </c>
      <c r="C136" s="964"/>
      <c r="D136" s="964"/>
      <c r="E136" s="964"/>
      <c r="F136" s="964"/>
      <c r="G136" s="964"/>
      <c r="H136" s="964"/>
      <c r="I136" s="964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964" t="s">
        <v>99</v>
      </c>
      <c r="C137" s="964"/>
      <c r="D137" s="964"/>
      <c r="E137" s="964"/>
      <c r="F137" s="964"/>
      <c r="G137" s="964"/>
      <c r="H137" s="964"/>
      <c r="I137" s="964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964" t="s">
        <v>410</v>
      </c>
      <c r="C138" s="964"/>
      <c r="D138" s="964"/>
      <c r="E138" s="964"/>
      <c r="F138" s="964"/>
      <c r="G138" s="964"/>
      <c r="H138" s="964"/>
      <c r="I138" s="964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944" t="s">
        <v>100</v>
      </c>
      <c r="C143" s="944"/>
      <c r="D143" s="944"/>
      <c r="E143" s="944"/>
      <c r="F143" s="944"/>
      <c r="G143" s="944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944"/>
      <c r="C144" s="944"/>
      <c r="D144" s="944"/>
      <c r="E144" s="944"/>
      <c r="F144" s="944"/>
      <c r="G144" s="944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944"/>
      <c r="C145" s="944"/>
      <c r="D145" s="944"/>
      <c r="E145" s="944"/>
      <c r="F145" s="944"/>
      <c r="G145" s="944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945" t="s">
        <v>6</v>
      </c>
      <c r="C146" s="945"/>
      <c r="D146" s="945"/>
      <c r="E146" s="945"/>
      <c r="F146" s="945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946"/>
      <c r="C147" s="946"/>
      <c r="D147" s="946"/>
      <c r="E147" s="946"/>
      <c r="F147" s="946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942" t="s">
        <v>14</v>
      </c>
      <c r="M150" s="94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43">
        <f>NET_publicv4_EUR</f>
        <v>2.2250000000000001</v>
      </c>
      <c r="M151" s="94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995">
        <f>NET_publicv6_EUR</f>
        <v>0</v>
      </c>
      <c r="M152" s="99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996">
        <f>NET_ingress_EUR</f>
        <v>0</v>
      </c>
      <c r="M153" s="99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995">
        <f>NET_egress_EUR</f>
        <v>0</v>
      </c>
      <c r="M154" s="99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57" t="str">
        <f>NET_mgn.slb_EUR</f>
        <v>Request a quote</v>
      </c>
      <c r="M155" s="95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995">
        <f>NET_rdns_EUR</f>
        <v>0</v>
      </c>
      <c r="M156" s="99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57">
        <f>NET_byoip_EUR</f>
        <v>0</v>
      </c>
      <c r="M157" s="95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994"/>
      <c r="M158" s="99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41"/>
      <c r="M159" s="94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942" t="s">
        <v>14</v>
      </c>
      <c r="M160" s="94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43">
        <f>SW_win.ser.201X_EUR</f>
        <v>6.9419999999999993</v>
      </c>
      <c r="M161" s="94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0">
        <f>SW_win.ser.201X_EUR</f>
        <v>6.9419999999999993</v>
      </c>
      <c r="M162" s="100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957">
        <f>SW_ms.sql.ser_EUR</f>
        <v>133.322</v>
      </c>
      <c r="M163" s="95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01" t="str">
        <f>SW_stackn_EUR</f>
        <v>Request a quote</v>
      </c>
      <c r="M164" s="100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02" t="str">
        <f>SW_nextcloud_EUR</f>
        <v>Request a quote</v>
      </c>
      <c r="M165" s="100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01" t="str">
        <f>SW_suse_EUR</f>
        <v>Request a quote</v>
      </c>
      <c r="M166" s="100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02" t="str">
        <f>SW_cluster.control_EUR</f>
        <v>3x instance price</v>
      </c>
      <c r="M167" s="100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58">
        <f>SW_backup.ninja_EUR</f>
        <v>35.6</v>
      </c>
      <c r="M168" s="95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59"/>
      <c r="M169" s="959"/>
      <c r="O169" s="205"/>
      <c r="P169" s="190"/>
      <c r="R169" s="284"/>
      <c r="S169" s="189"/>
    </row>
    <row r="170" spans="2:22" ht="25" customHeight="1">
      <c r="B170" s="471"/>
      <c r="K170" s="334"/>
      <c r="L170" s="997"/>
      <c r="M170" s="99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41"/>
      <c r="M171" s="94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942" t="s">
        <v>14</v>
      </c>
      <c r="M172" s="942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07" t="str">
        <f>PAAS_man.kubernetes24_EUR</f>
        <v xml:space="preserve"> Requests for quotation </v>
      </c>
      <c r="M173" s="1007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08" t="str">
        <f>PAAS_man.kubernetes8_EUR</f>
        <v>Requests for quotation</v>
      </c>
      <c r="M174" s="100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998" t="str">
        <f>PAAS_man.elasticsearch_EUR</f>
        <v>Requests for quotation</v>
      </c>
      <c r="M175" s="99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08" t="str">
        <f>PAAS_man.redis_EUR</f>
        <v>Requests for quotation</v>
      </c>
      <c r="M176" s="100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998" t="str">
        <f>PAAS_man.nats_EUR</f>
        <v>Requests for quotation</v>
      </c>
      <c r="M177" s="99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999" t="str">
        <f>PAAS_man.mariadb_EUR</f>
        <v>Requests for quotation</v>
      </c>
      <c r="M178" s="99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59"/>
      <c r="M179" s="95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5"/>
      <c r="M180" s="100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6"/>
      <c r="M181" s="1006"/>
      <c r="N181" s="189"/>
      <c r="O181" s="205"/>
      <c r="P181" s="180"/>
      <c r="Q181" s="180"/>
    </row>
    <row r="182" spans="2:19" s="169" customFormat="1" ht="25" customHeight="1">
      <c r="B182" s="944" t="s">
        <v>151</v>
      </c>
      <c r="C182" s="944"/>
      <c r="D182" s="944"/>
      <c r="E182" s="944"/>
      <c r="F182" s="944"/>
      <c r="G182" s="944"/>
      <c r="H182" s="335"/>
      <c r="J182" s="178"/>
      <c r="L182" s="950"/>
      <c r="M182" s="950"/>
      <c r="N182" s="189"/>
      <c r="O182" s="205"/>
    </row>
    <row r="183" spans="2:19" s="169" customFormat="1" ht="25" customHeight="1">
      <c r="B183" s="944"/>
      <c r="C183" s="944"/>
      <c r="D183" s="944"/>
      <c r="E183" s="944"/>
      <c r="F183" s="944"/>
      <c r="G183" s="944"/>
      <c r="H183" s="335"/>
      <c r="J183" s="178"/>
      <c r="L183" s="950"/>
      <c r="M183" s="950"/>
      <c r="N183" s="189"/>
      <c r="O183" s="205"/>
    </row>
    <row r="184" spans="2:19" s="169" customFormat="1" ht="25" customHeight="1">
      <c r="B184" s="944"/>
      <c r="C184" s="944"/>
      <c r="D184" s="944"/>
      <c r="E184" s="944"/>
      <c r="F184" s="944"/>
      <c r="G184" s="944"/>
      <c r="H184" s="335"/>
      <c r="J184" s="178"/>
      <c r="L184" s="950"/>
      <c r="M184" s="950"/>
      <c r="N184" s="189"/>
      <c r="O184" s="205"/>
    </row>
    <row r="185" spans="2:19" s="169" customFormat="1" ht="25" customHeight="1">
      <c r="B185" s="945" t="s">
        <v>6</v>
      </c>
      <c r="C185" s="945"/>
      <c r="D185" s="945"/>
      <c r="E185" s="945"/>
      <c r="F185" s="945"/>
      <c r="H185" s="335"/>
      <c r="J185" s="178"/>
      <c r="L185" s="950"/>
      <c r="M185" s="950"/>
      <c r="N185" s="189"/>
      <c r="O185" s="205"/>
    </row>
    <row r="186" spans="2:19" s="169" customFormat="1" ht="25" customHeight="1">
      <c r="B186" s="946"/>
      <c r="C186" s="946"/>
      <c r="D186" s="946"/>
      <c r="E186" s="946"/>
      <c r="F186" s="946"/>
      <c r="G186" s="182"/>
      <c r="H186" s="183"/>
      <c r="I186" s="182"/>
      <c r="J186" s="184"/>
      <c r="K186" s="182"/>
      <c r="L186" s="951"/>
      <c r="M186" s="95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951"/>
      <c r="M187" s="95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52"/>
      <c r="M188" s="95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942" t="s">
        <v>14</v>
      </c>
      <c r="M189" s="94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53">
        <v>0</v>
      </c>
      <c r="M190" s="95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3" t="s">
        <v>158</v>
      </c>
      <c r="M191" s="100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4" t="s">
        <v>162</v>
      </c>
      <c r="M192" s="100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59"/>
      <c r="M193" s="95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60"/>
      <c r="M194" s="96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41"/>
      <c r="M195" s="94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942" t="s">
        <v>14</v>
      </c>
      <c r="M196" s="94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43">
        <f>PS_consult.jun_EUR</f>
        <v>100.303</v>
      </c>
      <c r="M197" s="94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0">
        <f>PS_consult.sen_EUR</f>
        <v>122.28599999999999</v>
      </c>
      <c r="M198" s="100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57">
        <f>PS_cloudarch.jun_EUR</f>
        <v>113.65299999999999</v>
      </c>
      <c r="M199" s="95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0">
        <f>PS_cloudarch.sen_EUR</f>
        <v>122.28599999999999</v>
      </c>
      <c r="M200" s="100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57">
        <f>PS_pm.jun_EUR</f>
        <v>101.371</v>
      </c>
      <c r="M201" s="95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58">
        <f>PS_pm.sen_EUR</f>
        <v>122.28599999999999</v>
      </c>
      <c r="M202" s="95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59"/>
      <c r="M203" s="95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60"/>
      <c r="M204" s="96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41"/>
      <c r="M205" s="94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42" t="s">
        <v>179</v>
      </c>
      <c r="M206" s="94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53" t="s">
        <v>162</v>
      </c>
      <c r="M207" s="95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54" t="s">
        <v>162</v>
      </c>
      <c r="M208" s="95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55" t="s">
        <v>162</v>
      </c>
      <c r="M209" s="95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56" t="s">
        <v>162</v>
      </c>
      <c r="M210" s="95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947" t="s">
        <v>191</v>
      </c>
      <c r="C217" s="947"/>
      <c r="D217" s="947"/>
      <c r="E217" s="947"/>
      <c r="F217" s="947"/>
      <c r="G217" s="947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947"/>
      <c r="C218" s="947"/>
      <c r="D218" s="947"/>
      <c r="E218" s="947"/>
      <c r="F218" s="947"/>
      <c r="G218" s="947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947"/>
      <c r="C219" s="947"/>
      <c r="D219" s="947"/>
      <c r="E219" s="947"/>
      <c r="F219" s="947"/>
      <c r="G219" s="947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948" t="s">
        <v>6</v>
      </c>
      <c r="C220" s="948"/>
      <c r="D220" s="948"/>
      <c r="E220" s="948"/>
      <c r="F220" s="948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949" t="str">
        <f>SUM(E67)&amp;" GB NVME-Disk"</f>
        <v>0 GB NVME-Disk</v>
      </c>
      <c r="G227" s="949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6" priority="74" operator="greaterThan">
      <formula>0</formula>
    </cfRule>
  </conditionalFormatting>
  <conditionalFormatting sqref="H130 I89:I90 I25:I33 I72:J75 I36:I37">
    <cfRule type="cellIs" dxfId="125" priority="73" operator="greaterThan">
      <formula>0</formula>
    </cfRule>
  </conditionalFormatting>
  <conditionalFormatting sqref="I90">
    <cfRule type="cellIs" dxfId="124" priority="72" operator="greaterThan">
      <formula>0</formula>
    </cfRule>
  </conditionalFormatting>
  <conditionalFormatting sqref="I89">
    <cfRule type="cellIs" dxfId="123" priority="71" operator="greaterThan">
      <formula>0</formula>
    </cfRule>
  </conditionalFormatting>
  <conditionalFormatting sqref="H132 J132">
    <cfRule type="cellIs" dxfId="122" priority="68" operator="greaterThan">
      <formula>0</formula>
    </cfRule>
  </conditionalFormatting>
  <conditionalFormatting sqref="J132">
    <cfRule type="cellIs" dxfId="121" priority="67" operator="greaterThan">
      <formula>0</formula>
    </cfRule>
  </conditionalFormatting>
  <conditionalFormatting sqref="H131 J131">
    <cfRule type="cellIs" dxfId="120" priority="66" operator="greaterThan">
      <formula>0</formula>
    </cfRule>
  </conditionalFormatting>
  <conditionalFormatting sqref="J131">
    <cfRule type="cellIs" dxfId="119" priority="65" operator="greaterThan">
      <formula>0</formula>
    </cfRule>
  </conditionalFormatting>
  <conditionalFormatting sqref="L72:M72 L74:M74">
    <cfRule type="cellIs" dxfId="118" priority="45" operator="greaterThan">
      <formula>0</formula>
    </cfRule>
  </conditionalFormatting>
  <conditionalFormatting sqref="L73:M73 L75:M75">
    <cfRule type="cellIs" dxfId="117" priority="47" operator="greaterThan">
      <formula>0</formula>
    </cfRule>
  </conditionalFormatting>
  <conditionalFormatting sqref="L73:M73 L75:M75">
    <cfRule type="cellIs" dxfId="116" priority="46" operator="greaterThan">
      <formula>0</formula>
    </cfRule>
  </conditionalFormatting>
  <conditionalFormatting sqref="I81:J83">
    <cfRule type="cellIs" dxfId="115" priority="42" operator="greaterThan">
      <formula>0</formula>
    </cfRule>
  </conditionalFormatting>
  <conditionalFormatting sqref="L82:M82 L81">
    <cfRule type="cellIs" dxfId="114" priority="43" operator="greaterThan">
      <formula>0</formula>
    </cfRule>
  </conditionalFormatting>
  <conditionalFormatting sqref="I81:J83">
    <cfRule type="cellIs" dxfId="113" priority="44" operator="lessThan">
      <formula>$J81</formula>
    </cfRule>
  </conditionalFormatting>
  <conditionalFormatting sqref="L83:M83">
    <cfRule type="cellIs" dxfId="112" priority="41" operator="greaterThan">
      <formula>0</formula>
    </cfRule>
  </conditionalFormatting>
  <conditionalFormatting sqref="I72:I75">
    <cfRule type="cellIs" dxfId="111" priority="32" operator="lessThan">
      <formula>$J72</formula>
    </cfRule>
  </conditionalFormatting>
  <conditionalFormatting sqref="L72:M72 L74:M74">
    <cfRule type="cellIs" dxfId="110" priority="22" operator="greaterThan">
      <formula>0</formula>
    </cfRule>
  </conditionalFormatting>
  <conditionalFormatting sqref="I43:I44">
    <cfRule type="cellIs" dxfId="109" priority="30" operator="greaterThan">
      <formula>0</formula>
    </cfRule>
  </conditionalFormatting>
  <conditionalFormatting sqref="K44">
    <cfRule type="cellIs" dxfId="108" priority="29" operator="greaterThan">
      <formula>0</formula>
    </cfRule>
  </conditionalFormatting>
  <conditionalFormatting sqref="K43">
    <cfRule type="cellIs" dxfId="107" priority="28" operator="greaterThan">
      <formula>0</formula>
    </cfRule>
  </conditionalFormatting>
  <conditionalFormatting sqref="K44">
    <cfRule type="cellIs" dxfId="106" priority="27" operator="greaterThan">
      <formula>0</formula>
    </cfRule>
  </conditionalFormatting>
  <conditionalFormatting sqref="K43">
    <cfRule type="cellIs" dxfId="105" priority="26" operator="greaterThan">
      <formula>0</formula>
    </cfRule>
  </conditionalFormatting>
  <conditionalFormatting sqref="L73:M73 L75:M75">
    <cfRule type="cellIs" dxfId="104" priority="24" operator="greaterThan">
      <formula>0</formula>
    </cfRule>
  </conditionalFormatting>
  <conditionalFormatting sqref="L72:M72 L74:M74">
    <cfRule type="cellIs" dxfId="103" priority="23" operator="greaterThan">
      <formula>0</formula>
    </cfRule>
  </conditionalFormatting>
  <conditionalFormatting sqref="K34:K35">
    <cfRule type="cellIs" dxfId="102" priority="21" operator="greaterThan">
      <formula>0</formula>
    </cfRule>
  </conditionalFormatting>
  <conditionalFormatting sqref="I34:I35">
    <cfRule type="cellIs" dxfId="101" priority="20" operator="greaterThan">
      <formula>0</formula>
    </cfRule>
  </conditionalFormatting>
  <conditionalFormatting sqref="K46 K52 K54 K56 K58 K60 K62 K64 K66 K48 K50">
    <cfRule type="cellIs" dxfId="100" priority="9" operator="greaterThan">
      <formula>0</formula>
    </cfRule>
  </conditionalFormatting>
  <conditionalFormatting sqref="K45 K47 K53 K55 K57 K59 K61 K63 K65 K49 K51">
    <cfRule type="cellIs" dxfId="99" priority="8" operator="greaterThan">
      <formula>0</formula>
    </cfRule>
  </conditionalFormatting>
  <conditionalFormatting sqref="I45:I66">
    <cfRule type="cellIs" dxfId="98" priority="12" operator="greaterThan">
      <formula>0</formula>
    </cfRule>
  </conditionalFormatting>
  <conditionalFormatting sqref="K46 K52 K54 K56 K58 K60 K62 K64 K66 K48 K50">
    <cfRule type="cellIs" dxfId="97" priority="11" operator="greaterThan">
      <formula>0</formula>
    </cfRule>
  </conditionalFormatting>
  <conditionalFormatting sqref="K45 K47 K53 K55 K57 K59 K61 K63 K65 K49 K51">
    <cfRule type="cellIs" dxfId="96" priority="10" operator="greaterThan">
      <formula>0</formula>
    </cfRule>
  </conditionalFormatting>
  <conditionalFormatting sqref="M81">
    <cfRule type="cellIs" dxfId="95" priority="6" operator="greaterThan">
      <formula>0</formula>
    </cfRule>
  </conditionalFormatting>
  <conditionalFormatting sqref="I25:I37 I43:I66">
    <cfRule type="cellIs" dxfId="94" priority="151" operator="lessThan">
      <formula>#REF!</formula>
    </cfRule>
  </conditionalFormatting>
  <conditionalFormatting sqref="K110">
    <cfRule type="cellIs" dxfId="93" priority="5" operator="greaterThan">
      <formula>0</formula>
    </cfRule>
  </conditionalFormatting>
  <conditionalFormatting sqref="H103">
    <cfRule type="cellIs" dxfId="92" priority="4" operator="greaterThan">
      <formula>0</formula>
    </cfRule>
  </conditionalFormatting>
  <conditionalFormatting sqref="H103">
    <cfRule type="cellIs" dxfId="91" priority="3" operator="greaterThan">
      <formula>0</formula>
    </cfRule>
  </conditionalFormatting>
  <conditionalFormatting sqref="H112">
    <cfRule type="cellIs" dxfId="90" priority="2" operator="greaterThan">
      <formula>0</formula>
    </cfRule>
  </conditionalFormatting>
  <conditionalFormatting sqref="H112">
    <cfRule type="cellIs" dxfId="89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34"/>
      <c r="C4" s="934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19" t="s">
        <v>617</v>
      </c>
      <c r="C15" s="919"/>
      <c r="D15" s="919"/>
      <c r="E15" s="919"/>
      <c r="F15" s="919"/>
      <c r="G15" s="919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19"/>
      <c r="C16" s="919"/>
      <c r="D16" s="919"/>
      <c r="E16" s="919"/>
      <c r="F16" s="919"/>
      <c r="G16" s="919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19"/>
      <c r="C17" s="919"/>
      <c r="D17" s="919"/>
      <c r="E17" s="919"/>
      <c r="F17" s="919"/>
      <c r="G17" s="919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35" t="s">
        <v>562</v>
      </c>
      <c r="C19" s="935"/>
      <c r="D19" s="935"/>
      <c r="E19" s="935"/>
      <c r="F19" s="935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664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95" t="s">
        <v>668</v>
      </c>
      <c r="C24" s="1095"/>
      <c r="D24" s="1095"/>
      <c r="E24" s="1095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665</v>
      </c>
      <c r="C43" s="650"/>
      <c r="D43" s="650"/>
      <c r="K43" s="842"/>
      <c r="M43" s="664"/>
    </row>
    <row r="44" spans="2:18" ht="25" customHeight="1">
      <c r="B44" s="1095" t="s">
        <v>667</v>
      </c>
      <c r="C44" s="1095"/>
      <c r="D44" s="1095"/>
      <c r="E44" s="1095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1094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36" t="s">
        <v>604</v>
      </c>
      <c r="C59" s="936"/>
      <c r="D59" s="936"/>
      <c r="E59" s="936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36" t="s">
        <v>604</v>
      </c>
      <c r="C69" s="936"/>
      <c r="D69" s="936"/>
      <c r="E69" s="936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19" t="s">
        <v>618</v>
      </c>
      <c r="C86" s="919"/>
      <c r="D86" s="919"/>
      <c r="E86" s="919"/>
      <c r="F86" s="919"/>
      <c r="G86" s="919"/>
      <c r="H86" s="672"/>
      <c r="J86" s="674"/>
      <c r="K86" s="833"/>
      <c r="M86" s="664"/>
    </row>
    <row r="87" spans="2:26" s="4" customFormat="1" ht="25" customHeight="1">
      <c r="B87" s="919"/>
      <c r="C87" s="919"/>
      <c r="D87" s="919"/>
      <c r="E87" s="919"/>
      <c r="F87" s="919"/>
      <c r="G87" s="919"/>
      <c r="H87" s="672"/>
      <c r="J87" s="674"/>
      <c r="K87" s="833"/>
      <c r="M87" s="664"/>
    </row>
    <row r="88" spans="2:26" s="4" customFormat="1" ht="25" customHeight="1">
      <c r="B88" s="919"/>
      <c r="C88" s="919"/>
      <c r="D88" s="919"/>
      <c r="E88" s="919"/>
      <c r="F88" s="919"/>
      <c r="G88" s="919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33" t="s">
        <v>225</v>
      </c>
      <c r="E99" s="933"/>
      <c r="F99" s="933"/>
      <c r="G99" s="933"/>
      <c r="H99" s="933"/>
      <c r="I99" s="933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32">
        <f>S3_archive.50_SEK</f>
        <v>350</v>
      </c>
      <c r="E101" s="932"/>
      <c r="F101" s="932"/>
      <c r="G101" s="932"/>
      <c r="H101" s="932"/>
      <c r="I101" s="932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30">
        <f>S3_archive.100_SEK</f>
        <v>270</v>
      </c>
      <c r="E102" s="930"/>
      <c r="F102" s="930"/>
      <c r="G102" s="930"/>
      <c r="H102" s="930"/>
      <c r="I102" s="930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21">
        <f>S3_archive.500_SEK</f>
        <v>200</v>
      </c>
      <c r="E103" s="921"/>
      <c r="F103" s="921"/>
      <c r="G103" s="921"/>
      <c r="H103" s="921"/>
      <c r="I103" s="921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30">
        <f>S3_archive.1000_SEK</f>
        <v>185</v>
      </c>
      <c r="E104" s="930"/>
      <c r="F104" s="930"/>
      <c r="G104" s="930"/>
      <c r="H104" s="930"/>
      <c r="I104" s="930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31" t="str">
        <f>S3_archive.quote_SEK</f>
        <v>Be om offert</v>
      </c>
      <c r="E105" s="931"/>
      <c r="F105" s="931"/>
      <c r="G105" s="931"/>
      <c r="H105" s="931"/>
      <c r="I105" s="931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19" t="s">
        <v>619</v>
      </c>
      <c r="C109" s="919"/>
      <c r="D109" s="919"/>
      <c r="E109" s="919"/>
      <c r="F109" s="919"/>
      <c r="G109" s="919"/>
      <c r="H109" s="672"/>
      <c r="J109" s="674"/>
      <c r="K109" s="833"/>
      <c r="L109" s="674"/>
      <c r="M109" s="664"/>
    </row>
    <row r="110" spans="2:19" s="4" customFormat="1" ht="25" customHeight="1">
      <c r="B110" s="919"/>
      <c r="C110" s="919"/>
      <c r="D110" s="919"/>
      <c r="E110" s="919"/>
      <c r="F110" s="919"/>
      <c r="G110" s="919"/>
      <c r="H110" s="672"/>
      <c r="J110" s="674"/>
      <c r="K110" s="833"/>
      <c r="L110" s="674"/>
      <c r="M110" s="664"/>
    </row>
    <row r="111" spans="2:19" s="4" customFormat="1" ht="25" customHeight="1">
      <c r="B111" s="919"/>
      <c r="C111" s="919"/>
      <c r="D111" s="919"/>
      <c r="E111" s="919"/>
      <c r="F111" s="919"/>
      <c r="G111" s="919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35" t="s">
        <v>562</v>
      </c>
      <c r="C113" s="935"/>
      <c r="D113" s="935"/>
      <c r="E113" s="935"/>
      <c r="F113" s="935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19" t="s">
        <v>434</v>
      </c>
      <c r="C124" s="919"/>
      <c r="D124" s="919"/>
      <c r="E124" s="919"/>
      <c r="F124" s="919"/>
      <c r="G124" s="919"/>
      <c r="H124" s="672"/>
      <c r="J124" s="674"/>
      <c r="K124" s="833"/>
      <c r="L124" s="674"/>
      <c r="M124" s="664"/>
    </row>
    <row r="125" spans="2:32" s="4" customFormat="1" ht="25" hidden="1" customHeight="1">
      <c r="B125" s="919"/>
      <c r="C125" s="919"/>
      <c r="D125" s="919"/>
      <c r="E125" s="919"/>
      <c r="F125" s="919"/>
      <c r="G125" s="919"/>
      <c r="H125" s="672"/>
      <c r="J125" s="674"/>
      <c r="K125" s="833"/>
      <c r="L125" s="674"/>
      <c r="M125" s="664"/>
    </row>
    <row r="126" spans="2:32" s="4" customFormat="1" ht="25" hidden="1" customHeight="1">
      <c r="B126" s="919"/>
      <c r="C126" s="919"/>
      <c r="D126" s="919"/>
      <c r="E126" s="919"/>
      <c r="F126" s="919"/>
      <c r="G126" s="919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35" t="s">
        <v>613</v>
      </c>
      <c r="C128" s="935"/>
      <c r="D128" s="935"/>
      <c r="E128" s="935"/>
      <c r="F128" s="935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20" t="s">
        <v>580</v>
      </c>
      <c r="D131" s="920"/>
      <c r="E131" s="920" t="s">
        <v>581</v>
      </c>
      <c r="F131" s="920"/>
      <c r="G131" s="920" t="s">
        <v>285</v>
      </c>
      <c r="H131" s="920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26" t="s">
        <v>533</v>
      </c>
      <c r="D132" s="926"/>
      <c r="E132" s="928" t="s">
        <v>601</v>
      </c>
      <c r="F132" s="928"/>
      <c r="G132" s="922">
        <v>15000</v>
      </c>
      <c r="H132" s="923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27" t="s">
        <v>582</v>
      </c>
      <c r="D133" s="927"/>
      <c r="E133" s="929" t="s">
        <v>583</v>
      </c>
      <c r="F133" s="929"/>
      <c r="G133" s="924">
        <v>24000</v>
      </c>
      <c r="H133" s="925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19" t="s">
        <v>291</v>
      </c>
      <c r="C138" s="919"/>
      <c r="D138" s="919"/>
      <c r="E138" s="919"/>
      <c r="F138" s="919"/>
      <c r="G138" s="919"/>
      <c r="H138" s="672"/>
      <c r="J138" s="674"/>
      <c r="K138" s="833"/>
      <c r="M138" s="664"/>
    </row>
    <row r="139" spans="2:32" s="4" customFormat="1" ht="25" customHeight="1">
      <c r="B139" s="919"/>
      <c r="C139" s="919"/>
      <c r="D139" s="919"/>
      <c r="E139" s="919"/>
      <c r="F139" s="919"/>
      <c r="G139" s="919"/>
      <c r="H139" s="672"/>
      <c r="J139" s="674"/>
      <c r="K139" s="833"/>
      <c r="M139" s="664"/>
    </row>
    <row r="140" spans="2:32" s="4" customFormat="1" ht="25" customHeight="1">
      <c r="B140" s="919"/>
      <c r="C140" s="919"/>
      <c r="D140" s="919"/>
      <c r="E140" s="919"/>
      <c r="F140" s="919"/>
      <c r="G140" s="919"/>
      <c r="H140" s="672"/>
      <c r="J140" s="674"/>
      <c r="K140" s="833"/>
      <c r="M140" s="664"/>
    </row>
    <row r="141" spans="2:32" s="4" customFormat="1" ht="25" customHeight="1">
      <c r="B141" s="935" t="s">
        <v>562</v>
      </c>
      <c r="C141" s="935"/>
      <c r="D141" s="935"/>
      <c r="E141" s="935"/>
      <c r="F141" s="935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09"/>
      <c r="C142" s="1009"/>
      <c r="D142" s="1009"/>
      <c r="E142" s="1009"/>
      <c r="F142" s="1009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29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555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554" t="str">
        <f>PAAS_openshift_SEK</f>
        <v>Begär offert</v>
      </c>
      <c r="M175" s="664"/>
      <c r="N175" s="742"/>
      <c r="O175" s="8"/>
    </row>
    <row r="176" spans="2:18" ht="25" customHeight="1">
      <c r="B176" s="134" t="s">
        <v>483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5" t="s">
        <v>588</v>
      </c>
      <c r="M176" s="664"/>
      <c r="N176" s="742"/>
      <c r="O176" s="8"/>
    </row>
    <row r="177" spans="2:20" ht="25" customHeight="1">
      <c r="B177" s="137" t="s">
        <v>484</v>
      </c>
      <c r="C177" s="130"/>
      <c r="D177" s="38"/>
      <c r="E177" s="38" t="s">
        <v>150</v>
      </c>
      <c r="F177" s="771"/>
      <c r="G177" s="771"/>
      <c r="H177" s="771"/>
      <c r="I177" s="771"/>
      <c r="J177" s="779"/>
      <c r="K177" s="554" t="s">
        <v>588</v>
      </c>
      <c r="M177" s="664"/>
      <c r="N177" s="742"/>
      <c r="O177" s="8"/>
    </row>
    <row r="178" spans="2:20" ht="25" customHeight="1">
      <c r="B178" s="134" t="s">
        <v>442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5" t="s">
        <v>588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19" t="s">
        <v>299</v>
      </c>
      <c r="C182" s="919"/>
      <c r="D182" s="919"/>
      <c r="E182" s="919"/>
      <c r="F182" s="919"/>
      <c r="G182" s="919"/>
      <c r="H182" s="780"/>
      <c r="J182" s="674"/>
      <c r="K182" s="833"/>
      <c r="M182" s="664"/>
    </row>
    <row r="183" spans="2:20" s="4" customFormat="1" ht="25" customHeight="1">
      <c r="B183" s="919"/>
      <c r="C183" s="919"/>
      <c r="D183" s="919"/>
      <c r="E183" s="919"/>
      <c r="F183" s="919"/>
      <c r="G183" s="919"/>
      <c r="H183" s="780"/>
      <c r="J183" s="674"/>
      <c r="K183" s="833"/>
      <c r="M183" s="664"/>
    </row>
    <row r="184" spans="2:20" s="4" customFormat="1" ht="25" customHeight="1">
      <c r="B184" s="919"/>
      <c r="C184" s="919"/>
      <c r="D184" s="919"/>
      <c r="E184" s="919"/>
      <c r="F184" s="919"/>
      <c r="G184" s="919"/>
      <c r="H184" s="780"/>
      <c r="J184" s="674"/>
      <c r="K184" s="833"/>
      <c r="M184" s="664"/>
    </row>
    <row r="185" spans="2:20" s="4" customFormat="1" ht="25" customHeight="1">
      <c r="B185" s="939" t="s">
        <v>592</v>
      </c>
      <c r="C185" s="939"/>
      <c r="D185" s="939"/>
      <c r="E185" s="939"/>
      <c r="F185" s="939"/>
      <c r="H185" s="780"/>
      <c r="J185" s="674"/>
      <c r="K185" s="833"/>
      <c r="M185" s="664"/>
    </row>
    <row r="186" spans="2:20" s="4" customFormat="1" ht="25" customHeight="1">
      <c r="B186" s="935" t="s">
        <v>412</v>
      </c>
      <c r="C186" s="935"/>
      <c r="D186" s="935"/>
      <c r="E186" s="935"/>
      <c r="F186" s="935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593</v>
      </c>
      <c r="M189" s="664"/>
    </row>
    <row r="190" spans="2:20" ht="25" customHeight="1">
      <c r="B190" s="470" t="s">
        <v>208</v>
      </c>
      <c r="C190" s="23"/>
      <c r="D190" s="24" t="s">
        <v>275</v>
      </c>
      <c r="E190" s="132"/>
      <c r="F190" s="24"/>
      <c r="G190" s="131"/>
      <c r="H190" s="131"/>
      <c r="I190" s="23" t="s">
        <v>587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594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588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595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596</v>
      </c>
      <c r="M197" s="664"/>
    </row>
    <row r="198" spans="2:18" ht="25" customHeight="1">
      <c r="B198" s="470" t="s">
        <v>208</v>
      </c>
      <c r="C198" s="23"/>
      <c r="D198" s="24" t="s">
        <v>275</v>
      </c>
      <c r="E198" s="132"/>
      <c r="F198" s="24"/>
      <c r="G198" s="131"/>
      <c r="H198" s="131"/>
      <c r="I198" s="23" t="s">
        <v>587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597</v>
      </c>
      <c r="M208" s="664"/>
    </row>
    <row r="209" spans="1:18" ht="25" customHeight="1">
      <c r="B209" s="470" t="s">
        <v>208</v>
      </c>
      <c r="C209" s="23"/>
      <c r="D209" s="24" t="s">
        <v>275</v>
      </c>
      <c r="E209" s="132"/>
      <c r="F209" s="24"/>
      <c r="G209" s="23" t="s">
        <v>251</v>
      </c>
      <c r="H209" s="23"/>
      <c r="I209" s="23" t="s">
        <v>587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633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307</v>
      </c>
      <c r="J210" s="770"/>
      <c r="K210" s="555" t="s">
        <v>588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634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307</v>
      </c>
      <c r="J211" s="773"/>
      <c r="K211" s="554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635</v>
      </c>
      <c r="C212" s="129"/>
      <c r="D212" s="30" t="s">
        <v>256</v>
      </c>
      <c r="E212" s="40"/>
      <c r="F212" s="30"/>
      <c r="G212" s="770" t="s">
        <v>598</v>
      </c>
      <c r="H212" s="770"/>
      <c r="I212" s="770" t="s">
        <v>307</v>
      </c>
      <c r="J212" s="770"/>
      <c r="K212" s="555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636</v>
      </c>
      <c r="C213" s="130"/>
      <c r="D213" s="38" t="s">
        <v>258</v>
      </c>
      <c r="E213" s="31"/>
      <c r="F213" s="771"/>
      <c r="G213" s="773" t="s">
        <v>598</v>
      </c>
      <c r="H213" s="773"/>
      <c r="I213" s="773" t="s">
        <v>307</v>
      </c>
      <c r="J213" s="773"/>
      <c r="K213" s="554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37" t="s">
        <v>312</v>
      </c>
      <c r="C220" s="937"/>
      <c r="D220" s="937"/>
      <c r="E220" s="937"/>
      <c r="F220" s="937"/>
      <c r="G220" s="937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37"/>
      <c r="C221" s="937"/>
      <c r="D221" s="937"/>
      <c r="E221" s="937"/>
      <c r="F221" s="937"/>
      <c r="G221" s="937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37"/>
      <c r="C222" s="937"/>
      <c r="D222" s="937"/>
      <c r="E222" s="937"/>
      <c r="F222" s="937"/>
      <c r="G222" s="937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38" t="s">
        <v>562</v>
      </c>
      <c r="C223" s="938"/>
      <c r="D223" s="938"/>
      <c r="E223" s="938"/>
      <c r="F223" s="938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599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433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495</v>
      </c>
      <c r="C229" s="56"/>
      <c r="D229" s="57"/>
      <c r="E229" s="56"/>
      <c r="F229" s="659"/>
      <c r="G229" s="659"/>
      <c r="H229" s="659"/>
      <c r="I229" s="56"/>
      <c r="J229" s="659" t="s">
        <v>312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K65+K74+K56+K39+K83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K96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K120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8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575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576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577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578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nN/t6IPxCyd7O4qmCmWwivPvhZnYNRWYVi7hvMY3q2Xvfj/yhnVxL+fI2p64oRh/iJ2/yE0nU3YMIy7ByIWSFA==" saltValue="+uwG6DuzyVxWgz9hjttZrA==" spinCount="100000" sheet="1" selectLockedCells="1"/>
  <mergeCells count="47">
    <mergeCell ref="B185:F185"/>
    <mergeCell ref="B186:F186"/>
    <mergeCell ref="B220:G222"/>
    <mergeCell ref="B223:F223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2:G184"/>
    <mergeCell ref="C132:D132"/>
    <mergeCell ref="E132:F132"/>
    <mergeCell ref="G132:H132"/>
    <mergeCell ref="B109:G111"/>
    <mergeCell ref="B124:G126"/>
    <mergeCell ref="C131:D131"/>
    <mergeCell ref="E131:F131"/>
    <mergeCell ref="G131:H131"/>
    <mergeCell ref="D104:E104"/>
    <mergeCell ref="F104:G104"/>
    <mergeCell ref="H104:I104"/>
    <mergeCell ref="D105:E105"/>
    <mergeCell ref="F105:G105"/>
    <mergeCell ref="H105:I105"/>
    <mergeCell ref="D102:E102"/>
    <mergeCell ref="F102:G102"/>
    <mergeCell ref="H102:I102"/>
    <mergeCell ref="D103:E103"/>
    <mergeCell ref="F103:G103"/>
    <mergeCell ref="H103:I103"/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</mergeCells>
  <phoneticPr fontId="2" type="noConversion"/>
  <conditionalFormatting sqref="I61:I64 K61:K64 I71:I73 K71:K73 I80:I82 K80:K82 I94:I95 K94:K95 I117:I119 J118:J119 K117:K119 I46:I55 K46:K55 I26:I38 K26:K38">
    <cfRule type="cellIs" dxfId="8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972" t="str">
        <f>"1 SEK = "&amp;NOK&amp;" NOK"</f>
        <v>1 SEK = 1 NOK</v>
      </c>
      <c r="E11" s="972"/>
      <c r="F11" s="97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971" t="s">
        <v>265</v>
      </c>
      <c r="C19" s="971"/>
      <c r="D19" s="971"/>
      <c r="E19" s="971"/>
      <c r="F19" s="97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963" t="s">
        <v>276</v>
      </c>
      <c r="G88" s="963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24">
        <f>VOLUME_large_SEK</f>
        <v>1.2</v>
      </c>
      <c r="G89" s="1024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22">
        <f>VOLUME_fast_SEK</f>
        <v>3.6</v>
      </c>
      <c r="G90" s="102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44" t="s">
        <v>72</v>
      </c>
      <c r="C95" s="944"/>
      <c r="D95" s="944"/>
      <c r="E95" s="944"/>
      <c r="F95" s="944"/>
      <c r="G95" s="944"/>
      <c r="H95" s="177"/>
      <c r="J95" s="178"/>
      <c r="K95" s="178"/>
      <c r="M95" s="179"/>
      <c r="O95" s="168"/>
    </row>
    <row r="96" spans="2:23" s="169" customFormat="1" ht="25.5" customHeight="1">
      <c r="B96" s="944"/>
      <c r="C96" s="944"/>
      <c r="D96" s="944"/>
      <c r="E96" s="944"/>
      <c r="F96" s="944"/>
      <c r="G96" s="944"/>
      <c r="H96" s="177"/>
      <c r="J96" s="178"/>
      <c r="K96" s="178"/>
      <c r="M96" s="179"/>
      <c r="O96" s="168"/>
    </row>
    <row r="97" spans="2:23" s="169" customFormat="1" ht="25.5" customHeight="1">
      <c r="B97" s="944"/>
      <c r="C97" s="944"/>
      <c r="D97" s="944"/>
      <c r="E97" s="944"/>
      <c r="F97" s="944"/>
      <c r="G97" s="944"/>
      <c r="H97" s="177"/>
      <c r="J97" s="178"/>
      <c r="K97" s="178"/>
      <c r="M97" s="179"/>
      <c r="O97" s="168"/>
    </row>
    <row r="98" spans="2:23" s="169" customFormat="1" ht="25.5" customHeight="1">
      <c r="B98" s="1020" t="s">
        <v>278</v>
      </c>
      <c r="C98" s="1020"/>
      <c r="D98" s="1020"/>
      <c r="E98" s="1020"/>
      <c r="F98" s="102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971" t="s">
        <v>279</v>
      </c>
      <c r="C99" s="971"/>
      <c r="D99" s="971"/>
      <c r="E99" s="971"/>
      <c r="F99" s="97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963" t="s">
        <v>282</v>
      </c>
      <c r="E102" s="963"/>
      <c r="F102" s="963"/>
      <c r="G102" s="963"/>
      <c r="H102" s="963"/>
      <c r="I102" s="963"/>
      <c r="J102" s="963"/>
      <c r="K102" s="963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23">
        <f>S3_storage.50_SEK</f>
        <v>350</v>
      </c>
      <c r="E103" s="1023"/>
      <c r="F103" s="1023"/>
      <c r="G103" s="1023"/>
      <c r="H103" s="1023"/>
      <c r="I103" s="1023"/>
      <c r="J103" s="1023"/>
      <c r="K103" s="1023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18">
        <f>S3_storage.100_SEK</f>
        <v>270</v>
      </c>
      <c r="E104" s="1018"/>
      <c r="F104" s="1018"/>
      <c r="G104" s="1018"/>
      <c r="H104" s="1018"/>
      <c r="I104" s="1018"/>
      <c r="J104" s="1018"/>
      <c r="K104" s="1018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21">
        <f>S3_storage.500_SEK</f>
        <v>200</v>
      </c>
      <c r="E105" s="1021"/>
      <c r="F105" s="1021"/>
      <c r="G105" s="1021"/>
      <c r="H105" s="1021"/>
      <c r="I105" s="1021"/>
      <c r="J105" s="1021"/>
      <c r="K105" s="1021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18">
        <f>S3_storage.1000_SEK</f>
        <v>185</v>
      </c>
      <c r="E106" s="1018"/>
      <c r="F106" s="1018"/>
      <c r="G106" s="1018"/>
      <c r="H106" s="1018"/>
      <c r="I106" s="1018"/>
      <c r="J106" s="1018"/>
      <c r="K106" s="1018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19" t="str">
        <f>S3_storage.quote_SEK</f>
        <v>Be om offert</v>
      </c>
      <c r="E107" s="1019"/>
      <c r="F107" s="1019"/>
      <c r="G107" s="1019"/>
      <c r="H107" s="1019"/>
      <c r="I107" s="1019"/>
      <c r="J107" s="1019"/>
      <c r="K107" s="1019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44" t="s">
        <v>86</v>
      </c>
      <c r="C116" s="944"/>
      <c r="D116" s="944"/>
      <c r="E116" s="944"/>
      <c r="F116" s="944"/>
      <c r="G116" s="94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44"/>
      <c r="C117" s="944"/>
      <c r="D117" s="944"/>
      <c r="E117" s="944"/>
      <c r="F117" s="944"/>
      <c r="G117" s="94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44"/>
      <c r="C118" s="944"/>
      <c r="D118" s="944"/>
      <c r="E118" s="944"/>
      <c r="F118" s="944"/>
      <c r="G118" s="94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20" t="s">
        <v>283</v>
      </c>
      <c r="C119" s="1020"/>
      <c r="D119" s="1020"/>
      <c r="E119" s="1020"/>
      <c r="F119" s="102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971" t="s">
        <v>284</v>
      </c>
      <c r="C120" s="971"/>
      <c r="D120" s="971"/>
      <c r="E120" s="971"/>
      <c r="F120" s="97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63" t="s">
        <v>285</v>
      </c>
      <c r="D123" s="963"/>
      <c r="E123" s="131" t="s">
        <v>267</v>
      </c>
      <c r="F123" s="963" t="s">
        <v>276</v>
      </c>
      <c r="G123" s="963"/>
      <c r="H123" s="266" t="s">
        <v>90</v>
      </c>
      <c r="I123" s="265"/>
      <c r="J123" s="977" t="s">
        <v>286</v>
      </c>
      <c r="K123" s="977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12">
        <f>BAAS_on.demand_SEK</f>
        <v>2.4500000000000002</v>
      </c>
      <c r="G124" s="1013"/>
      <c r="H124" s="307"/>
      <c r="I124" s="472" t="s">
        <v>69</v>
      </c>
      <c r="J124" s="981" t="s">
        <v>94</v>
      </c>
      <c r="K124" s="981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14">
        <f>BAAS_small_SEK</f>
        <v>1.75</v>
      </c>
      <c r="G125" s="1015"/>
      <c r="H125" s="309"/>
      <c r="I125" s="473" t="s">
        <v>69</v>
      </c>
      <c r="J125" s="985">
        <v>0.75</v>
      </c>
      <c r="K125" s="98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16">
        <f>BAAS_large_SEK</f>
        <v>0.92</v>
      </c>
      <c r="G126" s="1017"/>
      <c r="H126" s="298"/>
      <c r="I126" s="474" t="s">
        <v>69</v>
      </c>
      <c r="J126" s="990">
        <v>0.75</v>
      </c>
      <c r="K126" s="99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44" t="s">
        <v>291</v>
      </c>
      <c r="C137" s="944"/>
      <c r="D137" s="944"/>
      <c r="E137" s="944"/>
      <c r="F137" s="944"/>
      <c r="G137" s="94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44"/>
      <c r="C138" s="944"/>
      <c r="D138" s="944"/>
      <c r="E138" s="944"/>
      <c r="F138" s="944"/>
      <c r="G138" s="94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44"/>
      <c r="C139" s="944"/>
      <c r="D139" s="944"/>
      <c r="E139" s="944"/>
      <c r="F139" s="944"/>
      <c r="G139" s="94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971" t="s">
        <v>284</v>
      </c>
      <c r="C140" s="971"/>
      <c r="D140" s="971"/>
      <c r="E140" s="971"/>
      <c r="F140" s="97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46"/>
      <c r="C141" s="946"/>
      <c r="D141" s="946"/>
      <c r="E141" s="946"/>
      <c r="F141" s="94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44" t="s">
        <v>299</v>
      </c>
      <c r="C176" s="944"/>
      <c r="D176" s="944"/>
      <c r="E176" s="944"/>
      <c r="F176" s="944"/>
      <c r="G176" s="94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44"/>
      <c r="C177" s="944"/>
      <c r="D177" s="944"/>
      <c r="E177" s="944"/>
      <c r="F177" s="944"/>
      <c r="G177" s="94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44"/>
      <c r="C178" s="944"/>
      <c r="D178" s="944"/>
      <c r="E178" s="944"/>
      <c r="F178" s="944"/>
      <c r="G178" s="94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971" t="s">
        <v>284</v>
      </c>
      <c r="C179" s="971"/>
      <c r="D179" s="971"/>
      <c r="E179" s="971"/>
      <c r="F179" s="97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46"/>
      <c r="C180" s="946"/>
      <c r="D180" s="946"/>
      <c r="E180" s="946"/>
      <c r="F180" s="94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47" t="s">
        <v>312</v>
      </c>
      <c r="C211" s="947"/>
      <c r="D211" s="947"/>
      <c r="E211" s="947"/>
      <c r="F211" s="947"/>
      <c r="G211" s="94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47"/>
      <c r="C212" s="947"/>
      <c r="D212" s="947"/>
      <c r="E212" s="947"/>
      <c r="F212" s="947"/>
      <c r="G212" s="94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47"/>
      <c r="C213" s="947"/>
      <c r="D213" s="947"/>
      <c r="E213" s="947"/>
      <c r="F213" s="947"/>
      <c r="G213" s="94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10" t="s">
        <v>313</v>
      </c>
      <c r="C214" s="1010"/>
      <c r="D214" s="1010"/>
      <c r="E214" s="1010"/>
      <c r="F214" s="101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11" t="str">
        <f>SUM(E67)&amp;" GB NVME-Disk"</f>
        <v>0 GB NVME-Disk</v>
      </c>
      <c r="G221" s="101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7" priority="44" operator="greaterThan">
      <formula>0</formula>
    </cfRule>
  </conditionalFormatting>
  <conditionalFormatting sqref="H124 H111 I89:I90 I25:I35 I72:J75">
    <cfRule type="cellIs" dxfId="86" priority="43" operator="greaterThan">
      <formula>0</formula>
    </cfRule>
  </conditionalFormatting>
  <conditionalFormatting sqref="I90">
    <cfRule type="cellIs" dxfId="85" priority="42" operator="greaterThan">
      <formula>0</formula>
    </cfRule>
  </conditionalFormatting>
  <conditionalFormatting sqref="I89">
    <cfRule type="cellIs" dxfId="84" priority="41" operator="greaterThan">
      <formula>0</formula>
    </cfRule>
  </conditionalFormatting>
  <conditionalFormatting sqref="H111">
    <cfRule type="cellIs" dxfId="83" priority="40" operator="greaterThan">
      <formula>0</formula>
    </cfRule>
  </conditionalFormatting>
  <conditionalFormatting sqref="H126 J126">
    <cfRule type="cellIs" dxfId="82" priority="38" operator="greaterThan">
      <formula>0</formula>
    </cfRule>
  </conditionalFormatting>
  <conditionalFormatting sqref="J126">
    <cfRule type="cellIs" dxfId="81" priority="37" operator="greaterThan">
      <formula>0</formula>
    </cfRule>
  </conditionalFormatting>
  <conditionalFormatting sqref="H125 J125">
    <cfRule type="cellIs" dxfId="80" priority="36" operator="greaterThan">
      <formula>0</formula>
    </cfRule>
  </conditionalFormatting>
  <conditionalFormatting sqref="J125">
    <cfRule type="cellIs" dxfId="79" priority="35" operator="greaterThan">
      <formula>0</formula>
    </cfRule>
  </conditionalFormatting>
  <conditionalFormatting sqref="L72:M72 L74:M74">
    <cfRule type="cellIs" dxfId="78" priority="31" operator="greaterThan">
      <formula>0</formula>
    </cfRule>
  </conditionalFormatting>
  <conditionalFormatting sqref="I72:J75">
    <cfRule type="cellIs" dxfId="77" priority="34" operator="lessThan">
      <formula>$J72</formula>
    </cfRule>
  </conditionalFormatting>
  <conditionalFormatting sqref="L73:M73 L75:M75">
    <cfRule type="cellIs" dxfId="76" priority="33" operator="greaterThan">
      <formula>0</formula>
    </cfRule>
  </conditionalFormatting>
  <conditionalFormatting sqref="L73:M73 L75:M75">
    <cfRule type="cellIs" dxfId="75" priority="32" operator="greaterThan">
      <formula>0</formula>
    </cfRule>
  </conditionalFormatting>
  <conditionalFormatting sqref="I81:J83">
    <cfRule type="cellIs" dxfId="74" priority="28" operator="greaterThan">
      <formula>0</formula>
    </cfRule>
  </conditionalFormatting>
  <conditionalFormatting sqref="L81:M82">
    <cfRule type="cellIs" dxfId="73" priority="29" operator="greaterThan">
      <formula>0</formula>
    </cfRule>
  </conditionalFormatting>
  <conditionalFormatting sqref="I81:J83">
    <cfRule type="cellIs" dxfId="72" priority="30" operator="lessThan">
      <formula>$J81</formula>
    </cfRule>
  </conditionalFormatting>
  <conditionalFormatting sqref="L83:M83">
    <cfRule type="cellIs" dxfId="71" priority="27" operator="greaterThan">
      <formula>0</formula>
    </cfRule>
  </conditionalFormatting>
  <conditionalFormatting sqref="K44">
    <cfRule type="cellIs" dxfId="70" priority="23" operator="greaterThan">
      <formula>0</formula>
    </cfRule>
  </conditionalFormatting>
  <conditionalFormatting sqref="L72:M72 L74:M74">
    <cfRule type="cellIs" dxfId="69" priority="16" operator="greaterThan">
      <formula>0</formula>
    </cfRule>
  </conditionalFormatting>
  <conditionalFormatting sqref="I43:I44">
    <cfRule type="cellIs" dxfId="68" priority="24" operator="greaterThan">
      <formula>0</formula>
    </cfRule>
  </conditionalFormatting>
  <conditionalFormatting sqref="K43">
    <cfRule type="cellIs" dxfId="67" priority="22" operator="greaterThan">
      <formula>0</formula>
    </cfRule>
  </conditionalFormatting>
  <conditionalFormatting sqref="K44">
    <cfRule type="cellIs" dxfId="66" priority="21" operator="greaterThan">
      <formula>0</formula>
    </cfRule>
  </conditionalFormatting>
  <conditionalFormatting sqref="K43">
    <cfRule type="cellIs" dxfId="65" priority="20" operator="greaterThan">
      <formula>0</formula>
    </cfRule>
  </conditionalFormatting>
  <conditionalFormatting sqref="L73:M73 L75:M75">
    <cfRule type="cellIs" dxfId="64" priority="18" operator="greaterThan">
      <formula>0</formula>
    </cfRule>
  </conditionalFormatting>
  <conditionalFormatting sqref="L72:M72 L74:M74">
    <cfRule type="cellIs" dxfId="63" priority="17" operator="greaterThan">
      <formula>0</formula>
    </cfRule>
  </conditionalFormatting>
  <conditionalFormatting sqref="K36:K37">
    <cfRule type="cellIs" dxfId="62" priority="15" operator="greaterThan">
      <formula>0</formula>
    </cfRule>
  </conditionalFormatting>
  <conditionalFormatting sqref="I36:I37">
    <cfRule type="cellIs" dxfId="61" priority="14" operator="greaterThan">
      <formula>0</formula>
    </cfRule>
  </conditionalFormatting>
  <conditionalFormatting sqref="K46 K48 K50 K52 K54 K56 K62 K64 K66 K58 K60">
    <cfRule type="cellIs" dxfId="60" priority="5" operator="greaterThan">
      <formula>0</formula>
    </cfRule>
  </conditionalFormatting>
  <conditionalFormatting sqref="I45:I66">
    <cfRule type="cellIs" dxfId="59" priority="6" operator="greaterThan">
      <formula>0</formula>
    </cfRule>
  </conditionalFormatting>
  <conditionalFormatting sqref="K45 K47 K49 K51 K53 K55 K57 K63 K65 K59 K61">
    <cfRule type="cellIs" dxfId="58" priority="4" operator="greaterThan">
      <formula>0</formula>
    </cfRule>
  </conditionalFormatting>
  <conditionalFormatting sqref="K46 K48 K50 K52 K54 K56 K62 K64 K66 K58 K60">
    <cfRule type="cellIs" dxfId="57" priority="3" operator="greaterThan">
      <formula>0</formula>
    </cfRule>
  </conditionalFormatting>
  <conditionalFormatting sqref="K45 K47 K49 K51 K53 K55 K57 K63 K65 K59 K61">
    <cfRule type="cellIs" dxfId="56" priority="2" operator="greaterThan">
      <formula>0</formula>
    </cfRule>
  </conditionalFormatting>
  <conditionalFormatting sqref="I25:I37 I43:I66">
    <cfRule type="cellIs" dxfId="55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970"/>
      <c r="C4" s="97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44" t="s">
        <v>4</v>
      </c>
      <c r="C15" s="944"/>
      <c r="D15" s="944"/>
      <c r="E15" s="944"/>
      <c r="F15" s="944"/>
      <c r="G15" s="94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44"/>
      <c r="C16" s="944"/>
      <c r="D16" s="944"/>
      <c r="E16" s="944"/>
      <c r="F16" s="944"/>
      <c r="G16" s="94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44"/>
      <c r="C17" s="944"/>
      <c r="D17" s="944"/>
      <c r="E17" s="944"/>
      <c r="F17" s="944"/>
      <c r="G17" s="94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46" t="s">
        <v>205</v>
      </c>
      <c r="C19" s="946"/>
      <c r="D19" s="946"/>
      <c r="E19" s="946"/>
      <c r="F19" s="94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63" t="s">
        <v>221</v>
      </c>
      <c r="G98" s="963"/>
      <c r="H98" s="977"/>
      <c r="I98" s="977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24">
        <f>VOLUME_large_SEK</f>
        <v>1.2</v>
      </c>
      <c r="G99" s="1024"/>
      <c r="H99" s="1027"/>
      <c r="I99" s="102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22">
        <f>VOLUME_fast_SEK</f>
        <v>3.6</v>
      </c>
      <c r="G100" s="1022"/>
      <c r="H100" s="1029"/>
      <c r="I100" s="102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44" t="s">
        <v>343</v>
      </c>
      <c r="C105" s="944"/>
      <c r="D105" s="944"/>
      <c r="E105" s="944"/>
      <c r="F105" s="944"/>
      <c r="G105" s="94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44"/>
      <c r="C106" s="944"/>
      <c r="D106" s="944"/>
      <c r="E106" s="944"/>
      <c r="F106" s="944"/>
      <c r="G106" s="94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44"/>
      <c r="C107" s="944"/>
      <c r="D107" s="944"/>
      <c r="E107" s="944"/>
      <c r="F107" s="944"/>
      <c r="G107" s="94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993" t="s">
        <v>223</v>
      </c>
      <c r="C108" s="993"/>
      <c r="D108" s="993"/>
      <c r="E108" s="993"/>
      <c r="F108" s="99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971" t="s">
        <v>344</v>
      </c>
      <c r="C109" s="971"/>
      <c r="D109" s="971"/>
      <c r="E109" s="971"/>
      <c r="F109" s="97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963" t="s">
        <v>345</v>
      </c>
      <c r="E112" s="963"/>
      <c r="F112" s="963"/>
      <c r="G112" s="963"/>
      <c r="H112" s="963"/>
      <c r="I112" s="963"/>
      <c r="J112" s="963"/>
      <c r="K112" s="963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30">
        <f>S3_storage.50_SUNET</f>
        <v>0.35</v>
      </c>
      <c r="E113" s="1030"/>
      <c r="F113" s="1023"/>
      <c r="G113" s="1023"/>
      <c r="H113" s="1023"/>
      <c r="I113" s="1023"/>
      <c r="J113" s="1023"/>
      <c r="K113" s="1023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28">
        <f>S3_storage.100_SUNET</f>
        <v>0.19</v>
      </c>
      <c r="E114" s="1028"/>
      <c r="F114" s="1018"/>
      <c r="G114" s="1018"/>
      <c r="H114" s="1018"/>
      <c r="I114" s="1018"/>
      <c r="J114" s="1018"/>
      <c r="K114" s="1018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31">
        <f>S3_storage.500_SUNET</f>
        <v>0.1</v>
      </c>
      <c r="E115" s="1031"/>
      <c r="F115" s="1021"/>
      <c r="G115" s="1021"/>
      <c r="H115" s="1021"/>
      <c r="I115" s="1021"/>
      <c r="J115" s="1021"/>
      <c r="K115" s="1021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28">
        <f>S3_storage.1000_SUNET</f>
        <v>0.06</v>
      </c>
      <c r="E116" s="1028"/>
      <c r="F116" s="1018"/>
      <c r="G116" s="1018"/>
      <c r="H116" s="1018"/>
      <c r="I116" s="1018"/>
      <c r="J116" s="1018"/>
      <c r="K116" s="1018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32" t="str">
        <f>S3_storage.quote_SUNET</f>
        <v>Be om offert</v>
      </c>
      <c r="E117" s="1032"/>
      <c r="F117" s="1019"/>
      <c r="G117" s="1019"/>
      <c r="H117" s="1019"/>
      <c r="I117" s="1019"/>
      <c r="J117" s="1019"/>
      <c r="K117" s="1019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63" t="s">
        <v>221</v>
      </c>
      <c r="G120" s="963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33" cm="1">
        <f t="array" ref="F121">_xlfn.IFS(H121&lt;=299,D113,H121&lt;1000,D114,H121&lt;2000,D115,H121&gt;=2000,D116)</f>
        <v>0.35</v>
      </c>
      <c r="G121" s="103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25">
        <f>ROUNDUP((H121*1000)*F121,2)</f>
        <v>0</v>
      </c>
      <c r="N121" s="102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26">
        <f>SUM(M121)</f>
        <v>0</v>
      </c>
      <c r="N122" s="102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44" t="s">
        <v>86</v>
      </c>
      <c r="C126" s="944"/>
      <c r="D126" s="944"/>
      <c r="E126" s="944"/>
      <c r="F126" s="944"/>
      <c r="G126" s="94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44"/>
      <c r="C127" s="944"/>
      <c r="D127" s="944"/>
      <c r="E127" s="944"/>
      <c r="F127" s="944"/>
      <c r="G127" s="94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44"/>
      <c r="C128" s="944"/>
      <c r="D128" s="944"/>
      <c r="E128" s="944"/>
      <c r="F128" s="944"/>
      <c r="G128" s="94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65" t="s">
        <v>87</v>
      </c>
      <c r="C129" s="965"/>
      <c r="D129" s="965"/>
      <c r="E129" s="965"/>
      <c r="F129" s="96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46" t="s">
        <v>226</v>
      </c>
      <c r="C130" s="946"/>
      <c r="D130" s="946"/>
      <c r="E130" s="946"/>
      <c r="F130" s="94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63" t="s">
        <v>228</v>
      </c>
      <c r="D133" s="963"/>
      <c r="E133" s="131" t="s">
        <v>210</v>
      </c>
      <c r="F133" s="963" t="s">
        <v>221</v>
      </c>
      <c r="G133" s="963"/>
      <c r="H133" s="266" t="s">
        <v>90</v>
      </c>
      <c r="I133" s="265"/>
      <c r="J133" s="977" t="s">
        <v>229</v>
      </c>
      <c r="K133" s="977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12">
        <f>BAAS_on.demand_SEK</f>
        <v>2.4500000000000002</v>
      </c>
      <c r="G134" s="1013"/>
      <c r="H134" s="307">
        <v>0</v>
      </c>
      <c r="I134" s="472" t="s">
        <v>69</v>
      </c>
      <c r="J134" s="981" t="s">
        <v>94</v>
      </c>
      <c r="K134" s="98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14">
        <f>BAAS_small_SEK</f>
        <v>1.75</v>
      </c>
      <c r="G135" s="1015"/>
      <c r="H135" s="309">
        <v>0</v>
      </c>
      <c r="I135" s="473" t="s">
        <v>69</v>
      </c>
      <c r="J135" s="985">
        <v>0.75</v>
      </c>
      <c r="K135" s="98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16">
        <f>BAAS_large_SEK</f>
        <v>0.92</v>
      </c>
      <c r="G136" s="1017"/>
      <c r="H136" s="298">
        <v>0</v>
      </c>
      <c r="I136" s="474" t="s">
        <v>69</v>
      </c>
      <c r="J136" s="990">
        <v>0.75</v>
      </c>
      <c r="K136" s="99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47" t="s">
        <v>259</v>
      </c>
      <c r="C150" s="947"/>
      <c r="D150" s="947"/>
      <c r="E150" s="947"/>
      <c r="F150" s="947"/>
      <c r="G150" s="94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47"/>
      <c r="C151" s="947"/>
      <c r="D151" s="947"/>
      <c r="E151" s="947"/>
      <c r="F151" s="947"/>
      <c r="G151" s="94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47"/>
      <c r="C152" s="947"/>
      <c r="D152" s="947"/>
      <c r="E152" s="947"/>
      <c r="F152" s="947"/>
      <c r="G152" s="94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10" t="s">
        <v>226</v>
      </c>
      <c r="C153" s="1010"/>
      <c r="D153" s="1010"/>
      <c r="E153" s="1010"/>
      <c r="F153" s="101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36" t="s">
        <v>196</v>
      </c>
      <c r="C160" s="103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37" t="s">
        <v>197</v>
      </c>
      <c r="C161" s="103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38" t="s">
        <v>199</v>
      </c>
      <c r="C163" s="103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35">
        <f>SUM(M160:M163)</f>
        <v>0</v>
      </c>
      <c r="K164" s="1035"/>
      <c r="L164" s="1035"/>
      <c r="M164" s="103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4" priority="59" operator="greaterThan">
      <formula>0</formula>
    </cfRule>
  </conditionalFormatting>
  <conditionalFormatting sqref="H134 H121 J99:J100 I25:K35">
    <cfRule type="cellIs" dxfId="53" priority="58" operator="greaterThan">
      <formula>0</formula>
    </cfRule>
  </conditionalFormatting>
  <conditionalFormatting sqref="J100">
    <cfRule type="cellIs" dxfId="52" priority="57" operator="greaterThan">
      <formula>0</formula>
    </cfRule>
  </conditionalFormatting>
  <conditionalFormatting sqref="J99">
    <cfRule type="cellIs" dxfId="51" priority="56" operator="greaterThan">
      <formula>0</formula>
    </cfRule>
  </conditionalFormatting>
  <conditionalFormatting sqref="H121">
    <cfRule type="cellIs" dxfId="50" priority="55" operator="greaterThan">
      <formula>0</formula>
    </cfRule>
  </conditionalFormatting>
  <conditionalFormatting sqref="I25:I35 I65:I85">
    <cfRule type="cellIs" dxfId="49" priority="54" operator="lessThan">
      <formula>$J25</formula>
    </cfRule>
  </conditionalFormatting>
  <conditionalFormatting sqref="H136 J136">
    <cfRule type="cellIs" dxfId="48" priority="53" operator="greaterThan">
      <formula>0</formula>
    </cfRule>
  </conditionalFormatting>
  <conditionalFormatting sqref="J136">
    <cfRule type="cellIs" dxfId="47" priority="52" operator="greaterThan">
      <formula>0</formula>
    </cfRule>
  </conditionalFormatting>
  <conditionalFormatting sqref="H135 J135">
    <cfRule type="cellIs" dxfId="46" priority="51" operator="greaterThan">
      <formula>0</formula>
    </cfRule>
  </conditionalFormatting>
  <conditionalFormatting sqref="J135">
    <cfRule type="cellIs" dxfId="45" priority="50" operator="greaterThan">
      <formula>0</formula>
    </cfRule>
  </conditionalFormatting>
  <conditionalFormatting sqref="I91:J93">
    <cfRule type="cellIs" dxfId="44" priority="43" operator="greaterThan">
      <formula>0</formula>
    </cfRule>
  </conditionalFormatting>
  <conditionalFormatting sqref="M91:N92">
    <cfRule type="cellIs" dxfId="43" priority="44" operator="greaterThan">
      <formula>0</formula>
    </cfRule>
  </conditionalFormatting>
  <conditionalFormatting sqref="I91:J93">
    <cfRule type="cellIs" dxfId="42" priority="45" operator="lessThan">
      <formula>$J91</formula>
    </cfRule>
  </conditionalFormatting>
  <conditionalFormatting sqref="M93:N93">
    <cfRule type="cellIs" dxfId="41" priority="42" operator="greaterThan">
      <formula>0</formula>
    </cfRule>
  </conditionalFormatting>
  <conditionalFormatting sqref="K91:K93">
    <cfRule type="cellIs" dxfId="40" priority="41" operator="greaterThan">
      <formula>0</formula>
    </cfRule>
  </conditionalFormatting>
  <conditionalFormatting sqref="M42:N42 M44:N44 M46:N46 M48:N48 M50:N50 M52:N52 M54:N54 M56:N56 M58:N58">
    <cfRule type="cellIs" dxfId="39" priority="38" operator="greaterThan">
      <formula>0</formula>
    </cfRule>
  </conditionalFormatting>
  <conditionalFormatting sqref="I41:K59">
    <cfRule type="cellIs" dxfId="38" priority="39" operator="greaterThan">
      <formula>0</formula>
    </cfRule>
  </conditionalFormatting>
  <conditionalFormatting sqref="M41:N41 M43:N43 M45:N45 M47:N47 M49:N49 M51:N51 M53:N53 M55:N55 M57:N57 M59:N59">
    <cfRule type="cellIs" dxfId="37" priority="37" operator="greaterThan">
      <formula>0</formula>
    </cfRule>
  </conditionalFormatting>
  <conditionalFormatting sqref="M42:N42 M44:N44 M46:N46 M48:N48 M50:N50 M52:N52 M54:N54 M56:N56 M58:N58">
    <cfRule type="cellIs" dxfId="36" priority="36" operator="greaterThan">
      <formula>0</formula>
    </cfRule>
  </conditionalFormatting>
  <conditionalFormatting sqref="M41:N41 M43:N43 M45:N45 M47:N47 M49:N49 M51:N51 M53:N53 M55:N55 M57:N57 M59:N59">
    <cfRule type="cellIs" dxfId="35" priority="35" operator="greaterThan">
      <formula>0</formula>
    </cfRule>
  </conditionalFormatting>
  <conditionalFormatting sqref="N41:N59">
    <cfRule type="cellIs" dxfId="34" priority="34" operator="greaterThan">
      <formula>0</formula>
    </cfRule>
  </conditionalFormatting>
  <conditionalFormatting sqref="I41:I59">
    <cfRule type="cellIs" dxfId="33" priority="40" operator="lessThan">
      <formula>$J41</formula>
    </cfRule>
  </conditionalFormatting>
  <conditionalFormatting sqref="M66:N66 M68:N68 M70:N70 M72:N72 M74:N74 M76:N76 M78:N78 M80:N80 M82:N82 M84:N84">
    <cfRule type="cellIs" dxfId="32" priority="5" operator="greaterThan">
      <formula>0</formula>
    </cfRule>
  </conditionalFormatting>
  <conditionalFormatting sqref="N65:N85">
    <cfRule type="cellIs" dxfId="31" priority="1" operator="greaterThan">
      <formula>0</formula>
    </cfRule>
  </conditionalFormatting>
  <conditionalFormatting sqref="M66:N66 M68:N68 M70:N70 M72:N72 M74:N74 M76:N76 M78:N78 M80:N80 M82:N82 M84:N84">
    <cfRule type="cellIs" dxfId="30" priority="3" operator="greaterThan">
      <formula>0</formula>
    </cfRule>
  </conditionalFormatting>
  <conditionalFormatting sqref="M65:N65 M67:N67 M69:N69 M71:N71 M73:N73 M75:N75 M77:N77 M79:N79 M81:N81 M83:N83 M85:N85">
    <cfRule type="cellIs" dxfId="29" priority="2" operator="greaterThan">
      <formula>0</formula>
    </cfRule>
  </conditionalFormatting>
  <conditionalFormatting sqref="I65:K85">
    <cfRule type="cellIs" dxfId="28" priority="6" operator="greaterThan">
      <formula>0</formula>
    </cfRule>
  </conditionalFormatting>
  <conditionalFormatting sqref="M65:N65 M67:N67 M69:N69 M71:N71 M73:N73 M75:N75 M77:N77 M79:N79 M81:N81 M83:N83 M85:N85">
    <cfRule type="cellIs" dxfId="27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103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J9">
    <cfRule type="cellIs" dxfId="26" priority="42" operator="greaterThan">
      <formula>0</formula>
    </cfRule>
  </conditionalFormatting>
  <conditionalFormatting sqref="J10">
    <cfRule type="cellIs" dxfId="25" priority="43" operator="greaterThan">
      <formula>0</formula>
    </cfRule>
  </conditionalFormatting>
  <conditionalFormatting sqref="D42 D44 D48 D46">
    <cfRule type="cellIs" dxfId="24" priority="41" operator="greaterThan">
      <formula>0</formula>
    </cfRule>
  </conditionalFormatting>
  <conditionalFormatting sqref="D43 D45 D47">
    <cfRule type="cellIs" dxfId="23" priority="40" operator="greaterThan">
      <formula>0</formula>
    </cfRule>
  </conditionalFormatting>
  <conditionalFormatting sqref="D49">
    <cfRule type="cellIs" dxfId="22" priority="39" operator="greaterThan">
      <formula>0</formula>
    </cfRule>
  </conditionalFormatting>
  <conditionalFormatting sqref="D19">
    <cfRule type="cellIs" dxfId="21" priority="30" operator="greaterThan">
      <formula>0</formula>
    </cfRule>
  </conditionalFormatting>
  <conditionalFormatting sqref="D20">
    <cfRule type="cellIs" dxfId="20" priority="29" operator="greaterThan">
      <formula>0</formula>
    </cfRule>
  </conditionalFormatting>
  <conditionalFormatting sqref="D3 D5 D7:D8">
    <cfRule type="cellIs" dxfId="19" priority="34" operator="greaterThan">
      <formula>0</formula>
    </cfRule>
  </conditionalFormatting>
  <conditionalFormatting sqref="D4 D6">
    <cfRule type="cellIs" dxfId="18" priority="33" operator="greaterThan">
      <formula>0</formula>
    </cfRule>
  </conditionalFormatting>
  <conditionalFormatting sqref="D64 D66">
    <cfRule type="cellIs" dxfId="17" priority="23" operator="greaterThan">
      <formula>0</formula>
    </cfRule>
  </conditionalFormatting>
  <conditionalFormatting sqref="D27">
    <cfRule type="cellIs" dxfId="16" priority="22" operator="greaterThan">
      <formula>0</formula>
    </cfRule>
  </conditionalFormatting>
  <conditionalFormatting sqref="D61 D63 D65">
    <cfRule type="cellIs" dxfId="15" priority="24" operator="greaterThan">
      <formula>0</formula>
    </cfRule>
  </conditionalFormatting>
  <conditionalFormatting sqref="D15">
    <cfRule type="cellIs" dxfId="14" priority="20" operator="greaterThan">
      <formula>0</formula>
    </cfRule>
  </conditionalFormatting>
  <conditionalFormatting sqref="D23">
    <cfRule type="cellIs" dxfId="13" priority="28" operator="greaterThan">
      <formula>0</formula>
    </cfRule>
  </conditionalFormatting>
  <conditionalFormatting sqref="D26">
    <cfRule type="cellIs" dxfId="12" priority="27" operator="greaterThan">
      <formula>0</formula>
    </cfRule>
  </conditionalFormatting>
  <conditionalFormatting sqref="D52 D54 D56 D58">
    <cfRule type="cellIs" dxfId="11" priority="26" operator="greaterThan">
      <formula>0</formula>
    </cfRule>
  </conditionalFormatting>
  <conditionalFormatting sqref="D53 D55 D57">
    <cfRule type="cellIs" dxfId="10" priority="25" operator="greaterThan">
      <formula>0</formula>
    </cfRule>
  </conditionalFormatting>
  <conditionalFormatting sqref="D25">
    <cfRule type="cellIs" dxfId="9" priority="13" operator="greaterThan">
      <formula>0</formula>
    </cfRule>
  </conditionalFormatting>
  <conditionalFormatting sqref="D24">
    <cfRule type="cellIs" dxfId="8" priority="14" operator="greaterThan">
      <formula>0</formula>
    </cfRule>
  </conditionalFormatting>
  <conditionalFormatting sqref="D71 D73 D75">
    <cfRule type="cellIs" dxfId="7" priority="11" operator="greaterThan">
      <formula>0</formula>
    </cfRule>
  </conditionalFormatting>
  <conditionalFormatting sqref="D70 D72 D74">
    <cfRule type="cellIs" dxfId="6" priority="12" operator="greaterThan">
      <formula>0</formula>
    </cfRule>
  </conditionalFormatting>
  <conditionalFormatting sqref="D62">
    <cfRule type="cellIs" dxfId="5" priority="8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2023-03-30T08:40:31Z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