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EUR/"/>
    </mc:Choice>
  </mc:AlternateContent>
  <xr:revisionPtr revIDLastSave="0" documentId="13_ncr:1_{2CDFC646-56FA-A942-AA27-3A0E11805B78}" xr6:coauthVersionLast="45" xr6:coauthVersionMax="45" xr10:uidLastSave="{00000000-0000-0000-0000-000000000000}"/>
  <workbookProtection workbookAlgorithmName="SHA-512" workbookHashValue="iyI1bTvt7iowsK3ScTvZZUZvgZESLMFeo3ynk/KntxBT4L/2+r0792d9YXwIddqM9n3YHW8Us63p8sKzAhUeQw==" workbookSaltValue="5GSbwYGlbSTwhgmGFgQQsA==" workbookSpinCount="100000" lockStructure="1"/>
  <bookViews>
    <workbookView xWindow="0" yWindow="460" windowWidth="28800" windowHeight="17540" tabRatio="530" xr2:uid="{00000000-000D-0000-FFFF-FFFF00000000}"/>
  </bookViews>
  <sheets>
    <sheet name="EUR - Safespring priser 2020" sheetId="8" r:id="rId1"/>
    <sheet name="SEK - Safespring priser 2020" sheetId="3" state="hidden" r:id="rId2"/>
    <sheet name="Data" sheetId="4" state="hidden" r:id="rId3"/>
  </sheets>
  <definedNames>
    <definedName name="BAAS_large_EUR">Data!$F$24</definedName>
    <definedName name="BAAS_large_SEK">Data!$E$24</definedName>
    <definedName name="BAAS_large.fee_EUR">Data!$F$22</definedName>
    <definedName name="BAAS_large.fee_SEK">Data!$E$22</definedName>
    <definedName name="BAAS_on.demand_EUR">Data!$F$20</definedName>
    <definedName name="BAAS_on.demand_SEK">Data!$E$20</definedName>
    <definedName name="BAAS_small_EUR">Data!$F$23</definedName>
    <definedName name="BAAS_small_SEK">Data!$E$23</definedName>
    <definedName name="BAAS_small.fee_EUR">Data!$F$21</definedName>
    <definedName name="BAAS_small.fee_SEK">Data!$E$21</definedName>
    <definedName name="EUR">Data!$K$4</definedName>
    <definedName name="IAAS_gpu_EUR">Data!$F$7</definedName>
    <definedName name="IAAS_gpu_SEK">Data!$E$7</definedName>
    <definedName name="IAAS_nvme_EUR">Data!$F$6</definedName>
    <definedName name="IAAS_nvme_SEK">Data!$E$6</definedName>
    <definedName name="IAAS_pcpu_EUR">Data!$F$8</definedName>
    <definedName name="IAAS_pcpu_SEK">Data!$E$8</definedName>
    <definedName name="IAAS_ram_EUR">Data!$F$3</definedName>
    <definedName name="IAAS_ram_SEK">Data!$E$3</definedName>
    <definedName name="IAAS_ssd_EUR">Data!$F$4</definedName>
    <definedName name="IAAS_ssd_SEK">Data!$E$4</definedName>
    <definedName name="IAAS_vcpu_EUR">Data!$F$5</definedName>
    <definedName name="IAAS_vcpu_SEK">Data!$E$5</definedName>
    <definedName name="INSTANCE_p1.2xlarge.16d_EUR">Data!$F$11</definedName>
    <definedName name="INSTANCE_p1.2xlarge.16d_SEK">Data!$E$11</definedName>
    <definedName name="INSTANCE_p1.4xlarge.16d_EUR">Data!$F$12</definedName>
    <definedName name="INSTANCE_p1.4xlarge.16d_SEK">Data!$E$12</definedName>
    <definedName name="INSTANCE_p1.8xlarge.32d_EUR">Data!$F$13</definedName>
    <definedName name="INSTANCE_p1.8xlarge.32d_SEK">Data!$E$13</definedName>
    <definedName name="NET_byoip_EUR">Data!$F$41</definedName>
    <definedName name="NET_byoip_SEK">Data!$E$41</definedName>
    <definedName name="NET_egress_EUR">Data!$F$37</definedName>
    <definedName name="NET_egress_SEK">Data!$E$37</definedName>
    <definedName name="NET_ingress_EUR">Data!$F$36</definedName>
    <definedName name="NET_ingress_SEK">Data!$E$36</definedName>
    <definedName name="NET_mgn.slb_EUR">Data!$F$38</definedName>
    <definedName name="NET_mgn.slb_SEK">Data!$E$38</definedName>
    <definedName name="NET_publicv4_EUR">Data!$F$34</definedName>
    <definedName name="NET_publicv4_SEK">Data!$E$34</definedName>
    <definedName name="NET_publicv6_EUR">Data!$F$35</definedName>
    <definedName name="NET_publicv6_SEK">Data!$E$35</definedName>
    <definedName name="NET_rdns_EUR">Data!$F$39</definedName>
    <definedName name="NET_rdns_SEK">Data!$E$39</definedName>
    <definedName name="NET_saferoute_EUR">Data!$F$40</definedName>
    <definedName name="NET_saferoute_SEK">Data!$E$40</definedName>
    <definedName name="NOK">Data!$K$5</definedName>
    <definedName name="PAAS_man.elasticsearch_EUR">Data!$F$55</definedName>
    <definedName name="PAAS_man.elasticsearch_SEK">Data!$E$55</definedName>
    <definedName name="PAAS_man.kubernetes_EUR">Data!$F$53</definedName>
    <definedName name="PAAS_man.kubernetes_SEK">Data!$E$53</definedName>
    <definedName name="PAAS_man.mariadb_EUR">Data!$F$58</definedName>
    <definedName name="PAAS_man.mariadb_SEK">Data!$E$58</definedName>
    <definedName name="PAAS_man.nats_EUR">Data!$F$57</definedName>
    <definedName name="PAAS_man.nats_SEK">Data!$E$57</definedName>
    <definedName name="PAAS_man.postgres.sql_EUR">Data!$F$54</definedName>
    <definedName name="PAAS_man.postgres.sql_SEK">Data!$E$54</definedName>
    <definedName name="PAAS_man.redis_EUR">Data!$F$56</definedName>
    <definedName name="PAAS_man.redis_SEK">Data!$E$56</definedName>
    <definedName name="PRICE_total">'EUR - Safespring priser 2020'!$J$219</definedName>
    <definedName name="PS_cloudarch.jun_EUR">Data!$F$63</definedName>
    <definedName name="PS_cloudarch.jun_SEK">Data!$E$63</definedName>
    <definedName name="PS_cloudarch.sen_EUR">Data!$F$64</definedName>
    <definedName name="PS_cloudarch.sen_SEK">Data!$E$64</definedName>
    <definedName name="PS_consult.jun_EUR">Data!$F$61</definedName>
    <definedName name="PS_consult.jun_SEK">Data!$E$61</definedName>
    <definedName name="PS_consult.sen_EUR">Data!$F$62</definedName>
    <definedName name="PS_consult.sen_SEK">Data!$E$62</definedName>
    <definedName name="PS_pm.jun_EUR">Data!$F$65</definedName>
    <definedName name="PS_pm.jun_SEK">Data!$E$65</definedName>
    <definedName name="PS_pm.sen_EUR">Data!$F$66</definedName>
    <definedName name="PS_pm.sen_SEK">Data!$E$66</definedName>
    <definedName name="S3_storage.100_EUR">Data!$F$28</definedName>
    <definedName name="S3_storage.100_SEK">Data!$E$28</definedName>
    <definedName name="S3_storage.1000_EUR">Data!$F$30</definedName>
    <definedName name="S3_storage.1000_SEK">Data!$E$30</definedName>
    <definedName name="S3_storage.50_EUR">Data!$F$27</definedName>
    <definedName name="S3_storage.50_SEK">Data!$E$27</definedName>
    <definedName name="S3_storage.500_EUR">Data!$F$29</definedName>
    <definedName name="S3_storage.500_SEK">Data!$E$29</definedName>
    <definedName name="S3_storage.quote_EUR">Data!$F$31</definedName>
    <definedName name="S3_storage.quote_SEK">Data!$E$31</definedName>
    <definedName name="SEK">Data!$K$3</definedName>
    <definedName name="SW_backup.ninja_EUR">Data!$F$50</definedName>
    <definedName name="SW_backup.ninja_SEK">Data!$E$50</definedName>
    <definedName name="SW_cluster.control_EUR">Data!$F$49</definedName>
    <definedName name="SW_cluster.control_SEK">Data!$E$49</definedName>
    <definedName name="SW_ms.sql.ser_EUR">Data!$F$45</definedName>
    <definedName name="SW_ms.sql.ser_SEK">Data!$E$45</definedName>
    <definedName name="SW_nextcloud_EUR">Data!$F$47</definedName>
    <definedName name="SW_nextcloud_SEK">Data!$E$47</definedName>
    <definedName name="SW_stackn_EUR">Data!$F$46</definedName>
    <definedName name="SW_stackn_SEK">Data!$E$46</definedName>
    <definedName name="SW_suse_EUR">Data!$F$48</definedName>
    <definedName name="SW_suse_SEK">Data!$E$48</definedName>
    <definedName name="SW_suse_SEUR">Data!$F$48</definedName>
    <definedName name="SW_win.ser.201X_EUR">Data!$F$44</definedName>
    <definedName name="SW_win.ser.201X_SEK">Data!$E$44</definedName>
    <definedName name="_xlnm.Print_Area" localSheetId="0">'EUR - Safespring priser 2020'!$A$1:$O$200</definedName>
    <definedName name="_xlnm.Print_Area" localSheetId="1">'SEK - Safespring priser 2020'!$A$1:$N$299</definedName>
    <definedName name="VOLUME_fast_EUR">Data!$F$17</definedName>
    <definedName name="VOLUME_fast_SEK">Data!$E$17</definedName>
    <definedName name="VOLUME_large_EUR">Data!$F$16</definedName>
    <definedName name="VOLUME_large_SEK">Data!$E$16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8" l="1"/>
  <c r="H67" i="3" l="1"/>
  <c r="G67" i="3" s="1"/>
  <c r="L67" i="3"/>
  <c r="M67" i="3"/>
  <c r="N67" i="3"/>
  <c r="H68" i="3"/>
  <c r="G68" i="3" s="1"/>
  <c r="M68" i="3"/>
  <c r="N68" i="3"/>
  <c r="H65" i="3"/>
  <c r="G65" i="3" s="1"/>
  <c r="L65" i="3"/>
  <c r="M65" i="3"/>
  <c r="N65" i="3"/>
  <c r="H66" i="3"/>
  <c r="G66" i="3" s="1"/>
  <c r="M66" i="3"/>
  <c r="N66" i="3"/>
  <c r="H43" i="3"/>
  <c r="G43" i="3" s="1"/>
  <c r="M43" i="3"/>
  <c r="N43" i="3"/>
  <c r="H44" i="3"/>
  <c r="G44" i="3" s="1"/>
  <c r="N44" i="3"/>
  <c r="H45" i="3"/>
  <c r="G45" i="3" s="1"/>
  <c r="M45" i="3"/>
  <c r="N45" i="3"/>
  <c r="H46" i="3"/>
  <c r="G46" i="3" s="1"/>
  <c r="M46" i="3"/>
  <c r="N46" i="3"/>
  <c r="H47" i="3"/>
  <c r="G47" i="3" s="1"/>
  <c r="M47" i="3"/>
  <c r="N47" i="3"/>
  <c r="H48" i="3"/>
  <c r="G48" i="3" s="1"/>
  <c r="N48" i="3"/>
  <c r="H49" i="3"/>
  <c r="G49" i="3" s="1"/>
  <c r="M49" i="3"/>
  <c r="N49" i="3"/>
  <c r="H50" i="3"/>
  <c r="G50" i="3" s="1"/>
  <c r="M50" i="3"/>
  <c r="N50" i="3"/>
  <c r="H51" i="3"/>
  <c r="G51" i="3" s="1"/>
  <c r="M51" i="3"/>
  <c r="N51" i="3"/>
  <c r="H52" i="3"/>
  <c r="G52" i="3" s="1"/>
  <c r="N52" i="3"/>
  <c r="H53" i="3"/>
  <c r="G53" i="3" s="1"/>
  <c r="M53" i="3"/>
  <c r="N53" i="3"/>
  <c r="H54" i="3"/>
  <c r="G54" i="3" s="1"/>
  <c r="M54" i="3"/>
  <c r="N54" i="3"/>
  <c r="H55" i="3"/>
  <c r="G55" i="3" s="1"/>
  <c r="M55" i="3"/>
  <c r="N55" i="3"/>
  <c r="H56" i="3"/>
  <c r="G56" i="3" s="1"/>
  <c r="N56" i="3"/>
  <c r="H57" i="3"/>
  <c r="G57" i="3" s="1"/>
  <c r="M57" i="3"/>
  <c r="N57" i="3"/>
  <c r="H58" i="3"/>
  <c r="G58" i="3" s="1"/>
  <c r="M58" i="3"/>
  <c r="N58" i="3"/>
  <c r="H59" i="3"/>
  <c r="G59" i="3" s="1"/>
  <c r="M59" i="3"/>
  <c r="N59" i="3"/>
  <c r="H41" i="3"/>
  <c r="G41" i="3" s="1"/>
  <c r="N41" i="3"/>
  <c r="H42" i="3"/>
  <c r="G42" i="3" s="1"/>
  <c r="N42" i="3"/>
  <c r="H67" i="8"/>
  <c r="G67" i="8" s="1"/>
  <c r="L67" i="8"/>
  <c r="N67" i="8"/>
  <c r="G68" i="8"/>
  <c r="H68" i="8"/>
  <c r="M68" i="8" s="1"/>
  <c r="L68" i="8"/>
  <c r="N68" i="8"/>
  <c r="H65" i="8"/>
  <c r="G65" i="8" s="1"/>
  <c r="L65" i="8"/>
  <c r="M65" i="8"/>
  <c r="N65" i="8"/>
  <c r="H66" i="8"/>
  <c r="M66" i="8" s="1"/>
  <c r="L66" i="8"/>
  <c r="N66" i="8"/>
  <c r="H43" i="8"/>
  <c r="G43" i="8" s="1"/>
  <c r="L43" i="8"/>
  <c r="N43" i="8"/>
  <c r="H44" i="8"/>
  <c r="M44" i="8" s="1"/>
  <c r="L44" i="8"/>
  <c r="L45" i="8" s="1"/>
  <c r="L46" i="8" s="1"/>
  <c r="L47" i="8" s="1"/>
  <c r="L48" i="8" s="1"/>
  <c r="L49" i="8" s="1"/>
  <c r="L50" i="8" s="1"/>
  <c r="L51" i="8" s="1"/>
  <c r="L52" i="8" s="1"/>
  <c r="L53" i="8" s="1"/>
  <c r="N44" i="8"/>
  <c r="H45" i="8"/>
  <c r="G45" i="8" s="1"/>
  <c r="N45" i="8"/>
  <c r="G46" i="8"/>
  <c r="H46" i="8"/>
  <c r="M46" i="8"/>
  <c r="N46" i="8"/>
  <c r="H47" i="8"/>
  <c r="G47" i="8" s="1"/>
  <c r="N47" i="8"/>
  <c r="H48" i="8"/>
  <c r="M48" i="8" s="1"/>
  <c r="N48" i="8"/>
  <c r="H49" i="8"/>
  <c r="M49" i="8" s="1"/>
  <c r="N49" i="8"/>
  <c r="H50" i="8"/>
  <c r="M50" i="8" s="1"/>
  <c r="N50" i="8"/>
  <c r="H51" i="8"/>
  <c r="G51" i="8" s="1"/>
  <c r="M51" i="8"/>
  <c r="N51" i="8"/>
  <c r="H52" i="8"/>
  <c r="M52" i="8" s="1"/>
  <c r="N52" i="8"/>
  <c r="H53" i="8"/>
  <c r="M53" i="8" s="1"/>
  <c r="N53" i="8"/>
  <c r="H54" i="8"/>
  <c r="G54" i="8" s="1"/>
  <c r="M54" i="8"/>
  <c r="N54" i="8"/>
  <c r="H55" i="8"/>
  <c r="G55" i="8" s="1"/>
  <c r="M55" i="8"/>
  <c r="N55" i="8"/>
  <c r="H56" i="8"/>
  <c r="M56" i="8" s="1"/>
  <c r="N56" i="8"/>
  <c r="H57" i="8"/>
  <c r="G57" i="8" s="1"/>
  <c r="N57" i="8"/>
  <c r="H58" i="8"/>
  <c r="G58" i="8" s="1"/>
  <c r="M58" i="8"/>
  <c r="N58" i="8"/>
  <c r="H59" i="8"/>
  <c r="G59" i="8" s="1"/>
  <c r="M59" i="8"/>
  <c r="N59" i="8"/>
  <c r="H41" i="8"/>
  <c r="G41" i="8" s="1"/>
  <c r="L41" i="8"/>
  <c r="M41" i="8"/>
  <c r="N41" i="8"/>
  <c r="H42" i="8"/>
  <c r="M42" i="8" s="1"/>
  <c r="L42" i="8"/>
  <c r="N42" i="8"/>
  <c r="E8" i="4"/>
  <c r="G8" i="4"/>
  <c r="F8" i="4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N190" i="8"/>
  <c r="N189" i="8"/>
  <c r="N188" i="8"/>
  <c r="N187" i="8"/>
  <c r="N186" i="8"/>
  <c r="N185" i="8"/>
  <c r="F62" i="4"/>
  <c r="F63" i="4"/>
  <c r="F64" i="4"/>
  <c r="F65" i="4"/>
  <c r="F66" i="4"/>
  <c r="F61" i="4"/>
  <c r="H25" i="3"/>
  <c r="F37" i="4"/>
  <c r="F38" i="4"/>
  <c r="F34" i="4"/>
  <c r="D58" i="4"/>
  <c r="D57" i="4"/>
  <c r="D56" i="4"/>
  <c r="D55" i="4"/>
  <c r="D54" i="4"/>
  <c r="D53" i="4"/>
  <c r="N155" i="8"/>
  <c r="N75" i="8"/>
  <c r="N76" i="8"/>
  <c r="N74" i="8"/>
  <c r="N26" i="8"/>
  <c r="N27" i="8"/>
  <c r="N28" i="8"/>
  <c r="N29" i="8"/>
  <c r="N30" i="8"/>
  <c r="N31" i="8"/>
  <c r="N32" i="8"/>
  <c r="N33" i="8"/>
  <c r="N34" i="8"/>
  <c r="N35" i="8"/>
  <c r="N25" i="8"/>
  <c r="F4" i="4"/>
  <c r="H35" i="8"/>
  <c r="H25" i="8"/>
  <c r="H26" i="8"/>
  <c r="N145" i="3"/>
  <c r="N144" i="3"/>
  <c r="N143" i="3"/>
  <c r="N142" i="3"/>
  <c r="N141" i="3"/>
  <c r="N140" i="3"/>
  <c r="N139" i="3"/>
  <c r="N190" i="3"/>
  <c r="N189" i="3"/>
  <c r="N188" i="3"/>
  <c r="N187" i="3"/>
  <c r="N186" i="3"/>
  <c r="N185" i="3"/>
  <c r="E61" i="4"/>
  <c r="G61" i="4" s="1"/>
  <c r="E66" i="4"/>
  <c r="G66" i="4" s="1"/>
  <c r="E65" i="4"/>
  <c r="G65" i="4" s="1"/>
  <c r="E64" i="4"/>
  <c r="G64" i="4" s="1"/>
  <c r="E63" i="4"/>
  <c r="G63" i="4" s="1"/>
  <c r="E62" i="4"/>
  <c r="G62" i="4" s="1"/>
  <c r="N156" i="3"/>
  <c r="N155" i="3"/>
  <c r="N154" i="3"/>
  <c r="N153" i="3"/>
  <c r="N152" i="3"/>
  <c r="N151" i="3"/>
  <c r="N150" i="3"/>
  <c r="N149" i="3"/>
  <c r="N138" i="3"/>
  <c r="M56" i="3" l="1"/>
  <c r="M52" i="3"/>
  <c r="M48" i="3"/>
  <c r="M44" i="3"/>
  <c r="M41" i="3"/>
  <c r="M42" i="3"/>
  <c r="M67" i="8"/>
  <c r="G66" i="8"/>
  <c r="G50" i="8"/>
  <c r="M47" i="8"/>
  <c r="M43" i="8"/>
  <c r="L56" i="8"/>
  <c r="L57" i="8" s="1"/>
  <c r="L54" i="8"/>
  <c r="L55" i="8" s="1"/>
  <c r="L58" i="8" s="1"/>
  <c r="L59" i="8" s="1"/>
  <c r="G53" i="8"/>
  <c r="G49" i="8"/>
  <c r="M57" i="8"/>
  <c r="G56" i="8"/>
  <c r="G52" i="8"/>
  <c r="G48" i="8"/>
  <c r="M45" i="8"/>
  <c r="G44" i="8"/>
  <c r="G42" i="8"/>
  <c r="N77" i="8"/>
  <c r="N36" i="8"/>
  <c r="N69" i="8"/>
  <c r="N60" i="8"/>
  <c r="N154" i="8"/>
  <c r="N153" i="8"/>
  <c r="N118" i="8"/>
  <c r="F22" i="4"/>
  <c r="D119" i="8" s="1"/>
  <c r="E22" i="4"/>
  <c r="G22" i="4" s="1"/>
  <c r="F21" i="4"/>
  <c r="D118" i="8" s="1"/>
  <c r="E21" i="4"/>
  <c r="G21" i="4" s="1"/>
  <c r="D100" i="8"/>
  <c r="N119" i="8"/>
  <c r="L75" i="8"/>
  <c r="L26" i="8"/>
  <c r="L27" i="8" s="1"/>
  <c r="L28" i="8" s="1"/>
  <c r="L29" i="8" s="1"/>
  <c r="L30" i="8" s="1"/>
  <c r="L31" i="8" s="1"/>
  <c r="E31" i="4"/>
  <c r="D100" i="3" s="1"/>
  <c r="E27" i="4"/>
  <c r="D96" i="3" s="1"/>
  <c r="E28" i="4"/>
  <c r="G28" i="4" s="1"/>
  <c r="E29" i="4"/>
  <c r="G29" i="4" s="1"/>
  <c r="E30" i="4"/>
  <c r="G30" i="4" s="1"/>
  <c r="F29" i="4"/>
  <c r="D98" i="8" s="1"/>
  <c r="F27" i="4"/>
  <c r="D96" i="8" s="1"/>
  <c r="F30" i="4"/>
  <c r="D99" i="8" s="1"/>
  <c r="F28" i="4"/>
  <c r="D97" i="8" s="1"/>
  <c r="F12" i="4"/>
  <c r="H75" i="8" s="1"/>
  <c r="E12" i="4"/>
  <c r="G12" i="4" s="1"/>
  <c r="F24" i="4"/>
  <c r="F119" i="8" s="1"/>
  <c r="E24" i="4"/>
  <c r="G24" i="4" s="1"/>
  <c r="E3" i="4"/>
  <c r="G3" i="4" s="1"/>
  <c r="F3" i="4"/>
  <c r="E4" i="4"/>
  <c r="G4" i="4" s="1"/>
  <c r="E5" i="4"/>
  <c r="G5" i="4" s="1"/>
  <c r="F5" i="4"/>
  <c r="E6" i="4"/>
  <c r="G6" i="4" s="1"/>
  <c r="F6" i="4"/>
  <c r="L32" i="8" l="1"/>
  <c r="L33" i="8" s="1"/>
  <c r="L34" i="8" s="1"/>
  <c r="L35" i="8" s="1"/>
  <c r="G31" i="4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G27" i="4"/>
  <c r="D99" i="3"/>
  <c r="D97" i="3"/>
  <c r="D11" i="4"/>
  <c r="F11" i="4" s="1"/>
  <c r="H74" i="8" s="1"/>
  <c r="H75" i="3"/>
  <c r="D13" i="4"/>
  <c r="F13" i="4" s="1"/>
  <c r="H76" i="8" s="1"/>
  <c r="F119" i="3"/>
  <c r="E11" i="4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58" i="4"/>
  <c r="N165" i="8"/>
  <c r="E57" i="4"/>
  <c r="N164" i="8"/>
  <c r="E56" i="4"/>
  <c r="N163" i="8"/>
  <c r="E55" i="4"/>
  <c r="N162" i="8"/>
  <c r="E54" i="4"/>
  <c r="N161" i="8"/>
  <c r="E53" i="4"/>
  <c r="E46" i="4"/>
  <c r="G46" i="4" s="1"/>
  <c r="F46" i="4"/>
  <c r="N152" i="8" s="1"/>
  <c r="E50" i="4"/>
  <c r="G50" i="4" s="1"/>
  <c r="F50" i="4"/>
  <c r="N156" i="8" s="1"/>
  <c r="F23" i="4"/>
  <c r="F118" i="8" s="1"/>
  <c r="E23" i="4"/>
  <c r="F20" i="4"/>
  <c r="F117" i="8" s="1"/>
  <c r="E20" i="4"/>
  <c r="F41" i="4"/>
  <c r="N145" i="8" s="1"/>
  <c r="E41" i="4"/>
  <c r="G41" i="4" s="1"/>
  <c r="F40" i="4"/>
  <c r="N144" i="8" s="1"/>
  <c r="F39" i="4"/>
  <c r="N143" i="8" s="1"/>
  <c r="E39" i="4"/>
  <c r="G39" i="4" s="1"/>
  <c r="N142" i="8"/>
  <c r="E38" i="4"/>
  <c r="G38" i="4" s="1"/>
  <c r="N141" i="8"/>
  <c r="E37" i="4"/>
  <c r="G37" i="4" s="1"/>
  <c r="F36" i="4"/>
  <c r="N140" i="8" s="1"/>
  <c r="E36" i="4"/>
  <c r="G36" i="4" s="1"/>
  <c r="F35" i="4"/>
  <c r="N139" i="8" s="1"/>
  <c r="E35" i="4"/>
  <c r="G35" i="4" s="1"/>
  <c r="N138" i="8"/>
  <c r="E34" i="4"/>
  <c r="G34" i="4" s="1"/>
  <c r="M33" i="8" l="1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G20" i="4"/>
  <c r="F117" i="3"/>
  <c r="G23" i="4"/>
  <c r="F118" i="3"/>
  <c r="E13" i="4"/>
  <c r="H76" i="3" s="1"/>
  <c r="G11" i="4"/>
  <c r="H74" i="3"/>
  <c r="G53" i="4"/>
  <c r="M161" i="3"/>
  <c r="G55" i="4"/>
  <c r="M163" i="3"/>
  <c r="G57" i="4"/>
  <c r="M165" i="3"/>
  <c r="G54" i="4"/>
  <c r="M162" i="3"/>
  <c r="G56" i="4"/>
  <c r="M164" i="3"/>
  <c r="G58" i="4"/>
  <c r="E40" i="4"/>
  <c r="G40" i="4" s="1"/>
  <c r="M36" i="8" l="1"/>
  <c r="M60" i="8"/>
  <c r="N120" i="8"/>
  <c r="M217" i="8" s="1"/>
  <c r="M216" i="8"/>
  <c r="G13" i="4"/>
  <c r="G76" i="8"/>
  <c r="M76" i="8"/>
  <c r="M77" i="8" s="1"/>
  <c r="F16" i="4"/>
  <c r="F82" i="8" s="1"/>
  <c r="F17" i="4"/>
  <c r="F83" i="8" s="1"/>
  <c r="E17" i="4"/>
  <c r="E16" i="4"/>
  <c r="E7" i="4"/>
  <c r="F7" i="4"/>
  <c r="E44" i="4"/>
  <c r="F44" i="4"/>
  <c r="E45" i="4"/>
  <c r="F45" i="4"/>
  <c r="N151" i="8" s="1"/>
  <c r="N149" i="8" l="1"/>
  <c r="N150" i="8"/>
  <c r="F83" i="3"/>
  <c r="N82" i="8"/>
  <c r="E82" i="8"/>
  <c r="N76" i="3"/>
  <c r="N75" i="3"/>
  <c r="N74" i="3"/>
  <c r="G16" i="4"/>
  <c r="F82" i="3"/>
  <c r="N27" i="3"/>
  <c r="N31" i="3"/>
  <c r="N35" i="3"/>
  <c r="N26" i="3"/>
  <c r="N28" i="3"/>
  <c r="N32" i="3"/>
  <c r="N30" i="3"/>
  <c r="N29" i="3"/>
  <c r="N33" i="3"/>
  <c r="N34" i="3"/>
  <c r="N25" i="3"/>
  <c r="G7" i="4"/>
  <c r="G45" i="4"/>
  <c r="G17" i="4"/>
  <c r="G44" i="4"/>
  <c r="N69" i="3" l="1"/>
  <c r="N36" i="3"/>
  <c r="N60" i="3"/>
  <c r="E83" i="8"/>
  <c r="N83" i="8"/>
  <c r="N84" i="8" s="1"/>
  <c r="N77" i="3"/>
  <c r="M69" i="8" l="1"/>
  <c r="M218" i="3"/>
  <c r="M218" i="8"/>
  <c r="M215" i="8" l="1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<sst xmlns="http://schemas.openxmlformats.org/spreadsheetml/2006/main" count="802" uniqueCount="314">
  <si>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</si>
  <si>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</si>
  <si>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</si>
  <si>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</si>
  <si>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</si>
  <si>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</si>
  <si>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</si>
  <si>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</si>
  <si>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</si>
  <si>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</si>
  <si>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</si>
  <si>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</si>
  <si>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</si>
  <si>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</si>
  <si>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</si>
  <si>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</si>
  <si>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</si>
  <si>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</si>
  <si>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</si>
  <si>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</si>
  <si>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</si>
  <si>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</si>
  <si>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</si>
  <si>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</si>
  <si>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</si>
  <si>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</si>
  <si>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</si>
  <si>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</si>
  <si>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</si>
  <si>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</si>
  <si>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</si>
  <si>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</si>
  <si>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</si>
  <si>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</si>
  <si>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</si>
  <si>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</si>
  <si>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</si>
  <si>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</si>
  <si>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</si>
  <si>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</si>
  <si>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</si>
  <si>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</si>
  <si>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</si>
  <si>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</si>
  <si>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</si>
  <si>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</si>
  <si>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</si>
  <si>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</si>
  <si>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</si>
  <si>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</si>
  <si>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</si>
  <si>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</si>
  <si>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</si>
  <si>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</si>
  <si>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</si>
  <si>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</si>
  <si>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</si>
  <si>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</si>
  <si>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</si>
  <si>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</si>
  <si>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</si>
  <si>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</si>
  <si>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</si>
  <si>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</si>
  <si>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</si>
  <si>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</si>
  <si>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</si>
  <si>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</si>
  <si>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</si>
  <si>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</si>
  <si>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</si>
  <si>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</si>
  <si>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</si>
  <si>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</si>
  <si>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</si>
  <si>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</si>
  <si>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</si>
  <si>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</si>
  <si>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</si>
  <si>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</si>
  <si>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</si>
  <si>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</si>
  <si>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</si>
  <si>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</si>
  <si>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</si>
  <si>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</si>
  <si>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</si>
  <si>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</si>
  <si>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</si>
  <si>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</si>
  <si>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</si>
  <si>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</si>
  <si>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</si>
  <si>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</si>
  <si>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</si>
  <si>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</si>
  <si>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</si>
  <si>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</si>
  <si>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</si>
  <si>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</si>
  <si>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</si>
  <si>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</si>
  <si>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</si>
  <si>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</si>
  <si>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</si>
  <si>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</si>
  <si>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</si>
  <si>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</si>
  <si>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</si>
  <si>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</si>
  <si>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</si>
  <si>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</si>
  <si>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</si>
  <si>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</si>
  <si>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</si>
  <si>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</si>
  <si>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</si>
  <si>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</si>
  <si>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</si>
  <si>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</si>
  <si>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</si>
  <si>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</si>
  <si>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</si>
  <si>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</si>
  <si>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</si>
  <si>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</si>
  <si>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</si>
  <si>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</si>
  <si>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</si>
  <si>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</si>
  <si>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</si>
  <si>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</si>
  <si>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</si>
  <si>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</si>
  <si>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</si>
  <si>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</si>
  <si>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</si>
  <si>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</si>
  <si>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</si>
  <si>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</si>
  <si>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</si>
  <si>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</si>
  <si>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</si>
  <si>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</si>
  <si>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</si>
  <si>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</si>
  <si>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</si>
  <si>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</si>
  <si>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</si>
  <si>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</si>
  <si>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</si>
  <si>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</si>
  <si>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</si>
  <si>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</si>
  <si>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</si>
  <si>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</si>
  <si>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</si>
  <si>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</si>
  <si>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</si>
  <si>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</si>
  <si>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</si>
  <si>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</si>
  <si>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</si>
  <si>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</si>
  <si>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</si>
  <si>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</si>
  <si>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</si>
  <si>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</si>
  <si>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</si>
  <si>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</si>
  <si>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</si>
  <si>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</si>
  <si>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</si>
  <si>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</si>
  <si>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</si>
  <si>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</si>
  <si>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</si>
  <si>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</si>
  <si>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</si>
  <si>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</si>
  <si>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</si>
  <si>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</si>
  <si>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</si>
  <si>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</si>
  <si>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</si>
  <si>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</si>
  <si>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</si>
  <si>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</si>
  <si>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</si>
  <si>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</si>
  <si>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</si>
  <si>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</si>
  <si>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</si>
  <si>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</si>
  <si>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</si>
  <si>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</si>
  <si>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</si>
  <si>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</si>
  <si>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</si>
  <si>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</si>
  <si>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</si>
  <si>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</si>
  <si>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</si>
  <si>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</si>
  <si>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</si>
  <si>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</si>
  <si>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</si>
  <si>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</si>
  <si>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</si>
  <si>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</si>
  <si>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</si>
  <si>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</si>
  <si>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</si>
  <si>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</si>
  <si>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</si>
  <si>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Price calculator 2020-06-22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</si>
  <si>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</si>
  <si>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</si>
  <si>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</si>
  <si>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</si>
  <si>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</si>
  <si>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</si>
  <si>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</si>
  <si>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</si>
  <si>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</si>
  <si>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</si>
  <si>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</si>
  <si>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</si>
  <si>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</si>
  <si>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</si>
  <si>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</si>
  <si>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</si>
  <si>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</si>
  <si>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</si>
  <si>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</si>
  <si>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</si>
  <si>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</si>
  <si>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</si>
  <si>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</si>
  <si>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</si>
  <si>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</si>
  <si>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</si>
  <si>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</si>
  <si>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</si>
  <si>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</si>
  <si>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</si>
  <si>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</si>
  <si>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</si>
  <si>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</si>
  <si>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</si>
  <si>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</si>
  <si>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</si>
  <si>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</si>
  <si>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</si>
  <si>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</si>
  <si>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</si>
  <si>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</si>
  <si>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</si>
  <si>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</si>
  <si>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</si>
  <si>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</si>
  <si>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</si>
  <si>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</si>
  <si>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</si>
  <si>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</si>
  <si>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</si>
  <si>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</si>
  <si>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</si>
  <si>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</si>
  <si>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</si>
  <si>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</si>
  <si>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</si>
  <si>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</si>
  <si>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</si>
  <si>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</si>
  <si>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</si>
  <si>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</si>
  <si>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</si>
  <si>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</si>
  <si>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</si>
  <si>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</si>
  <si>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</si>
  <si>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</si>
  <si>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</si>
  <si>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</si>
  <si>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</si>
  <si>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</si>
  <si>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</si>
  <si>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</si>
  <si>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</si>
  <si>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</si>
  <si>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</si>
  <si>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</si>
  <si>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</si>
  <si>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</si>
  <si>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</si>
  <si>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</si>
  <si>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</si>
  <si>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</si>
  <si>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</si>
  <si>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</si>
  <si>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</si>
  <si>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</si>
  <si>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</si>
  <si>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</si>
  <si>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</si>
  <si>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</si>
  <si>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</si>
  <si>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</si>
  <si>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</si>
  <si>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</si>
  <si>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</si>
  <si>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</si>
  <si>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Priskalkylator 2020-06-23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</si>
</sst>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NOK]_-;\-* #,##0.00\ [$NOK]_-;_-* &quot;-&quot;??\ [$NOK]_-;_-@_-"/>
    <numFmt numFmtId="173" formatCode="_-* #,##0.00\ [$EUR]_-;\-* #,##0.00\ [$EUR]_-;_-* &quot;-&quot;??\ [$EUR]_-;_-@_-"/>
    <numFmt numFmtId="174" formatCode="#,##0_ ;\-#,##0\ "/>
    <numFmt numFmtId="175" formatCode="_-* #,##0\ [$SEK]_-;\-* #,##0\ [$SEK]_-;_-* &quot;-&quot;??\ [$SEK]_-;_-@_-"/>
    <numFmt numFmtId="176" formatCode="_-* #,##0.000\ [$€-1]_-;\-* #,##0.000\ [$€-1]_-;_-* &quot;-&quot;??\ [$€-1]_-;_-@_-"/>
    <numFmt numFmtId="177" formatCode="_-* #,##0.000000\ [$€-1]_-;\-* #,##0.000000\ [$€-1]_-;_-* &quot;-&quot;??\ [$€-1]_-;_-@_-"/>
    <numFmt numFmtId="178" formatCode="0.0000"/>
    <numFmt numFmtId="179" formatCode="#,##0.00\ &quot;kr&quot;"/>
    <numFmt numFmtId="180" formatCode="[$€-2]\ #,##0.0000"/>
    <numFmt numFmtId="181" formatCode="_-* #,##0.000\ [$€-1]_-;\-* #,##0.000\ [$€-1]_-;_-* &quot;-&quot;???\ [$€-1]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5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45" fillId="4" borderId="0" xfId="0" applyFont="1" applyFill="1" applyBorder="1" applyAlignment="1" applyProtection="1">
      <alignment horizontal="left" vertical="center" readingOrder="1"/>
      <protection hidden="1"/>
    </xf>
    <xf numFmtId="0" fontId="45" fillId="0" borderId="0" xfId="0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3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5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4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3" fontId="4" fillId="4" borderId="0" xfId="2" applyNumberFormat="1" applyFont="1" applyFill="1" applyAlignment="1" applyProtection="1">
      <alignment horizontal="left" vertical="center" readingOrder="1"/>
      <protection hidden="1"/>
    </xf>
    <xf numFmtId="180" fontId="9" fillId="4" borderId="0" xfId="0" applyNumberFormat="1" applyFont="1" applyFill="1" applyAlignment="1" applyProtection="1">
      <alignment horizontal="left" vertical="center"/>
      <protection hidden="1"/>
    </xf>
    <xf numFmtId="181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8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82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tabSelected="1" topLeftCell="A202" zoomScale="93" zoomScaleNormal="90" zoomScaleSheetLayoutView="100" workbookViewId="0">
      <selection activeCell="J82" sqref="J82"/>
    </sheetView>
  </sheetViews>
  <sheetFormatPr baseColWidth="10" defaultColWidth="15" defaultRowHeight="25.5" customHeight="1"/>
  <cols>
    <col min="1" max="1" width="11.83203125" style="208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8" bestFit="1" customWidth="1"/>
    <col min="7" max="7" width="20.6640625" style="208" customWidth="1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608"/>
      <c r="C4" s="608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215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1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2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216</v>
      </c>
      <c r="C8" s="63"/>
      <c r="D8" s="70" t="s">
        <v>217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312</v>
      </c>
      <c r="C9" s="63"/>
      <c r="D9" s="81" t="s">
        <v>311</v>
      </c>
      <c r="E9" s="63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508" t="s">
        <v>301</v>
      </c>
      <c r="C10" s="455"/>
      <c r="D10" s="510" t="str">
        <f>"1 SEK = "&amp;EUR&amp;" EUR"</f>
        <v>1 SEK = 0,094718 EUR</v>
      </c>
      <c r="E10" s="506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69" t="s">
        <v>3</v>
      </c>
      <c r="C15" s="569"/>
      <c r="D15" s="569"/>
      <c r="E15" s="569"/>
      <c r="F15" s="569"/>
      <c r="G15" s="569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69"/>
      <c r="C16" s="569"/>
      <c r="D16" s="569"/>
      <c r="E16" s="569"/>
      <c r="F16" s="569"/>
      <c r="G16" s="569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69"/>
      <c r="C17" s="569"/>
      <c r="D17" s="569"/>
      <c r="E17" s="569"/>
      <c r="F17" s="569"/>
      <c r="G17" s="569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476" t="s">
        <v>261</v>
      </c>
      <c r="C18" s="476"/>
      <c r="D18" s="476"/>
      <c r="E18" s="476"/>
      <c r="F18" s="477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70" t="s">
        <v>218</v>
      </c>
      <c r="C19" s="570"/>
      <c r="D19" s="570"/>
      <c r="E19" s="570"/>
      <c r="F19" s="570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219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6" t="s">
        <v>57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7" t="s">
        <v>220</v>
      </c>
      <c r="C24" s="13" t="s">
        <v>8</v>
      </c>
      <c r="D24" s="13" t="s">
        <v>9</v>
      </c>
      <c r="E24" s="14" t="s">
        <v>227</v>
      </c>
      <c r="F24" s="212"/>
      <c r="G24" s="213" t="s">
        <v>221</v>
      </c>
      <c r="H24" s="213" t="s">
        <v>222</v>
      </c>
      <c r="I24" s="214" t="s">
        <v>58</v>
      </c>
      <c r="J24" s="214" t="s">
        <v>223</v>
      </c>
      <c r="K24" s="214" t="s">
        <v>224</v>
      </c>
      <c r="L24" s="215"/>
      <c r="M24" s="213" t="s">
        <v>59</v>
      </c>
      <c r="N24" s="213" t="s">
        <v>225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8" t="s">
        <v>98</v>
      </c>
      <c r="C25" s="16">
        <v>1</v>
      </c>
      <c r="D25" s="16">
        <v>1</v>
      </c>
      <c r="E25" s="124">
        <v>40</v>
      </c>
      <c r="F25" s="220"/>
      <c r="G25" s="456">
        <f t="shared" ref="G25:G35" si="0">H25/720</f>
        <v>3.6703224999999999E-2</v>
      </c>
      <c r="H25" s="456">
        <f>C25*IAAS_vcpu_EUR+D25*IAAS_ram_EUR+E25*IAAS_ssd_EUR</f>
        <v>26.426321999999999</v>
      </c>
      <c r="I25" s="223"/>
      <c r="J25" s="223"/>
      <c r="K25" s="223"/>
      <c r="L25" s="220" t="s">
        <v>58</v>
      </c>
      <c r="M25" s="458">
        <f>ROUNDUP(I25*H25,2)</f>
        <v>0</v>
      </c>
      <c r="N25" s="458">
        <f t="shared" ref="N25:N35" si="1">J25*C25*SW_win.ser.201X_EUR+K25*C25*SW_ms.sql.ser_EUR</f>
        <v>0</v>
      </c>
      <c r="P25" s="225"/>
    </row>
    <row r="26" spans="2:29" s="197" customFormat="1" ht="25.5" customHeight="1">
      <c r="B26" s="519" t="s">
        <v>99</v>
      </c>
      <c r="C26" s="18">
        <v>1</v>
      </c>
      <c r="D26" s="18">
        <v>2</v>
      </c>
      <c r="E26" s="502">
        <v>40</v>
      </c>
      <c r="F26" s="226"/>
      <c r="G26" s="457">
        <f t="shared" si="0"/>
        <v>4.3938627777777781E-2</v>
      </c>
      <c r="H26" s="457">
        <f>C26*IAAS_vcpu_EUR+D26*IAAS_ram_EUR+E26*IAAS_ssd_EUR</f>
        <v>31.635812000000001</v>
      </c>
      <c r="I26" s="223"/>
      <c r="J26" s="223"/>
      <c r="K26" s="223"/>
      <c r="L26" s="226" t="str">
        <f t="shared" ref="L26:L35" si="2">L25</f>
        <v>Instances</v>
      </c>
      <c r="M26" s="459">
        <f t="shared" ref="M26:M35" si="3">ROUNDUP(I26*H26,2)</f>
        <v>0</v>
      </c>
      <c r="N26" s="504">
        <f t="shared" si="1"/>
        <v>0</v>
      </c>
      <c r="P26" s="225"/>
    </row>
    <row r="27" spans="2:29" s="197" customFormat="1" ht="25.5" customHeight="1">
      <c r="B27" s="518" t="s">
        <v>100</v>
      </c>
      <c r="C27" s="16">
        <v>2</v>
      </c>
      <c r="D27" s="16">
        <v>4</v>
      </c>
      <c r="E27" s="124">
        <v>40</v>
      </c>
      <c r="F27" s="220"/>
      <c r="G27" s="456">
        <f t="shared" si="0"/>
        <v>6.8933655555555556E-2</v>
      </c>
      <c r="H27" s="456">
        <f t="shared" ref="H27:H34" si="4">C27*IAAS_vcpu_EUR+D27*IAAS_ram_EUR+E27*IAAS_ssd_EUR</f>
        <v>49.632232000000002</v>
      </c>
      <c r="I27" s="223"/>
      <c r="J27" s="223"/>
      <c r="K27" s="223"/>
      <c r="L27" s="220" t="str">
        <f t="shared" si="2"/>
        <v>Instances</v>
      </c>
      <c r="M27" s="458">
        <f t="shared" si="3"/>
        <v>0</v>
      </c>
      <c r="N27" s="458">
        <f t="shared" si="1"/>
        <v>0</v>
      </c>
      <c r="O27" s="230"/>
      <c r="P27" s="225"/>
    </row>
    <row r="28" spans="2:29" s="197" customFormat="1" ht="25.5" customHeight="1">
      <c r="B28" s="519" t="s">
        <v>101</v>
      </c>
      <c r="C28" s="18">
        <v>4</v>
      </c>
      <c r="D28" s="18">
        <v>8</v>
      </c>
      <c r="E28" s="502">
        <v>40</v>
      </c>
      <c r="F28" s="226"/>
      <c r="G28" s="457">
        <f t="shared" si="0"/>
        <v>0.11892371111111112</v>
      </c>
      <c r="H28" s="457">
        <f t="shared" si="4"/>
        <v>85.625072000000003</v>
      </c>
      <c r="I28" s="223"/>
      <c r="J28" s="223"/>
      <c r="K28" s="223"/>
      <c r="L28" s="226" t="str">
        <f t="shared" si="2"/>
        <v>Instances</v>
      </c>
      <c r="M28" s="459">
        <f t="shared" si="3"/>
        <v>0</v>
      </c>
      <c r="N28" s="504">
        <f t="shared" si="1"/>
        <v>0</v>
      </c>
      <c r="P28" s="225"/>
    </row>
    <row r="29" spans="2:29" s="197" customFormat="1" ht="25.5" customHeight="1">
      <c r="B29" s="518" t="s">
        <v>102</v>
      </c>
      <c r="C29" s="16">
        <v>8</v>
      </c>
      <c r="D29" s="16">
        <v>16</v>
      </c>
      <c r="E29" s="124">
        <v>40</v>
      </c>
      <c r="F29" s="220"/>
      <c r="G29" s="456">
        <f t="shared" si="0"/>
        <v>0.21890382222222221</v>
      </c>
      <c r="H29" s="456">
        <f t="shared" si="4"/>
        <v>157.61075199999999</v>
      </c>
      <c r="I29" s="223"/>
      <c r="J29" s="223"/>
      <c r="K29" s="223"/>
      <c r="L29" s="220" t="str">
        <f t="shared" si="2"/>
        <v>Instances</v>
      </c>
      <c r="M29" s="458">
        <f t="shared" si="3"/>
        <v>0</v>
      </c>
      <c r="N29" s="458">
        <f t="shared" si="1"/>
        <v>0</v>
      </c>
      <c r="P29" s="225"/>
    </row>
    <row r="30" spans="2:29" s="197" customFormat="1" ht="25.5" customHeight="1">
      <c r="B30" s="519" t="s">
        <v>287</v>
      </c>
      <c r="C30" s="18">
        <v>16</v>
      </c>
      <c r="D30" s="18">
        <v>32</v>
      </c>
      <c r="E30" s="502">
        <v>40</v>
      </c>
      <c r="F30" s="226"/>
      <c r="G30" s="457">
        <f t="shared" si="0"/>
        <v>0.41886404444444442</v>
      </c>
      <c r="H30" s="457">
        <f t="shared" si="4"/>
        <v>301.582112</v>
      </c>
      <c r="I30" s="223"/>
      <c r="J30" s="223"/>
      <c r="K30" s="223"/>
      <c r="L30" s="226" t="str">
        <f t="shared" si="2"/>
        <v>Instances</v>
      </c>
      <c r="M30" s="459">
        <f t="shared" si="3"/>
        <v>0</v>
      </c>
      <c r="N30" s="504">
        <f t="shared" si="1"/>
        <v>0</v>
      </c>
      <c r="P30" s="225"/>
    </row>
    <row r="31" spans="2:29" s="197" customFormat="1" ht="25.5" customHeight="1">
      <c r="B31" s="518" t="s">
        <v>103</v>
      </c>
      <c r="C31" s="16">
        <v>1</v>
      </c>
      <c r="D31" s="16">
        <v>4</v>
      </c>
      <c r="E31" s="124">
        <v>40</v>
      </c>
      <c r="F31" s="220"/>
      <c r="G31" s="456">
        <f t="shared" si="0"/>
        <v>5.840943333333333E-2</v>
      </c>
      <c r="H31" s="456">
        <f t="shared" si="4"/>
        <v>42.054791999999999</v>
      </c>
      <c r="I31" s="223"/>
      <c r="J31" s="223"/>
      <c r="K31" s="223"/>
      <c r="L31" s="220" t="str">
        <f t="shared" si="2"/>
        <v>Instances</v>
      </c>
      <c r="M31" s="458">
        <f t="shared" si="3"/>
        <v>0</v>
      </c>
      <c r="N31" s="458">
        <f t="shared" si="1"/>
        <v>0</v>
      </c>
      <c r="P31" s="225"/>
    </row>
    <row r="32" spans="2:29" s="197" customFormat="1" ht="25.5" customHeight="1">
      <c r="B32" s="519" t="s">
        <v>104</v>
      </c>
      <c r="C32" s="18">
        <v>2</v>
      </c>
      <c r="D32" s="18">
        <v>8</v>
      </c>
      <c r="E32" s="502">
        <v>40</v>
      </c>
      <c r="F32" s="226"/>
      <c r="G32" s="457">
        <f t="shared" si="0"/>
        <v>9.7875266666666669E-2</v>
      </c>
      <c r="H32" s="457">
        <f t="shared" si="4"/>
        <v>70.470191999999997</v>
      </c>
      <c r="I32" s="223"/>
      <c r="J32" s="223"/>
      <c r="K32" s="223"/>
      <c r="L32" s="226" t="str">
        <f t="shared" si="2"/>
        <v>Instances</v>
      </c>
      <c r="M32" s="459">
        <f t="shared" si="3"/>
        <v>0</v>
      </c>
      <c r="N32" s="504">
        <f t="shared" si="1"/>
        <v>0</v>
      </c>
      <c r="P32" s="225"/>
    </row>
    <row r="33" spans="2:23" s="197" customFormat="1" ht="25.5" customHeight="1">
      <c r="B33" s="518" t="s">
        <v>211</v>
      </c>
      <c r="C33" s="16">
        <v>4</v>
      </c>
      <c r="D33" s="16">
        <v>16</v>
      </c>
      <c r="E33" s="124">
        <v>40</v>
      </c>
      <c r="F33" s="220"/>
      <c r="G33" s="456">
        <f t="shared" si="0"/>
        <v>0.17680693333333333</v>
      </c>
      <c r="H33" s="456">
        <f t="shared" si="4"/>
        <v>127.30099199999999</v>
      </c>
      <c r="I33" s="223"/>
      <c r="J33" s="223"/>
      <c r="K33" s="223"/>
      <c r="L33" s="220" t="str">
        <f t="shared" si="2"/>
        <v>Instances</v>
      </c>
      <c r="M33" s="458">
        <f t="shared" si="3"/>
        <v>0</v>
      </c>
      <c r="N33" s="458">
        <f t="shared" si="1"/>
        <v>0</v>
      </c>
      <c r="P33" s="225"/>
    </row>
    <row r="34" spans="2:23" s="197" customFormat="1" ht="25.5" customHeight="1">
      <c r="B34" s="519" t="s">
        <v>105</v>
      </c>
      <c r="C34" s="18">
        <v>8</v>
      </c>
      <c r="D34" s="18">
        <v>32</v>
      </c>
      <c r="E34" s="502">
        <v>40</v>
      </c>
      <c r="F34" s="226"/>
      <c r="G34" s="457">
        <f t="shared" si="0"/>
        <v>0.3346702666666666</v>
      </c>
      <c r="H34" s="457">
        <f t="shared" si="4"/>
        <v>240.96259199999997</v>
      </c>
      <c r="I34" s="223"/>
      <c r="J34" s="223"/>
      <c r="K34" s="223"/>
      <c r="L34" s="226" t="str">
        <f>L33</f>
        <v>Instances</v>
      </c>
      <c r="M34" s="459">
        <f t="shared" si="3"/>
        <v>0</v>
      </c>
      <c r="N34" s="504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8" t="s">
        <v>288</v>
      </c>
      <c r="C35" s="16">
        <v>16</v>
      </c>
      <c r="D35" s="16">
        <v>64</v>
      </c>
      <c r="E35" s="124">
        <v>40</v>
      </c>
      <c r="F35" s="220"/>
      <c r="G35" s="456">
        <f t="shared" si="0"/>
        <v>0.65039693333333326</v>
      </c>
      <c r="H35" s="456">
        <f>C35*IAAS_vcpu_EUR+D35*IAAS_ram_EUR+E35*IAAS_ssd_EUR</f>
        <v>468.28579199999996</v>
      </c>
      <c r="I35" s="223"/>
      <c r="J35" s="223"/>
      <c r="K35" s="223"/>
      <c r="L35" s="220" t="str">
        <f t="shared" si="2"/>
        <v>Instances</v>
      </c>
      <c r="M35" s="458">
        <f t="shared" si="3"/>
        <v>0</v>
      </c>
      <c r="N35" s="458">
        <f t="shared" si="1"/>
        <v>0</v>
      </c>
      <c r="P35" s="225"/>
      <c r="U35" s="206"/>
      <c r="V35" s="206"/>
      <c r="W35" s="206"/>
    </row>
    <row r="36" spans="2:23" ht="25.5" customHeight="1">
      <c r="B36" s="520" t="s">
        <v>226</v>
      </c>
      <c r="C36" s="91"/>
      <c r="D36" s="91"/>
      <c r="E36" s="91"/>
      <c r="F36" s="231"/>
      <c r="G36" s="232"/>
      <c r="H36" s="233"/>
      <c r="I36" s="167">
        <f>SUM(I25:I35)</f>
        <v>0</v>
      </c>
      <c r="J36" s="167">
        <f>SUM(J25:J35)</f>
        <v>0</v>
      </c>
      <c r="K36" s="167">
        <f>SUM(K25:K35)</f>
        <v>0</v>
      </c>
      <c r="L36" s="168"/>
      <c r="M36" s="460">
        <f>SUM(M25:M35)</f>
        <v>0</v>
      </c>
      <c r="N36" s="461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1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1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8" t="s">
        <v>228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7" t="s">
        <v>220</v>
      </c>
      <c r="C40" s="13" t="s">
        <v>8</v>
      </c>
      <c r="D40" s="13" t="s">
        <v>9</v>
      </c>
      <c r="E40" s="14" t="s">
        <v>109</v>
      </c>
      <c r="F40" s="212"/>
      <c r="G40" s="213" t="s">
        <v>221</v>
      </c>
      <c r="H40" s="213" t="s">
        <v>222</v>
      </c>
      <c r="I40" s="214" t="s">
        <v>58</v>
      </c>
      <c r="J40" s="214" t="s">
        <v>223</v>
      </c>
      <c r="K40" s="214" t="s">
        <v>224</v>
      </c>
      <c r="L40" s="215"/>
      <c r="M40" s="213" t="s">
        <v>59</v>
      </c>
      <c r="N40" s="213" t="s">
        <v>225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3" t="s">
        <v>268</v>
      </c>
      <c r="C41" s="102">
        <v>1</v>
      </c>
      <c r="D41" s="102">
        <v>1</v>
      </c>
      <c r="E41" s="104">
        <v>80</v>
      </c>
      <c r="F41" s="252"/>
      <c r="G41" s="463">
        <f t="shared" ref="G41:G59" si="5">H41/720</f>
        <v>2.8283847222222217E-2</v>
      </c>
      <c r="H41" s="463">
        <f t="shared" ref="H41:H59" si="6">C41*IAAS_vcpu_EUR+D41*IAAS_ram_EUR+E41*IAAS_nvme_EUR</f>
        <v>20.364369999999997</v>
      </c>
      <c r="I41" s="223"/>
      <c r="J41" s="223"/>
      <c r="K41" s="223"/>
      <c r="L41" s="255" t="str">
        <f>L35</f>
        <v>Instances</v>
      </c>
      <c r="M41" s="458">
        <f t="shared" ref="M41:M59" si="7">ROUNDUP(I41*H41,2)</f>
        <v>0</v>
      </c>
      <c r="N41" s="458">
        <f t="shared" ref="N41:N59" si="8">J41*C41*SW_win.ser.201X_EUR+K41*C41*SW_ms.sql.ser_EUR</f>
        <v>0</v>
      </c>
      <c r="P41" s="225"/>
      <c r="U41" s="206"/>
      <c r="W41" s="206"/>
    </row>
    <row r="42" spans="2:23" s="197" customFormat="1" ht="25.5" customHeight="1">
      <c r="B42" s="524" t="s">
        <v>269</v>
      </c>
      <c r="C42" s="103">
        <v>4</v>
      </c>
      <c r="D42" s="103">
        <v>8</v>
      </c>
      <c r="E42" s="123">
        <v>250</v>
      </c>
      <c r="F42" s="256"/>
      <c r="G42" s="462">
        <f t="shared" si="5"/>
        <v>0.13286830555555557</v>
      </c>
      <c r="H42" s="462">
        <f t="shared" si="6"/>
        <v>95.665180000000007</v>
      </c>
      <c r="I42" s="223"/>
      <c r="J42" s="223"/>
      <c r="K42" s="223"/>
      <c r="L42" s="257" t="str">
        <f>L41</f>
        <v>Instances</v>
      </c>
      <c r="M42" s="459">
        <f t="shared" si="7"/>
        <v>0</v>
      </c>
      <c r="N42" s="459">
        <f t="shared" si="8"/>
        <v>0</v>
      </c>
      <c r="P42" s="225"/>
      <c r="U42" s="206"/>
      <c r="W42" s="206"/>
    </row>
    <row r="43" spans="2:23" s="197" customFormat="1" ht="25.5" customHeight="1">
      <c r="B43" s="523" t="s">
        <v>270</v>
      </c>
      <c r="C43" s="102">
        <v>8</v>
      </c>
      <c r="D43" s="102">
        <v>16</v>
      </c>
      <c r="E43" s="104">
        <v>250</v>
      </c>
      <c r="F43" s="252"/>
      <c r="G43" s="463">
        <f t="shared" si="5"/>
        <v>0.23284841666666667</v>
      </c>
      <c r="H43" s="463">
        <f t="shared" si="6"/>
        <v>167.65085999999999</v>
      </c>
      <c r="I43" s="223"/>
      <c r="J43" s="223"/>
      <c r="K43" s="223"/>
      <c r="L43" s="255" t="str">
        <f t="shared" ref="L43:L59" si="9">L42</f>
        <v>Instances</v>
      </c>
      <c r="M43" s="458">
        <f t="shared" si="7"/>
        <v>0</v>
      </c>
      <c r="N43" s="458">
        <f t="shared" si="8"/>
        <v>0</v>
      </c>
      <c r="P43" s="225"/>
      <c r="U43" s="206"/>
      <c r="W43" s="206"/>
    </row>
    <row r="44" spans="2:23" s="197" customFormat="1" ht="25.5" customHeight="1">
      <c r="B44" s="524" t="s">
        <v>271</v>
      </c>
      <c r="C44" s="103">
        <v>16</v>
      </c>
      <c r="D44" s="103">
        <v>32</v>
      </c>
      <c r="E44" s="123">
        <v>250</v>
      </c>
      <c r="F44" s="256"/>
      <c r="G44" s="462">
        <f t="shared" si="5"/>
        <v>0.43280863888888893</v>
      </c>
      <c r="H44" s="462">
        <f t="shared" si="6"/>
        <v>311.62222000000003</v>
      </c>
      <c r="I44" s="223"/>
      <c r="J44" s="223"/>
      <c r="K44" s="223"/>
      <c r="L44" s="257" t="str">
        <f t="shared" si="9"/>
        <v>Instances</v>
      </c>
      <c r="M44" s="459">
        <f t="shared" si="7"/>
        <v>0</v>
      </c>
      <c r="N44" s="459">
        <f t="shared" si="8"/>
        <v>0</v>
      </c>
      <c r="P44" s="225"/>
      <c r="U44" s="206"/>
      <c r="W44" s="206"/>
    </row>
    <row r="45" spans="2:23" s="197" customFormat="1" ht="25.5" customHeight="1">
      <c r="B45" s="523" t="s">
        <v>272</v>
      </c>
      <c r="C45" s="102">
        <v>16</v>
      </c>
      <c r="D45" s="102">
        <v>32</v>
      </c>
      <c r="E45" s="104">
        <v>500</v>
      </c>
      <c r="F45" s="252"/>
      <c r="G45" s="463">
        <f t="shared" si="5"/>
        <v>0.46569683333333334</v>
      </c>
      <c r="H45" s="463">
        <f t="shared" si="6"/>
        <v>335.30171999999999</v>
      </c>
      <c r="I45" s="223"/>
      <c r="J45" s="223"/>
      <c r="K45" s="223"/>
      <c r="L45" s="255" t="str">
        <f t="shared" si="9"/>
        <v>Instances</v>
      </c>
      <c r="M45" s="458">
        <f t="shared" si="7"/>
        <v>0</v>
      </c>
      <c r="N45" s="458">
        <f t="shared" si="8"/>
        <v>0</v>
      </c>
      <c r="P45" s="225"/>
      <c r="U45" s="206"/>
      <c r="W45" s="206"/>
    </row>
    <row r="46" spans="2:23" s="197" customFormat="1" ht="25.5" customHeight="1">
      <c r="B46" s="524" t="s">
        <v>286</v>
      </c>
      <c r="C46" s="103">
        <v>16</v>
      </c>
      <c r="D46" s="103">
        <v>32</v>
      </c>
      <c r="E46" s="123">
        <v>1000</v>
      </c>
      <c r="F46" s="256"/>
      <c r="G46" s="462">
        <f t="shared" si="5"/>
        <v>0.53147322222222226</v>
      </c>
      <c r="H46" s="462">
        <f t="shared" si="6"/>
        <v>382.66072000000003</v>
      </c>
      <c r="I46" s="223"/>
      <c r="J46" s="223"/>
      <c r="K46" s="223"/>
      <c r="L46" s="257" t="str">
        <f t="shared" si="9"/>
        <v>Instances</v>
      </c>
      <c r="M46" s="459">
        <f t="shared" si="7"/>
        <v>0</v>
      </c>
      <c r="N46" s="459">
        <f t="shared" si="8"/>
        <v>0</v>
      </c>
      <c r="P46" s="225"/>
      <c r="U46" s="206"/>
      <c r="W46" s="206"/>
    </row>
    <row r="47" spans="2:23" s="197" customFormat="1" ht="25.5" customHeight="1">
      <c r="B47" s="523" t="s">
        <v>273</v>
      </c>
      <c r="C47" s="102">
        <v>32</v>
      </c>
      <c r="D47" s="102">
        <v>64</v>
      </c>
      <c r="E47" s="104">
        <v>250</v>
      </c>
      <c r="F47" s="252"/>
      <c r="G47" s="463">
        <f t="shared" si="5"/>
        <v>0.83272908333333329</v>
      </c>
      <c r="H47" s="463">
        <f t="shared" si="6"/>
        <v>599.56493999999998</v>
      </c>
      <c r="I47" s="223"/>
      <c r="J47" s="223"/>
      <c r="K47" s="223"/>
      <c r="L47" s="255" t="str">
        <f t="shared" si="9"/>
        <v>Instances</v>
      </c>
      <c r="M47" s="458">
        <f t="shared" si="7"/>
        <v>0</v>
      </c>
      <c r="N47" s="458">
        <f t="shared" si="8"/>
        <v>0</v>
      </c>
      <c r="P47" s="225"/>
      <c r="U47" s="206"/>
      <c r="W47" s="206"/>
    </row>
    <row r="48" spans="2:23" s="197" customFormat="1" ht="25.5" customHeight="1">
      <c r="B48" s="524" t="s">
        <v>274</v>
      </c>
      <c r="C48" s="103">
        <v>32</v>
      </c>
      <c r="D48" s="103">
        <v>64</v>
      </c>
      <c r="E48" s="123">
        <v>500</v>
      </c>
      <c r="F48" s="256"/>
      <c r="G48" s="462">
        <f t="shared" si="5"/>
        <v>0.86561727777777786</v>
      </c>
      <c r="H48" s="462">
        <f t="shared" si="6"/>
        <v>623.24444000000005</v>
      </c>
      <c r="I48" s="223"/>
      <c r="J48" s="223"/>
      <c r="K48" s="223"/>
      <c r="L48" s="257" t="str">
        <f t="shared" si="9"/>
        <v>Instances</v>
      </c>
      <c r="M48" s="459">
        <f t="shared" si="7"/>
        <v>0</v>
      </c>
      <c r="N48" s="459">
        <f t="shared" si="8"/>
        <v>0</v>
      </c>
      <c r="P48" s="225"/>
      <c r="U48" s="206"/>
      <c r="W48" s="206"/>
    </row>
    <row r="49" spans="2:24" s="197" customFormat="1" ht="25.5" customHeight="1">
      <c r="B49" s="523" t="s">
        <v>275</v>
      </c>
      <c r="C49" s="102">
        <v>32</v>
      </c>
      <c r="D49" s="102">
        <v>64</v>
      </c>
      <c r="E49" s="104">
        <v>1000</v>
      </c>
      <c r="F49" s="252"/>
      <c r="G49" s="463">
        <f t="shared" si="5"/>
        <v>0.93139366666666668</v>
      </c>
      <c r="H49" s="463">
        <f t="shared" si="6"/>
        <v>670.60343999999998</v>
      </c>
      <c r="I49" s="223"/>
      <c r="J49" s="223"/>
      <c r="K49" s="223"/>
      <c r="L49" s="255" t="str">
        <f t="shared" si="9"/>
        <v>Instances</v>
      </c>
      <c r="M49" s="458">
        <f t="shared" si="7"/>
        <v>0</v>
      </c>
      <c r="N49" s="458">
        <f t="shared" si="8"/>
        <v>0</v>
      </c>
      <c r="P49" s="225"/>
      <c r="U49" s="206"/>
      <c r="W49" s="206"/>
    </row>
    <row r="50" spans="2:24" s="197" customFormat="1" ht="25.5" customHeight="1">
      <c r="B50" s="524" t="s">
        <v>276</v>
      </c>
      <c r="C50" s="103">
        <v>4</v>
      </c>
      <c r="D50" s="103">
        <v>16</v>
      </c>
      <c r="E50" s="123">
        <v>250</v>
      </c>
      <c r="F50" s="256"/>
      <c r="G50" s="462">
        <f t="shared" si="5"/>
        <v>0.19075152777777776</v>
      </c>
      <c r="H50" s="462">
        <f t="shared" si="6"/>
        <v>137.34109999999998</v>
      </c>
      <c r="I50" s="223"/>
      <c r="J50" s="223"/>
      <c r="K50" s="223"/>
      <c r="L50" s="257" t="str">
        <f t="shared" si="9"/>
        <v>Instances</v>
      </c>
      <c r="M50" s="459">
        <f t="shared" si="7"/>
        <v>0</v>
      </c>
      <c r="N50" s="459">
        <f t="shared" si="8"/>
        <v>0</v>
      </c>
      <c r="P50" s="225"/>
      <c r="U50" s="206"/>
      <c r="W50" s="206"/>
    </row>
    <row r="51" spans="2:24" s="197" customFormat="1" ht="25.5" customHeight="1">
      <c r="B51" s="523" t="s">
        <v>277</v>
      </c>
      <c r="C51" s="102">
        <v>8</v>
      </c>
      <c r="D51" s="102">
        <v>32</v>
      </c>
      <c r="E51" s="104">
        <v>250</v>
      </c>
      <c r="F51" s="252"/>
      <c r="G51" s="463">
        <f t="shared" si="5"/>
        <v>0.34861486111111106</v>
      </c>
      <c r="H51" s="463">
        <f t="shared" si="6"/>
        <v>251.00269999999998</v>
      </c>
      <c r="I51" s="223"/>
      <c r="J51" s="223"/>
      <c r="K51" s="223"/>
      <c r="L51" s="255" t="str">
        <f t="shared" si="9"/>
        <v>Instances</v>
      </c>
      <c r="M51" s="458">
        <f t="shared" si="7"/>
        <v>0</v>
      </c>
      <c r="N51" s="458">
        <f t="shared" si="8"/>
        <v>0</v>
      </c>
      <c r="P51" s="225"/>
      <c r="U51" s="206"/>
      <c r="W51" s="206"/>
    </row>
    <row r="52" spans="2:24" s="197" customFormat="1" ht="25.5" customHeight="1">
      <c r="B52" s="524" t="s">
        <v>278</v>
      </c>
      <c r="C52" s="103">
        <v>8</v>
      </c>
      <c r="D52" s="103">
        <v>32</v>
      </c>
      <c r="E52" s="123">
        <v>500</v>
      </c>
      <c r="F52" s="256"/>
      <c r="G52" s="462">
        <f t="shared" si="5"/>
        <v>0.38150305555555553</v>
      </c>
      <c r="H52" s="462">
        <f t="shared" si="6"/>
        <v>274.68219999999997</v>
      </c>
      <c r="I52" s="223"/>
      <c r="J52" s="223"/>
      <c r="K52" s="223"/>
      <c r="L52" s="257" t="str">
        <f t="shared" si="9"/>
        <v>Instances</v>
      </c>
      <c r="M52" s="459">
        <f t="shared" si="7"/>
        <v>0</v>
      </c>
      <c r="N52" s="459">
        <f t="shared" si="8"/>
        <v>0</v>
      </c>
      <c r="P52" s="225"/>
      <c r="U52" s="206"/>
      <c r="W52" s="206"/>
    </row>
    <row r="53" spans="2:24" s="197" customFormat="1" ht="25.5" customHeight="1">
      <c r="B53" s="523" t="s">
        <v>279</v>
      </c>
      <c r="C53" s="102">
        <v>8</v>
      </c>
      <c r="D53" s="102">
        <v>32</v>
      </c>
      <c r="E53" s="104">
        <v>1000</v>
      </c>
      <c r="F53" s="252"/>
      <c r="G53" s="463">
        <f t="shared" si="5"/>
        <v>0.44727944444444445</v>
      </c>
      <c r="H53" s="463">
        <f t="shared" si="6"/>
        <v>322.0412</v>
      </c>
      <c r="I53" s="223"/>
      <c r="J53" s="223"/>
      <c r="K53" s="223"/>
      <c r="L53" s="255" t="str">
        <f t="shared" si="9"/>
        <v>Instances</v>
      </c>
      <c r="M53" s="458">
        <f t="shared" si="7"/>
        <v>0</v>
      </c>
      <c r="N53" s="458">
        <f t="shared" si="8"/>
        <v>0</v>
      </c>
      <c r="P53" s="225"/>
      <c r="U53" s="206"/>
      <c r="W53" s="206"/>
    </row>
    <row r="54" spans="2:24" s="197" customFormat="1" ht="25.5" customHeight="1">
      <c r="B54" s="524" t="s">
        <v>280</v>
      </c>
      <c r="C54" s="103">
        <v>16</v>
      </c>
      <c r="D54" s="103">
        <v>64</v>
      </c>
      <c r="E54" s="123">
        <v>250</v>
      </c>
      <c r="F54" s="256"/>
      <c r="G54" s="462">
        <f t="shared" si="5"/>
        <v>0.66434152777777777</v>
      </c>
      <c r="H54" s="462">
        <f t="shared" si="6"/>
        <v>478.32589999999999</v>
      </c>
      <c r="I54" s="223"/>
      <c r="J54" s="223"/>
      <c r="K54" s="223"/>
      <c r="L54" s="257" t="str">
        <f t="shared" si="9"/>
        <v>Instances</v>
      </c>
      <c r="M54" s="459">
        <f t="shared" si="7"/>
        <v>0</v>
      </c>
      <c r="N54" s="459">
        <f t="shared" si="8"/>
        <v>0</v>
      </c>
      <c r="P54" s="225"/>
      <c r="U54" s="206"/>
      <c r="W54" s="206"/>
    </row>
    <row r="55" spans="2:24" s="197" customFormat="1" ht="25.5" customHeight="1">
      <c r="B55" s="523" t="s">
        <v>281</v>
      </c>
      <c r="C55" s="102">
        <v>16</v>
      </c>
      <c r="D55" s="102">
        <v>64</v>
      </c>
      <c r="E55" s="104">
        <v>500</v>
      </c>
      <c r="F55" s="252"/>
      <c r="G55" s="463">
        <f t="shared" si="5"/>
        <v>0.69722972222222213</v>
      </c>
      <c r="H55" s="463">
        <f t="shared" si="6"/>
        <v>502.00539999999995</v>
      </c>
      <c r="I55" s="223"/>
      <c r="J55" s="223"/>
      <c r="K55" s="223"/>
      <c r="L55" s="255" t="str">
        <f t="shared" si="9"/>
        <v>Instances</v>
      </c>
      <c r="M55" s="458">
        <f t="shared" si="7"/>
        <v>0</v>
      </c>
      <c r="N55" s="458">
        <f t="shared" si="8"/>
        <v>0</v>
      </c>
      <c r="P55" s="225"/>
      <c r="U55" s="206"/>
      <c r="W55" s="206"/>
    </row>
    <row r="56" spans="2:24" s="197" customFormat="1" ht="25.5" customHeight="1">
      <c r="B56" s="524" t="s">
        <v>282</v>
      </c>
      <c r="C56" s="103">
        <v>16</v>
      </c>
      <c r="D56" s="103">
        <v>64</v>
      </c>
      <c r="E56" s="123">
        <v>1000</v>
      </c>
      <c r="F56" s="256"/>
      <c r="G56" s="462">
        <f t="shared" ref="G56:G57" si="10">H56/720</f>
        <v>0.76300611111111105</v>
      </c>
      <c r="H56" s="462">
        <f t="shared" ref="H56:H57" si="11">C56*IAAS_vcpu_EUR+D56*IAAS_ram_EUR+E56*IAAS_nvme_EUR</f>
        <v>549.36439999999993</v>
      </c>
      <c r="I56" s="223"/>
      <c r="J56" s="223"/>
      <c r="K56" s="223"/>
      <c r="L56" s="257" t="str">
        <f>L53</f>
        <v>Instances</v>
      </c>
      <c r="M56" s="459">
        <f t="shared" ref="M56:M57" si="12">ROUNDUP(I56*H56,2)</f>
        <v>0</v>
      </c>
      <c r="N56" s="459">
        <f t="shared" si="8"/>
        <v>0</v>
      </c>
      <c r="P56" s="225"/>
      <c r="U56" s="206"/>
      <c r="W56" s="206"/>
    </row>
    <row r="57" spans="2:24" s="197" customFormat="1" ht="25.5" customHeight="1">
      <c r="B57" s="523" t="s">
        <v>283</v>
      </c>
      <c r="C57" s="102">
        <v>32</v>
      </c>
      <c r="D57" s="102">
        <v>128</v>
      </c>
      <c r="E57" s="104">
        <v>250</v>
      </c>
      <c r="F57" s="252"/>
      <c r="G57" s="463">
        <f t="shared" si="10"/>
        <v>1.295794861111111</v>
      </c>
      <c r="H57" s="463">
        <f t="shared" si="11"/>
        <v>932.9722999999999</v>
      </c>
      <c r="I57" s="223"/>
      <c r="J57" s="223"/>
      <c r="K57" s="223"/>
      <c r="L57" s="255" t="str">
        <f t="shared" si="9"/>
        <v>Instances</v>
      </c>
      <c r="M57" s="458">
        <f t="shared" si="12"/>
        <v>0</v>
      </c>
      <c r="N57" s="458">
        <f t="shared" si="8"/>
        <v>0</v>
      </c>
      <c r="P57" s="225"/>
      <c r="U57" s="206"/>
      <c r="W57" s="206"/>
    </row>
    <row r="58" spans="2:24" s="197" customFormat="1" ht="25.5" customHeight="1">
      <c r="B58" s="524" t="s">
        <v>284</v>
      </c>
      <c r="C58" s="103">
        <v>32</v>
      </c>
      <c r="D58" s="103">
        <v>128</v>
      </c>
      <c r="E58" s="123">
        <v>500</v>
      </c>
      <c r="F58" s="256"/>
      <c r="G58" s="462">
        <f t="shared" si="5"/>
        <v>1.3286830555555555</v>
      </c>
      <c r="H58" s="462">
        <f t="shared" si="6"/>
        <v>956.65179999999998</v>
      </c>
      <c r="I58" s="223"/>
      <c r="J58" s="223"/>
      <c r="K58" s="223"/>
      <c r="L58" s="257" t="str">
        <f>L55</f>
        <v>Instances</v>
      </c>
      <c r="M58" s="459">
        <f t="shared" si="7"/>
        <v>0</v>
      </c>
      <c r="N58" s="459">
        <f t="shared" si="8"/>
        <v>0</v>
      </c>
      <c r="P58" s="225"/>
      <c r="U58" s="206"/>
      <c r="W58" s="206"/>
    </row>
    <row r="59" spans="2:24" s="197" customFormat="1" ht="25.5" customHeight="1">
      <c r="B59" s="523" t="s">
        <v>285</v>
      </c>
      <c r="C59" s="102">
        <v>32</v>
      </c>
      <c r="D59" s="102">
        <v>128</v>
      </c>
      <c r="E59" s="104">
        <v>1000</v>
      </c>
      <c r="F59" s="252"/>
      <c r="G59" s="463">
        <f t="shared" si="5"/>
        <v>1.3944594444444443</v>
      </c>
      <c r="H59" s="463">
        <f t="shared" si="6"/>
        <v>1004.0107999999999</v>
      </c>
      <c r="I59" s="223"/>
      <c r="J59" s="223"/>
      <c r="K59" s="223"/>
      <c r="L59" s="255" t="str">
        <f t="shared" si="9"/>
        <v>Instances</v>
      </c>
      <c r="M59" s="458">
        <f t="shared" si="7"/>
        <v>0</v>
      </c>
      <c r="N59" s="458">
        <f t="shared" si="8"/>
        <v>0</v>
      </c>
      <c r="P59" s="225"/>
      <c r="U59" s="206"/>
      <c r="W59" s="206"/>
    </row>
    <row r="60" spans="2:24" s="197" customFormat="1" ht="25.5" customHeight="1">
      <c r="B60" s="520" t="s">
        <v>226</v>
      </c>
      <c r="C60" s="91"/>
      <c r="D60" s="91"/>
      <c r="E60" s="91"/>
      <c r="F60" s="231"/>
      <c r="G60" s="232"/>
      <c r="H60" s="233"/>
      <c r="I60" s="167">
        <f>SUM(I41:I59)</f>
        <v>0</v>
      </c>
      <c r="J60" s="167">
        <f>SUM(J41:J59)</f>
        <v>0</v>
      </c>
      <c r="K60" s="167">
        <f>SUM(K41:K59)</f>
        <v>0</v>
      </c>
      <c r="L60" s="168"/>
      <c r="M60" s="460">
        <f>SUM(M41:M59)</f>
        <v>0</v>
      </c>
      <c r="N60" s="461">
        <f>SUM(N41:N59)</f>
        <v>0</v>
      </c>
      <c r="P60" s="225"/>
      <c r="U60" s="206"/>
      <c r="W60" s="206"/>
    </row>
    <row r="61" spans="2:24" ht="25.5" customHeight="1">
      <c r="B61" s="525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5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6" t="s">
        <v>229</v>
      </c>
      <c r="C63" s="449"/>
      <c r="D63" s="449"/>
      <c r="E63" s="449"/>
      <c r="F63" s="449"/>
      <c r="G63" s="449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7" t="s">
        <v>220</v>
      </c>
      <c r="C64" s="13" t="s">
        <v>8</v>
      </c>
      <c r="D64" s="13" t="s">
        <v>9</v>
      </c>
      <c r="E64" s="14" t="s">
        <v>109</v>
      </c>
      <c r="F64" s="212" t="s">
        <v>69</v>
      </c>
      <c r="G64" s="213" t="s">
        <v>221</v>
      </c>
      <c r="H64" s="213" t="s">
        <v>222</v>
      </c>
      <c r="I64" s="214" t="s">
        <v>58</v>
      </c>
      <c r="J64" s="214" t="s">
        <v>223</v>
      </c>
      <c r="K64" s="214" t="s">
        <v>224</v>
      </c>
      <c r="L64" s="215"/>
      <c r="M64" s="213" t="s">
        <v>59</v>
      </c>
      <c r="N64" s="213" t="s">
        <v>225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3" t="s">
        <v>61</v>
      </c>
      <c r="C65" s="102">
        <v>4</v>
      </c>
      <c r="D65" s="102">
        <v>16</v>
      </c>
      <c r="E65" s="107">
        <v>250</v>
      </c>
      <c r="F65" s="252">
        <v>1</v>
      </c>
      <c r="G65" s="463">
        <f t="shared" ref="G65:G68" si="13">H65/720</f>
        <v>0.91429180555555545</v>
      </c>
      <c r="H65" s="463">
        <f>C65*IAAS_vcpu_EUR+D65*IAAS_ram_EUR+E65*IAAS_nvme_EUR+F65*IAAS_gpu_EUR</f>
        <v>658.29009999999994</v>
      </c>
      <c r="I65" s="223"/>
      <c r="J65" s="223"/>
      <c r="K65" s="223"/>
      <c r="L65" s="255" t="str">
        <f>L55</f>
        <v>Instances</v>
      </c>
      <c r="M65" s="458">
        <f t="shared" ref="M65:M68" si="14">ROUNDUP(I65*H65,2)</f>
        <v>0</v>
      </c>
      <c r="N65" s="458">
        <f>J65*C65*SW_win.ser.201X_EUR+K65*C65*SW_ms.sql.ser_EUR</f>
        <v>0</v>
      </c>
      <c r="P65" s="225"/>
      <c r="U65" s="206"/>
      <c r="W65" s="206"/>
    </row>
    <row r="66" spans="2:24" s="197" customFormat="1" ht="25.5" customHeight="1">
      <c r="B66" s="522" t="s">
        <v>62</v>
      </c>
      <c r="C66" s="100">
        <v>8</v>
      </c>
      <c r="D66" s="100">
        <v>32</v>
      </c>
      <c r="E66" s="106">
        <v>500</v>
      </c>
      <c r="F66" s="248">
        <v>2</v>
      </c>
      <c r="G66" s="462">
        <f t="shared" si="13"/>
        <v>1.8285836111111109</v>
      </c>
      <c r="H66" s="462">
        <f>C66*IAAS_vcpu_EUR+D66*IAAS_ram_EUR+E66*IAAS_nvme_EUR+F66*IAAS_gpu_EUR</f>
        <v>1316.5801999999999</v>
      </c>
      <c r="I66" s="223"/>
      <c r="J66" s="223"/>
      <c r="K66" s="223"/>
      <c r="L66" s="251" t="str">
        <f t="shared" ref="L66:L68" si="15">L56</f>
        <v>Instances</v>
      </c>
      <c r="M66" s="459">
        <f t="shared" si="14"/>
        <v>0</v>
      </c>
      <c r="N66" s="459">
        <f>J66*C66*SW_win.ser.201X_EUR+K66*C66*SW_ms.sql.ser_EUR</f>
        <v>0</v>
      </c>
      <c r="P66" s="225"/>
      <c r="U66" s="206"/>
      <c r="W66" s="206"/>
    </row>
    <row r="67" spans="2:24" s="197" customFormat="1" ht="25.5" customHeight="1">
      <c r="B67" s="523" t="s">
        <v>63</v>
      </c>
      <c r="C67" s="102">
        <v>16</v>
      </c>
      <c r="D67" s="102">
        <v>64</v>
      </c>
      <c r="E67" s="107">
        <v>1000</v>
      </c>
      <c r="F67" s="252">
        <v>4</v>
      </c>
      <c r="G67" s="463">
        <f t="shared" si="13"/>
        <v>3.6571672222222218</v>
      </c>
      <c r="H67" s="463">
        <f>C67*IAAS_vcpu_EUR+D67*IAAS_ram_EUR+E67*IAAS_nvme_EUR+F67*IAAS_gpu_EUR</f>
        <v>2633.1603999999998</v>
      </c>
      <c r="I67" s="223"/>
      <c r="J67" s="223"/>
      <c r="K67" s="223"/>
      <c r="L67" s="255" t="str">
        <f t="shared" si="15"/>
        <v>Instances</v>
      </c>
      <c r="M67" s="458">
        <f t="shared" si="14"/>
        <v>0</v>
      </c>
      <c r="N67" s="458">
        <f>J67*C67*SW_win.ser.201X_EUR+K67*C67*SW_ms.sql.ser_EUR</f>
        <v>0</v>
      </c>
      <c r="P67" s="225"/>
      <c r="U67" s="206"/>
      <c r="W67" s="206"/>
    </row>
    <row r="68" spans="2:24" s="197" customFormat="1" ht="25.5" customHeight="1">
      <c r="B68" s="522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62">
        <f t="shared" si="13"/>
        <v>5.7357011111111103</v>
      </c>
      <c r="H68" s="462">
        <f>C68*IAAS_vcpu_EUR+D68*IAAS_ram_EUR+E68*IAAS_nvme_EUR+F68*IAAS_gpu_EUR</f>
        <v>4129.7047999999995</v>
      </c>
      <c r="I68" s="223"/>
      <c r="J68" s="223"/>
      <c r="K68" s="223"/>
      <c r="L68" s="251" t="str">
        <f t="shared" si="15"/>
        <v>Instances</v>
      </c>
      <c r="M68" s="459">
        <f t="shared" si="14"/>
        <v>0</v>
      </c>
      <c r="N68" s="459">
        <f>J68*C68*SW_win.ser.201X_EUR+K68*C68*SW_ms.sql.ser_EUR</f>
        <v>0</v>
      </c>
      <c r="P68" s="225"/>
      <c r="U68" s="206"/>
      <c r="W68" s="206"/>
    </row>
    <row r="69" spans="2:24" s="274" customFormat="1" ht="25.5" customHeight="1">
      <c r="B69" s="520" t="s">
        <v>226</v>
      </c>
      <c r="C69" s="91"/>
      <c r="D69" s="91"/>
      <c r="E69" s="91"/>
      <c r="F69" s="231"/>
      <c r="G69" s="232"/>
      <c r="H69" s="233"/>
      <c r="I69" s="167">
        <f>SUM(I65:I68)</f>
        <v>0</v>
      </c>
      <c r="J69" s="167">
        <f>SUM(J65:J68)</f>
        <v>0</v>
      </c>
      <c r="K69" s="167">
        <f>SUM(K65:K68)</f>
        <v>0</v>
      </c>
      <c r="L69" s="168"/>
      <c r="M69" s="460">
        <f>SUM(M65:M68)</f>
        <v>0</v>
      </c>
      <c r="N69" s="461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1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1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8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52">
      <c r="B73" s="517" t="s">
        <v>220</v>
      </c>
      <c r="C73" s="13" t="s">
        <v>8</v>
      </c>
      <c r="D73" s="13" t="s">
        <v>9</v>
      </c>
      <c r="E73" s="14" t="s">
        <v>109</v>
      </c>
      <c r="F73" s="212"/>
      <c r="G73" s="213" t="s">
        <v>221</v>
      </c>
      <c r="H73" s="213" t="s">
        <v>222</v>
      </c>
      <c r="I73" s="214" t="s">
        <v>58</v>
      </c>
      <c r="J73" s="214" t="s">
        <v>223</v>
      </c>
      <c r="K73" s="214" t="s">
        <v>224</v>
      </c>
      <c r="L73" s="215"/>
      <c r="M73" s="213" t="s">
        <v>59</v>
      </c>
      <c r="N73" s="213" t="s">
        <v>225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463">
        <f t="shared" ref="G74:G76" si="16">H74/720</f>
        <v>0.89982099999999998</v>
      </c>
      <c r="H74" s="463">
        <f>INSTANCE_p1.2xlarge.16d_EUR</f>
        <v>647.87112000000002</v>
      </c>
      <c r="I74" s="223"/>
      <c r="J74" s="223"/>
      <c r="K74" s="223"/>
      <c r="L74" s="220" t="s">
        <v>18</v>
      </c>
      <c r="M74" s="458">
        <f t="shared" ref="M74:M76" si="17">ROUNDUP(I74*H74,2)</f>
        <v>0</v>
      </c>
      <c r="N74" s="458">
        <f>J74*C74*SW_win.ser.201X_EUR+K74*C74*SW_ms.sql.ser_EUR</f>
        <v>0</v>
      </c>
      <c r="O74" s="207"/>
      <c r="P74" s="225"/>
    </row>
    <row r="75" spans="2:24" s="197" customFormat="1" ht="25.5" customHeight="1">
      <c r="B75" s="527" t="s">
        <v>67</v>
      </c>
      <c r="C75" s="95">
        <v>32</v>
      </c>
      <c r="D75" s="95">
        <v>256</v>
      </c>
      <c r="E75" s="97">
        <v>3800</v>
      </c>
      <c r="F75" s="282"/>
      <c r="G75" s="462">
        <f t="shared" si="16"/>
        <v>1.799642</v>
      </c>
      <c r="H75" s="462">
        <f>INSTANCE_p1.4xlarge.16d_EUR</f>
        <v>1295.74224</v>
      </c>
      <c r="I75" s="223"/>
      <c r="J75" s="223"/>
      <c r="K75" s="223"/>
      <c r="L75" s="226" t="str">
        <f t="shared" ref="L75" si="18">L74</f>
        <v>Instanser</v>
      </c>
      <c r="M75" s="459">
        <f t="shared" si="17"/>
        <v>0</v>
      </c>
      <c r="N75" s="459">
        <f>J75*C75*SW_win.ser.201X_EUR+K75*C75*SW_ms.sql.ser_EUR</f>
        <v>0</v>
      </c>
      <c r="O75" s="207"/>
      <c r="P75" s="225"/>
      <c r="X75" s="206"/>
    </row>
    <row r="76" spans="2:24" s="271" customFormat="1" ht="25.5" customHeight="1">
      <c r="B76" s="528" t="s">
        <v>68</v>
      </c>
      <c r="C76" s="96">
        <v>64</v>
      </c>
      <c r="D76" s="96">
        <v>512</v>
      </c>
      <c r="E76" s="98">
        <v>7600</v>
      </c>
      <c r="F76" s="283"/>
      <c r="G76" s="464">
        <f t="shared" si="16"/>
        <v>3.5992839999999999</v>
      </c>
      <c r="H76" s="465">
        <f>INSTANCE_p1.8xlarge.32d_EUR</f>
        <v>2591.4844800000001</v>
      </c>
      <c r="I76" s="223"/>
      <c r="J76" s="223"/>
      <c r="K76" s="223"/>
      <c r="L76" s="220" t="s">
        <v>18</v>
      </c>
      <c r="M76" s="458">
        <f t="shared" si="17"/>
        <v>0</v>
      </c>
      <c r="N76" s="458">
        <f>J76*C76*SW_win.ser.201X_EUR+K76*C76*SW_ms.sql.ser_EUR</f>
        <v>0</v>
      </c>
      <c r="O76" s="286"/>
      <c r="P76" s="287"/>
    </row>
    <row r="77" spans="2:24" ht="25.5" customHeight="1">
      <c r="B77" s="520" t="s">
        <v>226</v>
      </c>
      <c r="C77" s="91"/>
      <c r="D77" s="91"/>
      <c r="E77" s="91"/>
      <c r="F77" s="231"/>
      <c r="G77" s="232"/>
      <c r="H77" s="233"/>
      <c r="I77" s="167">
        <f>SUM(I74:I76)</f>
        <v>0</v>
      </c>
      <c r="J77" s="167">
        <f>SUM(J74:J76)</f>
        <v>0</v>
      </c>
      <c r="K77" s="167">
        <f>SUM(K74:K76)</f>
        <v>0</v>
      </c>
      <c r="L77" s="168"/>
      <c r="M77" s="460">
        <f>SUM(M74:M76)</f>
        <v>0</v>
      </c>
      <c r="N77" s="461">
        <f>SUM(N74:N76)</f>
        <v>0</v>
      </c>
      <c r="O77" s="208"/>
      <c r="P77" s="211"/>
    </row>
    <row r="78" spans="2:24" ht="25.5" customHeight="1">
      <c r="B78" s="529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0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8" t="s">
        <v>230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7" t="s">
        <v>220</v>
      </c>
      <c r="C81" s="26" t="s">
        <v>184</v>
      </c>
      <c r="D81" s="26"/>
      <c r="E81" s="144" t="s">
        <v>221</v>
      </c>
      <c r="F81" s="593" t="s">
        <v>231</v>
      </c>
      <c r="G81" s="593"/>
      <c r="H81" s="591"/>
      <c r="I81" s="591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466">
        <f>F82/720</f>
        <v>1.5786333333333332E-4</v>
      </c>
      <c r="F82" s="606">
        <f>VOLUME_large_EUR</f>
        <v>0.11366159999999999</v>
      </c>
      <c r="G82" s="606"/>
      <c r="H82" s="607"/>
      <c r="I82" s="607"/>
      <c r="J82" s="298"/>
      <c r="K82" s="299" t="s">
        <v>26</v>
      </c>
      <c r="L82" s="299"/>
      <c r="M82" s="300"/>
      <c r="N82" s="468">
        <f>ROUNDUP(J82*F82,2)</f>
        <v>0</v>
      </c>
      <c r="O82" s="207"/>
      <c r="P82" s="225"/>
    </row>
    <row r="83" spans="2:25" s="197" customFormat="1" ht="25.5" customHeight="1">
      <c r="B83" s="527" t="s">
        <v>180</v>
      </c>
      <c r="C83" s="43" t="s">
        <v>183</v>
      </c>
      <c r="D83" s="83"/>
      <c r="E83" s="467">
        <f>F83/720</f>
        <v>4.7358999999999997E-4</v>
      </c>
      <c r="F83" s="600">
        <f>VOLUME_fast_EUR</f>
        <v>0.34098479999999998</v>
      </c>
      <c r="G83" s="600"/>
      <c r="H83" s="601"/>
      <c r="I83" s="601"/>
      <c r="J83" s="302"/>
      <c r="K83" s="303" t="s">
        <v>26</v>
      </c>
      <c r="L83" s="303"/>
      <c r="M83" s="304"/>
      <c r="N83" s="469">
        <f>ROUNDUP(J83*F83,2)</f>
        <v>0</v>
      </c>
      <c r="O83" s="207"/>
      <c r="P83" s="225"/>
      <c r="Y83" s="206"/>
    </row>
    <row r="84" spans="2:25" ht="25.5" customHeight="1">
      <c r="B84" s="520" t="s">
        <v>226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461">
        <f>SUM(N82:N83)</f>
        <v>0</v>
      </c>
      <c r="O84" s="208"/>
      <c r="P84" s="211"/>
    </row>
    <row r="85" spans="2:25" ht="25.5" customHeight="1">
      <c r="B85" s="529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69" t="s">
        <v>27</v>
      </c>
      <c r="C88" s="569"/>
      <c r="D88" s="569"/>
      <c r="E88" s="569"/>
      <c r="F88" s="569"/>
      <c r="G88" s="569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69"/>
      <c r="C89" s="569"/>
      <c r="D89" s="569"/>
      <c r="E89" s="569"/>
      <c r="F89" s="569"/>
      <c r="G89" s="569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69"/>
      <c r="C90" s="569"/>
      <c r="D90" s="569"/>
      <c r="E90" s="569"/>
      <c r="F90" s="569"/>
      <c r="G90" s="569"/>
      <c r="H90" s="193"/>
      <c r="J90" s="194"/>
      <c r="K90" s="194"/>
      <c r="M90" s="195"/>
      <c r="N90" s="195"/>
      <c r="P90" s="196"/>
    </row>
    <row r="91" spans="2:25" s="192" customFormat="1" ht="25.5" customHeight="1">
      <c r="B91" s="602" t="s">
        <v>232</v>
      </c>
      <c r="C91" s="602"/>
      <c r="D91" s="602"/>
      <c r="E91" s="602"/>
      <c r="F91" s="602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603" t="s">
        <v>299</v>
      </c>
      <c r="C92" s="603"/>
      <c r="D92" s="603"/>
      <c r="E92" s="603"/>
      <c r="F92" s="603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219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7" t="s">
        <v>220</v>
      </c>
      <c r="C95" s="12" t="s">
        <v>233</v>
      </c>
      <c r="D95" s="593" t="s">
        <v>234</v>
      </c>
      <c r="E95" s="593"/>
      <c r="F95" s="593"/>
      <c r="G95" s="593"/>
      <c r="H95" s="593"/>
      <c r="I95" s="593"/>
      <c r="J95" s="593"/>
      <c r="K95" s="593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8" t="s">
        <v>75</v>
      </c>
      <c r="C96" s="46" t="s">
        <v>97</v>
      </c>
      <c r="D96" s="604">
        <f>S3_storage.50_EUR</f>
        <v>33.151299999999999</v>
      </c>
      <c r="E96" s="604"/>
      <c r="F96" s="605"/>
      <c r="G96" s="605"/>
      <c r="H96" s="605"/>
      <c r="I96" s="605"/>
      <c r="J96" s="605"/>
      <c r="K96" s="605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19" t="s">
        <v>75</v>
      </c>
      <c r="C97" s="48" t="s">
        <v>117</v>
      </c>
      <c r="D97" s="589">
        <f>S3_storage.100_EUR</f>
        <v>25.57386</v>
      </c>
      <c r="E97" s="589"/>
      <c r="F97" s="590"/>
      <c r="G97" s="590"/>
      <c r="H97" s="590"/>
      <c r="I97" s="590"/>
      <c r="J97" s="590"/>
      <c r="K97" s="590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8" t="s">
        <v>75</v>
      </c>
      <c r="C98" s="46" t="s">
        <v>118</v>
      </c>
      <c r="D98" s="598">
        <f>S3_storage.500_EUR</f>
        <v>18.9436</v>
      </c>
      <c r="E98" s="598"/>
      <c r="F98" s="599"/>
      <c r="G98" s="599"/>
      <c r="H98" s="599"/>
      <c r="I98" s="599"/>
      <c r="J98" s="599"/>
      <c r="K98" s="599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19" t="s">
        <v>75</v>
      </c>
      <c r="C99" s="48" t="s">
        <v>119</v>
      </c>
      <c r="D99" s="589">
        <f>S3_storage.1000_EUR</f>
        <v>17.522829999999999</v>
      </c>
      <c r="E99" s="589"/>
      <c r="F99" s="590"/>
      <c r="G99" s="590"/>
      <c r="H99" s="590"/>
      <c r="I99" s="590"/>
      <c r="J99" s="590"/>
      <c r="K99" s="590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8" t="s">
        <v>75</v>
      </c>
      <c r="C100" s="46" t="s">
        <v>120</v>
      </c>
      <c r="D100" s="592" t="str">
        <f>S3_storage.quote_EUR</f>
        <v>Ask for quote</v>
      </c>
      <c r="E100" s="592"/>
      <c r="F100" s="592"/>
      <c r="G100" s="592"/>
      <c r="H100" s="592"/>
      <c r="I100" s="592"/>
      <c r="J100" s="592"/>
      <c r="K100" s="592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5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6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7" t="s">
        <v>220</v>
      </c>
      <c r="C103" s="26"/>
      <c r="D103" s="26"/>
      <c r="E103" s="143" t="s">
        <v>221</v>
      </c>
      <c r="F103" s="593" t="s">
        <v>235</v>
      </c>
      <c r="G103" s="593"/>
      <c r="H103" s="292" t="s">
        <v>233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7" t="s">
        <v>75</v>
      </c>
      <c r="C104" s="86"/>
      <c r="D104" s="86"/>
      <c r="E104" s="507" cm="1">
        <f t="array" ref="E104">_xlfn.IFS(H104&lt;1001,F104/720,H104&gt;1000,D100)</f>
        <v>4.6043472222222222E-2</v>
      </c>
      <c r="F104" s="594" cm="1">
        <f t="array" ref="F104">_xlfn.IFS(H104&lt;51,D96,H104&lt;101,D97,H104&lt;501,D98,H104&lt;1001,D99,H104&gt;1000,D100)</f>
        <v>33.151299999999999</v>
      </c>
      <c r="G104" s="595"/>
      <c r="H104" s="330">
        <v>0</v>
      </c>
      <c r="I104" s="331" t="s">
        <v>73</v>
      </c>
      <c r="J104" s="332"/>
      <c r="K104" s="332"/>
      <c r="L104" s="332"/>
      <c r="M104" s="333"/>
      <c r="N104" s="471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461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69" t="s">
        <v>32</v>
      </c>
      <c r="C109" s="569"/>
      <c r="D109" s="569"/>
      <c r="E109" s="569"/>
      <c r="F109" s="569"/>
      <c r="G109" s="569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69"/>
      <c r="C110" s="569"/>
      <c r="D110" s="569"/>
      <c r="E110" s="569"/>
      <c r="F110" s="569"/>
      <c r="G110" s="569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69"/>
      <c r="C111" s="569"/>
      <c r="D111" s="569"/>
      <c r="E111" s="569"/>
      <c r="F111" s="569"/>
      <c r="G111" s="569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96" t="s">
        <v>300</v>
      </c>
      <c r="C112" s="596"/>
      <c r="D112" s="596"/>
      <c r="E112" s="596"/>
      <c r="F112" s="596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70" t="s">
        <v>218</v>
      </c>
      <c r="C113" s="570"/>
      <c r="D113" s="570"/>
      <c r="E113" s="570"/>
      <c r="F113" s="570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219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7" t="s">
        <v>220</v>
      </c>
      <c r="C116" s="597" t="s">
        <v>242</v>
      </c>
      <c r="D116" s="597"/>
      <c r="E116" s="143"/>
      <c r="F116" s="593" t="s">
        <v>241</v>
      </c>
      <c r="G116" s="593"/>
      <c r="H116" s="292" t="s">
        <v>30</v>
      </c>
      <c r="I116" s="290"/>
      <c r="J116" s="591" t="s">
        <v>240</v>
      </c>
      <c r="K116" s="591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75" t="s">
        <v>106</v>
      </c>
      <c r="C117" s="575"/>
      <c r="D117" s="548" t="s">
        <v>25</v>
      </c>
      <c r="E117" s="31"/>
      <c r="F117" s="576">
        <f>BAAS_on.demand_EUR</f>
        <v>0.23205910000000002</v>
      </c>
      <c r="G117" s="577"/>
      <c r="H117" s="342">
        <v>0</v>
      </c>
      <c r="I117" s="299" t="s">
        <v>26</v>
      </c>
      <c r="J117" s="578" t="s">
        <v>25</v>
      </c>
      <c r="K117" s="578"/>
      <c r="L117" s="343"/>
      <c r="M117" s="299"/>
      <c r="N117" s="468">
        <f>ROUNDUP(H117*F117,2)</f>
        <v>0</v>
      </c>
      <c r="O117" s="277"/>
      <c r="P117" s="211"/>
    </row>
    <row r="118" spans="1:35" ht="25.5" customHeight="1">
      <c r="A118" s="341"/>
      <c r="B118" s="579" t="s">
        <v>107</v>
      </c>
      <c r="C118" s="579"/>
      <c r="D118" s="549">
        <f>BAAS_small.fee_EUR</f>
        <v>520.94899999999996</v>
      </c>
      <c r="E118" s="34"/>
      <c r="F118" s="580">
        <f>BAAS_small_EUR</f>
        <v>0.1657565</v>
      </c>
      <c r="G118" s="581"/>
      <c r="H118" s="344">
        <v>0</v>
      </c>
      <c r="I118" s="303" t="s">
        <v>26</v>
      </c>
      <c r="J118" s="582">
        <v>0.75</v>
      </c>
      <c r="K118" s="583"/>
      <c r="L118" s="303"/>
      <c r="M118" s="303"/>
      <c r="N118" s="469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84" t="s">
        <v>108</v>
      </c>
      <c r="C119" s="584"/>
      <c r="D119" s="550">
        <f>BAAS_large.fee_EUR</f>
        <v>899.82099999999991</v>
      </c>
      <c r="E119" s="37"/>
      <c r="F119" s="585">
        <f>BAAS_large_EUR</f>
        <v>8.7140560000000006E-2</v>
      </c>
      <c r="G119" s="586"/>
      <c r="H119" s="330">
        <v>0</v>
      </c>
      <c r="I119" s="331" t="s">
        <v>26</v>
      </c>
      <c r="J119" s="587">
        <v>0.75</v>
      </c>
      <c r="K119" s="588"/>
      <c r="L119" s="331"/>
      <c r="M119" s="331"/>
      <c r="N119" s="470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461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236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237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238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239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7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7" s="192" customFormat="1" ht="25.5" customHeight="1">
      <c r="B130" s="569" t="s">
        <v>243</v>
      </c>
      <c r="C130" s="569"/>
      <c r="D130" s="569"/>
      <c r="E130" s="569"/>
      <c r="F130" s="569"/>
      <c r="G130" s="569"/>
      <c r="H130" s="193"/>
      <c r="J130" s="194"/>
      <c r="K130" s="194"/>
      <c r="M130" s="195"/>
      <c r="N130" s="312"/>
      <c r="O130" s="207"/>
      <c r="P130" s="225"/>
    </row>
    <row r="131" spans="2:27" s="192" customFormat="1" ht="25.5" customHeight="1">
      <c r="B131" s="569"/>
      <c r="C131" s="569"/>
      <c r="D131" s="569"/>
      <c r="E131" s="569"/>
      <c r="F131" s="569"/>
      <c r="G131" s="569"/>
      <c r="H131" s="193"/>
      <c r="J131" s="194"/>
      <c r="K131" s="194"/>
      <c r="M131" s="195"/>
      <c r="N131" s="312"/>
      <c r="O131" s="207"/>
      <c r="P131" s="225"/>
    </row>
    <row r="132" spans="2:27" s="192" customFormat="1" ht="25.5" customHeight="1">
      <c r="B132" s="569"/>
      <c r="C132" s="569"/>
      <c r="D132" s="569"/>
      <c r="E132" s="569"/>
      <c r="F132" s="569"/>
      <c r="G132" s="569"/>
      <c r="H132" s="193"/>
      <c r="J132" s="194"/>
      <c r="K132" s="194"/>
      <c r="M132" s="195"/>
      <c r="N132" s="312"/>
      <c r="O132" s="207"/>
      <c r="P132" s="225"/>
    </row>
    <row r="133" spans="2:27" s="192" customFormat="1" ht="25.5" customHeight="1">
      <c r="B133" s="570" t="s">
        <v>218</v>
      </c>
      <c r="C133" s="570"/>
      <c r="D133" s="570"/>
      <c r="E133" s="570"/>
      <c r="F133" s="570"/>
      <c r="H133" s="193"/>
      <c r="J133" s="194"/>
      <c r="K133" s="194"/>
      <c r="M133" s="195"/>
      <c r="N133" s="312"/>
      <c r="O133" s="207"/>
      <c r="P133" s="225"/>
    </row>
    <row r="134" spans="2:27" s="192" customFormat="1" ht="25.5" customHeight="1">
      <c r="B134" s="571"/>
      <c r="C134" s="571"/>
      <c r="D134" s="571"/>
      <c r="E134" s="571"/>
      <c r="F134" s="571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7" s="192" customFormat="1" ht="25.5" customHeight="1">
      <c r="B135" s="145"/>
      <c r="C135" s="145"/>
      <c r="D135" s="145"/>
      <c r="E135" s="145"/>
      <c r="F135" s="205"/>
      <c r="G135" s="199"/>
      <c r="H135" s="199"/>
      <c r="I135" s="199"/>
      <c r="J135" s="199"/>
      <c r="K135" s="199"/>
      <c r="L135" s="199"/>
      <c r="M135" s="200"/>
      <c r="N135" s="199"/>
      <c r="O135" s="201"/>
      <c r="P135" s="225"/>
      <c r="Q135" s="199"/>
      <c r="R135" s="203"/>
      <c r="S135" s="312"/>
      <c r="T135" s="207"/>
    </row>
    <row r="136" spans="2:27" s="207" customFormat="1" ht="25.5" customHeight="1">
      <c r="B136" s="478" t="s">
        <v>247</v>
      </c>
      <c r="C136" s="145"/>
      <c r="D136" s="145"/>
      <c r="E136" s="145"/>
      <c r="F136" s="205"/>
      <c r="G136" s="199"/>
      <c r="H136" s="199"/>
      <c r="I136" s="199"/>
      <c r="J136" s="199"/>
      <c r="K136" s="199"/>
      <c r="L136" s="199"/>
      <c r="M136" s="199"/>
      <c r="N136" s="199"/>
      <c r="O136" s="201"/>
      <c r="P136" s="225"/>
      <c r="Q136" s="199"/>
      <c r="R136" s="203"/>
      <c r="S136" s="312"/>
      <c r="V136" s="197"/>
      <c r="W136" s="197"/>
      <c r="X136" s="197"/>
      <c r="Y136" s="197"/>
      <c r="Z136" s="197"/>
      <c r="AA136" s="197"/>
    </row>
    <row r="137" spans="2:27" ht="25.5" customHeight="1">
      <c r="B137" s="551" t="s">
        <v>220</v>
      </c>
      <c r="C137" s="25" t="s">
        <v>244</v>
      </c>
      <c r="D137" s="25"/>
      <c r="E137" s="26" t="s">
        <v>184</v>
      </c>
      <c r="F137" s="290"/>
      <c r="G137" s="293"/>
      <c r="H137" s="293"/>
      <c r="I137" s="293"/>
      <c r="J137" s="293"/>
      <c r="K137" s="293"/>
      <c r="L137" s="350" t="s">
        <v>246</v>
      </c>
      <c r="M137" s="350"/>
      <c r="N137" s="293" t="s">
        <v>222</v>
      </c>
      <c r="O137" s="218"/>
      <c r="P137" s="225"/>
      <c r="Q137" s="352"/>
      <c r="R137" s="351"/>
      <c r="S137" s="312"/>
      <c r="T137" s="207"/>
    </row>
    <row r="138" spans="2:27" ht="25.5" customHeight="1">
      <c r="B138" s="146" t="s">
        <v>167</v>
      </c>
      <c r="C138" s="32" t="s">
        <v>125</v>
      </c>
      <c r="D138" s="141"/>
      <c r="E138" s="41" t="s">
        <v>245</v>
      </c>
      <c r="F138" s="353"/>
      <c r="G138" s="354"/>
      <c r="H138" s="354"/>
      <c r="I138" s="354"/>
      <c r="J138" s="354"/>
      <c r="K138" s="354"/>
      <c r="L138" s="355" t="s">
        <v>178</v>
      </c>
      <c r="M138" s="355"/>
      <c r="N138" s="480">
        <f>NET_publicv4_EUR</f>
        <v>1.8943599999999998</v>
      </c>
      <c r="O138" s="208"/>
      <c r="P138" s="225"/>
      <c r="Q138" s="209"/>
      <c r="R138" s="173"/>
      <c r="S138" s="312"/>
      <c r="T138" s="207"/>
    </row>
    <row r="139" spans="2:27" ht="25.5" customHeight="1">
      <c r="B139" s="149" t="s">
        <v>168</v>
      </c>
      <c r="C139" s="40" t="s">
        <v>124</v>
      </c>
      <c r="D139" s="142"/>
      <c r="E139" s="43" t="s">
        <v>245</v>
      </c>
      <c r="F139" s="357"/>
      <c r="G139" s="358"/>
      <c r="H139" s="358"/>
      <c r="I139" s="358"/>
      <c r="J139" s="358"/>
      <c r="K139" s="358"/>
      <c r="L139" s="359" t="s">
        <v>25</v>
      </c>
      <c r="M139" s="359"/>
      <c r="N139" s="473">
        <f>NET_publicv6_EUR</f>
        <v>0</v>
      </c>
      <c r="O139" s="208"/>
      <c r="P139" s="225"/>
      <c r="Q139" s="209"/>
      <c r="R139" s="173"/>
      <c r="S139" s="312"/>
      <c r="T139" s="207"/>
    </row>
    <row r="140" spans="2:27" ht="25.5" customHeight="1">
      <c r="B140" s="146" t="s">
        <v>173</v>
      </c>
      <c r="C140" s="32" t="s">
        <v>298</v>
      </c>
      <c r="D140" s="141"/>
      <c r="E140" s="160"/>
      <c r="F140" s="361"/>
      <c r="G140" s="354"/>
      <c r="H140" s="354"/>
      <c r="I140" s="354"/>
      <c r="J140" s="354"/>
      <c r="K140" s="354"/>
      <c r="L140" s="355" t="s">
        <v>26</v>
      </c>
      <c r="M140" s="355"/>
      <c r="N140" s="472">
        <f>NET_ingress_EUR</f>
        <v>0</v>
      </c>
      <c r="O140" s="208"/>
      <c r="P140" s="225"/>
      <c r="Q140" s="209"/>
      <c r="R140" s="173"/>
      <c r="S140" s="312"/>
      <c r="T140" s="207"/>
    </row>
    <row r="141" spans="2:27" ht="25.5" customHeight="1">
      <c r="B141" s="149" t="s">
        <v>174</v>
      </c>
      <c r="C141" s="531" t="s">
        <v>298</v>
      </c>
      <c r="D141" s="142"/>
      <c r="E141" s="43" t="s">
        <v>297</v>
      </c>
      <c r="F141" s="357"/>
      <c r="G141" s="362"/>
      <c r="H141" s="362"/>
      <c r="I141" s="362"/>
      <c r="J141" s="362"/>
      <c r="K141" s="362"/>
      <c r="L141" s="363" t="s">
        <v>26</v>
      </c>
      <c r="M141" s="363"/>
      <c r="N141" s="473">
        <f>NET_egress_EUR</f>
        <v>2.3679499999999999E-2</v>
      </c>
      <c r="O141" s="208"/>
      <c r="P141" s="225"/>
      <c r="Q141" s="209"/>
      <c r="R141" s="173"/>
      <c r="S141" s="312"/>
      <c r="T141" s="207"/>
    </row>
    <row r="142" spans="2:27" ht="25.5" customHeight="1">
      <c r="B142" s="146" t="s">
        <v>170</v>
      </c>
      <c r="C142" s="32" t="s">
        <v>126</v>
      </c>
      <c r="D142" s="141"/>
      <c r="E142" s="32"/>
      <c r="F142" s="361"/>
      <c r="G142" s="354"/>
      <c r="H142" s="354"/>
      <c r="I142" s="354"/>
      <c r="J142" s="354"/>
      <c r="K142" s="354"/>
      <c r="L142" s="355" t="s">
        <v>262</v>
      </c>
      <c r="M142" s="355"/>
      <c r="N142" s="468">
        <f>NET_mgn.slb_EUR</f>
        <v>28.415399999999998</v>
      </c>
      <c r="O142" s="173"/>
      <c r="P142" s="225"/>
      <c r="Q142" s="173"/>
      <c r="R142" s="364"/>
      <c r="T142" s="341"/>
    </row>
    <row r="143" spans="2:27" ht="25.5" customHeight="1">
      <c r="B143" s="149" t="s">
        <v>172</v>
      </c>
      <c r="C143" s="40" t="s">
        <v>128</v>
      </c>
      <c r="D143" s="142"/>
      <c r="E143" s="43"/>
      <c r="F143" s="357"/>
      <c r="G143" s="362"/>
      <c r="H143" s="362"/>
      <c r="I143" s="362"/>
      <c r="J143" s="362"/>
      <c r="K143" s="362"/>
      <c r="L143" s="359" t="s">
        <v>25</v>
      </c>
      <c r="M143" s="359"/>
      <c r="N143" s="473">
        <f>NET_rdns_EUR</f>
        <v>0</v>
      </c>
      <c r="O143" s="208"/>
      <c r="P143" s="225"/>
      <c r="Q143" s="209"/>
      <c r="R143" s="173"/>
      <c r="S143" s="312"/>
      <c r="T143" s="207"/>
    </row>
    <row r="144" spans="2:27" ht="25.5" customHeight="1">
      <c r="B144" s="146" t="s">
        <v>171</v>
      </c>
      <c r="C144" s="32" t="s">
        <v>127</v>
      </c>
      <c r="D144" s="141"/>
      <c r="E144" s="32"/>
      <c r="F144" s="361"/>
      <c r="G144" s="365"/>
      <c r="H144" s="365"/>
      <c r="I144" s="365"/>
      <c r="J144" s="365"/>
      <c r="K144" s="365"/>
      <c r="L144" s="366" t="s">
        <v>25</v>
      </c>
      <c r="M144" s="366"/>
      <c r="N144" s="472">
        <f>NET_saferoute_EUR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40" t="s">
        <v>122</v>
      </c>
      <c r="D145" s="142"/>
      <c r="E145" s="43"/>
      <c r="F145" s="357"/>
      <c r="G145" s="362"/>
      <c r="H145" s="362"/>
      <c r="I145" s="362"/>
      <c r="J145" s="362"/>
      <c r="K145" s="362"/>
      <c r="L145" s="359" t="s">
        <v>25</v>
      </c>
      <c r="M145" s="359"/>
      <c r="N145" s="473">
        <f>NET_byoip_EUR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552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8" t="s">
        <v>248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51" t="s">
        <v>220</v>
      </c>
      <c r="C148" s="25"/>
      <c r="D148" s="26"/>
      <c r="E148" s="26" t="s">
        <v>184</v>
      </c>
      <c r="F148" s="290"/>
      <c r="G148" s="293"/>
      <c r="H148" s="293"/>
      <c r="I148" s="293"/>
      <c r="J148" s="293"/>
      <c r="K148" s="293"/>
      <c r="L148" s="350" t="s">
        <v>246</v>
      </c>
      <c r="M148" s="350"/>
      <c r="N148" s="293" t="s">
        <v>222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4"/>
      <c r="H149" s="354"/>
      <c r="I149" s="354"/>
      <c r="J149" s="354"/>
      <c r="K149" s="354"/>
      <c r="L149" s="355" t="s">
        <v>8</v>
      </c>
      <c r="M149" s="355"/>
      <c r="N149" s="468">
        <f>SW_win.ser.201X_EUR</f>
        <v>7.3880039999999996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8"/>
      <c r="H150" s="358"/>
      <c r="I150" s="358"/>
      <c r="J150" s="358"/>
      <c r="K150" s="358"/>
      <c r="L150" s="363" t="s">
        <v>8</v>
      </c>
      <c r="M150" s="363"/>
      <c r="N150" s="469">
        <f>SW_win.ser.201X_EUR</f>
        <v>7.3880039999999996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4"/>
      <c r="H151" s="354"/>
      <c r="I151" s="354"/>
      <c r="J151" s="354"/>
      <c r="K151" s="354"/>
      <c r="L151" s="355" t="s">
        <v>8</v>
      </c>
      <c r="M151" s="355"/>
      <c r="N151" s="468">
        <f>SW_ms.sql.ser_EUR</f>
        <v>89.03492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8"/>
      <c r="H152" s="358"/>
      <c r="I152" s="358"/>
      <c r="J152" s="358"/>
      <c r="K152" s="358"/>
      <c r="L152" s="363" t="s">
        <v>262</v>
      </c>
      <c r="M152" s="363"/>
      <c r="N152" s="469">
        <f>SW_stackn_EUR</f>
        <v>928.2364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4"/>
      <c r="H153" s="354"/>
      <c r="I153" s="354"/>
      <c r="J153" s="354"/>
      <c r="K153" s="354"/>
      <c r="L153" s="366" t="s">
        <v>25</v>
      </c>
      <c r="M153" s="366"/>
      <c r="N153" s="532" t="str">
        <f>SW_nextcloud_EUR</f>
        <v>Request a quote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8"/>
      <c r="H154" s="358"/>
      <c r="I154" s="358"/>
      <c r="J154" s="358"/>
      <c r="K154" s="358"/>
      <c r="L154" s="359" t="s">
        <v>25</v>
      </c>
      <c r="M154" s="359"/>
      <c r="N154" s="533" t="str">
        <f>SW_suse_EUR</f>
        <v>Request a quote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4"/>
      <c r="H155" s="354"/>
      <c r="I155" s="354"/>
      <c r="J155" s="354"/>
      <c r="K155" s="354"/>
      <c r="L155" s="495" t="s">
        <v>262</v>
      </c>
      <c r="M155" s="495"/>
      <c r="N155" s="532" t="str">
        <f>SW_cluster.control_EUR</f>
        <v>3x instance price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8"/>
      <c r="H156" s="358"/>
      <c r="I156" s="358"/>
      <c r="J156" s="358"/>
      <c r="K156" s="358"/>
      <c r="L156" s="363" t="s">
        <v>177</v>
      </c>
      <c r="M156" s="363"/>
      <c r="N156" s="469">
        <f>SW_backup.ninja_EUR</f>
        <v>37.8872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0"/>
      <c r="F157" s="374"/>
      <c r="G157" s="375"/>
      <c r="H157" s="375"/>
      <c r="I157" s="375"/>
      <c r="J157" s="375"/>
      <c r="K157" s="375"/>
      <c r="L157" s="376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3"/>
      <c r="J158" s="208"/>
      <c r="K158" s="208"/>
      <c r="L158" s="37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8" t="s">
        <v>249</v>
      </c>
      <c r="C159" s="15"/>
      <c r="D159" s="15"/>
      <c r="E159" s="15"/>
      <c r="F159" s="218"/>
      <c r="G159" s="218"/>
      <c r="H159" s="218"/>
      <c r="I159" s="218"/>
      <c r="J159" s="218"/>
      <c r="K159" s="218"/>
      <c r="L159" s="369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1" t="s">
        <v>220</v>
      </c>
      <c r="C160" s="25"/>
      <c r="D160" s="26"/>
      <c r="E160" s="26" t="s">
        <v>184</v>
      </c>
      <c r="F160" s="290"/>
      <c r="G160" s="293"/>
      <c r="H160" s="293"/>
      <c r="I160" s="293"/>
      <c r="J160" s="293"/>
      <c r="K160" s="293"/>
      <c r="L160" s="350" t="s">
        <v>246</v>
      </c>
      <c r="M160" s="350"/>
      <c r="N160" s="293" t="s">
        <v>222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296</v>
      </c>
      <c r="F161" s="353"/>
      <c r="G161" s="354"/>
      <c r="H161" s="354"/>
      <c r="I161" s="354"/>
      <c r="J161" s="354"/>
      <c r="K161" s="354"/>
      <c r="L161" s="355" t="s">
        <v>291</v>
      </c>
      <c r="M161" s="355"/>
      <c r="N161" s="474">
        <f>PAAS_man.kubernetes_EUR</f>
        <v>4900</v>
      </c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8"/>
      <c r="H162" s="358"/>
      <c r="I162" s="358"/>
      <c r="J162" s="358"/>
      <c r="K162" s="358"/>
      <c r="L162" s="363" t="s">
        <v>292</v>
      </c>
      <c r="M162" s="363"/>
      <c r="N162" s="475">
        <f>PAAS_man.postgres.sql_EUR</f>
        <v>1950</v>
      </c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293</v>
      </c>
      <c r="F163" s="353"/>
      <c r="G163" s="354"/>
      <c r="H163" s="354"/>
      <c r="I163" s="354"/>
      <c r="J163" s="354"/>
      <c r="K163" s="354"/>
      <c r="L163" s="355" t="s">
        <v>262</v>
      </c>
      <c r="M163" s="355"/>
      <c r="N163" s="474">
        <f>PAAS_man.elasticsearch_EUR</f>
        <v>1950</v>
      </c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8"/>
      <c r="H164" s="358"/>
      <c r="I164" s="358"/>
      <c r="J164" s="358"/>
      <c r="K164" s="358"/>
      <c r="L164" s="363" t="s">
        <v>294</v>
      </c>
      <c r="M164" s="363"/>
      <c r="N164" s="475">
        <f>PAAS_man.redis_EUR</f>
        <v>1900</v>
      </c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4"/>
      <c r="H165" s="354"/>
      <c r="I165" s="354"/>
      <c r="J165" s="354"/>
      <c r="K165" s="354"/>
      <c r="L165" s="355" t="s">
        <v>295</v>
      </c>
      <c r="M165" s="355"/>
      <c r="N165" s="474">
        <f>PAAS_man.nats_EUR</f>
        <v>1950</v>
      </c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8"/>
      <c r="H166" s="358"/>
      <c r="I166" s="358"/>
      <c r="J166" s="358"/>
      <c r="K166" s="358"/>
      <c r="L166" s="363" t="s">
        <v>292</v>
      </c>
      <c r="M166" s="363"/>
      <c r="N166" s="475">
        <f>PAAS_man.mariadb_EUR</f>
        <v>1950</v>
      </c>
      <c r="O166" s="173"/>
      <c r="P166" s="225"/>
      <c r="Q166" s="173"/>
      <c r="R166" s="364"/>
      <c r="S166" s="312"/>
      <c r="T166" s="207"/>
    </row>
    <row r="167" spans="2:23" ht="25.5" customHeight="1">
      <c r="B167" s="112"/>
      <c r="C167" s="109"/>
      <c r="D167" s="450"/>
      <c r="E167" s="111"/>
      <c r="F167" s="374"/>
      <c r="G167" s="375"/>
      <c r="H167" s="375"/>
      <c r="I167" s="375"/>
      <c r="J167" s="375"/>
      <c r="K167" s="375"/>
      <c r="L167" s="376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69" t="s">
        <v>250</v>
      </c>
      <c r="C170" s="569"/>
      <c r="D170" s="569"/>
      <c r="E170" s="569"/>
      <c r="F170" s="569"/>
      <c r="G170" s="569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69"/>
      <c r="C171" s="569"/>
      <c r="D171" s="569"/>
      <c r="E171" s="569"/>
      <c r="F171" s="569"/>
      <c r="G171" s="569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69"/>
      <c r="C172" s="569"/>
      <c r="D172" s="569"/>
      <c r="E172" s="569"/>
      <c r="F172" s="569"/>
      <c r="G172" s="569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70" t="s">
        <v>218</v>
      </c>
      <c r="C173" s="570"/>
      <c r="D173" s="570"/>
      <c r="E173" s="570"/>
      <c r="F173" s="570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71"/>
      <c r="C174" s="571"/>
      <c r="D174" s="571"/>
      <c r="E174" s="571"/>
      <c r="F174" s="571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8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225"/>
      <c r="R176" s="312"/>
      <c r="S176" s="312"/>
      <c r="T176" s="207"/>
      <c r="V176" s="197"/>
      <c r="W176" s="197"/>
    </row>
    <row r="177" spans="2:23" ht="25.5" customHeight="1">
      <c r="B177" s="25" t="s">
        <v>220</v>
      </c>
      <c r="C177" s="25"/>
      <c r="D177" s="25"/>
      <c r="E177" s="26" t="s">
        <v>184</v>
      </c>
      <c r="F177" s="290"/>
      <c r="G177" s="293"/>
      <c r="H177" s="293"/>
      <c r="I177" s="293"/>
      <c r="J177" s="293"/>
      <c r="K177" s="293"/>
      <c r="L177" s="350" t="s">
        <v>246</v>
      </c>
      <c r="M177" s="350"/>
      <c r="N177" s="293" t="s">
        <v>222</v>
      </c>
      <c r="O177" s="309"/>
      <c r="P177" s="225"/>
      <c r="R177" s="312"/>
      <c r="S177" s="312"/>
      <c r="T177" s="207"/>
      <c r="V177" s="197"/>
      <c r="W177" s="197"/>
    </row>
    <row r="178" spans="2:23" ht="25.5" customHeight="1">
      <c r="B178" s="146" t="s">
        <v>163</v>
      </c>
      <c r="C178" s="141"/>
      <c r="D178" s="141"/>
      <c r="E178" s="32" t="s">
        <v>160</v>
      </c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380">
        <v>0</v>
      </c>
      <c r="O178" s="309"/>
      <c r="P178" s="225"/>
      <c r="R178" s="312"/>
      <c r="S178" s="312"/>
      <c r="T178" s="207"/>
      <c r="V178" s="197"/>
      <c r="W178" s="197"/>
    </row>
    <row r="179" spans="2:23" ht="25.5" customHeight="1">
      <c r="B179" s="149" t="s">
        <v>164</v>
      </c>
      <c r="C179" s="142"/>
      <c r="D179" s="142"/>
      <c r="E179" s="40" t="s">
        <v>161</v>
      </c>
      <c r="F179" s="357"/>
      <c r="G179" s="358"/>
      <c r="H179" s="358"/>
      <c r="I179" s="358"/>
      <c r="J179" s="358"/>
      <c r="K179" s="358"/>
      <c r="L179" s="363" t="s">
        <v>263</v>
      </c>
      <c r="M179" s="359"/>
      <c r="N179" s="514" t="s">
        <v>264</v>
      </c>
      <c r="O179" s="309"/>
      <c r="P179" s="225"/>
      <c r="R179" s="312"/>
      <c r="S179" s="312"/>
      <c r="T179" s="207"/>
      <c r="V179" s="197"/>
      <c r="W179" s="197"/>
    </row>
    <row r="180" spans="2:23" ht="25.5" customHeight="1">
      <c r="B180" s="146" t="s">
        <v>165</v>
      </c>
      <c r="C180" s="141"/>
      <c r="D180" s="141"/>
      <c r="E180" s="32" t="s">
        <v>162</v>
      </c>
      <c r="F180" s="353"/>
      <c r="G180" s="354"/>
      <c r="H180" s="354"/>
      <c r="I180" s="354"/>
      <c r="J180" s="354"/>
      <c r="K180" s="354"/>
      <c r="L180" s="355" t="s">
        <v>255</v>
      </c>
      <c r="M180" s="355"/>
      <c r="N180" s="380" t="s">
        <v>212</v>
      </c>
      <c r="O180" s="309"/>
      <c r="P180" s="225"/>
      <c r="R180" s="312"/>
      <c r="S180" s="312"/>
      <c r="T180" s="207"/>
      <c r="V180" s="197"/>
      <c r="W180" s="197"/>
    </row>
    <row r="181" spans="2:23" ht="25.5" customHeight="1">
      <c r="B181" s="112"/>
      <c r="C181" s="109"/>
      <c r="D181" s="109"/>
      <c r="E181" s="450" t="s">
        <v>265</v>
      </c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225"/>
      <c r="Q181" s="312"/>
      <c r="R181" s="312"/>
      <c r="S181" s="312"/>
      <c r="T181" s="207"/>
      <c r="V181" s="197"/>
      <c r="W181" s="197"/>
    </row>
    <row r="182" spans="2:23" ht="25.5" customHeight="1">
      <c r="B182" s="149"/>
      <c r="C182" s="142"/>
      <c r="D182" s="142"/>
      <c r="E182" s="40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225"/>
      <c r="Q182" s="312"/>
      <c r="R182" s="312"/>
      <c r="S182" s="312"/>
      <c r="T182" s="207"/>
      <c r="V182" s="197"/>
      <c r="W182" s="197"/>
    </row>
    <row r="183" spans="2:23" ht="25.5" customHeight="1">
      <c r="B183" s="478" t="s">
        <v>251</v>
      </c>
      <c r="C183" s="15"/>
      <c r="D183" s="15"/>
      <c r="E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225"/>
      <c r="R183" s="312"/>
      <c r="S183" s="312"/>
      <c r="T183" s="207"/>
      <c r="V183" s="197"/>
      <c r="W183" s="197"/>
    </row>
    <row r="184" spans="2:23" ht="25.5" customHeight="1">
      <c r="B184" s="25" t="s">
        <v>220</v>
      </c>
      <c r="C184" s="25"/>
      <c r="D184" s="25"/>
      <c r="E184" s="26" t="s">
        <v>184</v>
      </c>
      <c r="F184" s="290"/>
      <c r="G184" s="293"/>
      <c r="H184" s="293"/>
      <c r="I184" s="293"/>
      <c r="J184" s="293"/>
      <c r="K184" s="293"/>
      <c r="L184" s="350" t="s">
        <v>246</v>
      </c>
      <c r="M184" s="350"/>
      <c r="N184" s="293" t="s">
        <v>222</v>
      </c>
      <c r="O184" s="309"/>
      <c r="P184" s="225"/>
      <c r="R184" s="312"/>
      <c r="S184" s="312"/>
      <c r="T184" s="207"/>
      <c r="V184" s="197"/>
      <c r="W184" s="197"/>
    </row>
    <row r="185" spans="2:23" ht="25.5" customHeight="1">
      <c r="B185" s="146" t="s">
        <v>205</v>
      </c>
      <c r="C185" s="141"/>
      <c r="D185" s="141"/>
      <c r="E185" s="32" t="s">
        <v>141</v>
      </c>
      <c r="F185" s="353"/>
      <c r="G185" s="354"/>
      <c r="H185" s="354"/>
      <c r="I185" s="354"/>
      <c r="J185" s="354"/>
      <c r="K185" s="354"/>
      <c r="L185" s="355" t="s">
        <v>255</v>
      </c>
      <c r="M185" s="355"/>
      <c r="N185" s="480">
        <f>PS_consult.jun_EUR</f>
        <v>106.747186</v>
      </c>
      <c r="O185" s="309"/>
      <c r="P185" s="225"/>
      <c r="R185" s="312"/>
      <c r="S185" s="312"/>
      <c r="T185" s="207"/>
      <c r="V185" s="197"/>
      <c r="W185" s="197"/>
    </row>
    <row r="186" spans="2:23" ht="25.5" customHeight="1">
      <c r="B186" s="149" t="s">
        <v>206</v>
      </c>
      <c r="C186" s="142"/>
      <c r="D186" s="142"/>
      <c r="E186" s="40" t="s">
        <v>142</v>
      </c>
      <c r="F186" s="357"/>
      <c r="G186" s="358"/>
      <c r="H186" s="358"/>
      <c r="I186" s="358"/>
      <c r="J186" s="358"/>
      <c r="K186" s="358"/>
      <c r="L186" s="363" t="s">
        <v>255</v>
      </c>
      <c r="M186" s="363"/>
      <c r="N186" s="481">
        <f>PS_consult.sen_EUR</f>
        <v>130.14253199999999</v>
      </c>
      <c r="O186" s="309"/>
      <c r="P186" s="225"/>
      <c r="R186" s="312"/>
      <c r="S186" s="312"/>
      <c r="T186" s="207"/>
      <c r="V186" s="197"/>
      <c r="W186" s="197"/>
    </row>
    <row r="187" spans="2:23" ht="25.5" customHeight="1">
      <c r="B187" s="146" t="s">
        <v>207</v>
      </c>
      <c r="C187" s="141"/>
      <c r="D187" s="141"/>
      <c r="E187" s="32" t="s">
        <v>143</v>
      </c>
      <c r="F187" s="353"/>
      <c r="G187" s="354"/>
      <c r="H187" s="354"/>
      <c r="I187" s="354"/>
      <c r="J187" s="354"/>
      <c r="K187" s="354"/>
      <c r="L187" s="355" t="s">
        <v>255</v>
      </c>
      <c r="M187" s="355"/>
      <c r="N187" s="480">
        <f>PS_cloudarch.jun_EUR</f>
        <v>120.954886</v>
      </c>
      <c r="O187" s="309"/>
      <c r="P187" s="225"/>
      <c r="R187" s="312"/>
      <c r="S187" s="312"/>
      <c r="T187" s="207"/>
      <c r="V187" s="197"/>
      <c r="W187" s="197"/>
    </row>
    <row r="188" spans="2:23" ht="25.5" customHeight="1">
      <c r="B188" s="149" t="s">
        <v>208</v>
      </c>
      <c r="C188" s="142"/>
      <c r="D188" s="142"/>
      <c r="E188" s="40" t="s">
        <v>144</v>
      </c>
      <c r="F188" s="373"/>
      <c r="G188" s="358"/>
      <c r="H188" s="358"/>
      <c r="I188" s="358"/>
      <c r="J188" s="358"/>
      <c r="K188" s="358"/>
      <c r="L188" s="363" t="s">
        <v>255</v>
      </c>
      <c r="M188" s="363"/>
      <c r="N188" s="481">
        <f>PS_cloudarch.sen_EUR</f>
        <v>130.14253199999999</v>
      </c>
      <c r="O188" s="309"/>
      <c r="P188" s="225"/>
      <c r="R188" s="312"/>
      <c r="S188" s="312"/>
      <c r="T188" s="207"/>
      <c r="V188" s="197"/>
      <c r="W188" s="197"/>
    </row>
    <row r="189" spans="2:23" ht="25.5" customHeight="1">
      <c r="B189" s="146" t="s">
        <v>209</v>
      </c>
      <c r="C189" s="141"/>
      <c r="D189" s="141"/>
      <c r="E189" s="32" t="s">
        <v>145</v>
      </c>
      <c r="F189" s="353"/>
      <c r="G189" s="354"/>
      <c r="H189" s="354"/>
      <c r="I189" s="354"/>
      <c r="J189" s="354"/>
      <c r="K189" s="354"/>
      <c r="L189" s="355" t="s">
        <v>255</v>
      </c>
      <c r="M189" s="355"/>
      <c r="N189" s="480">
        <f>PS_pm.jun_EUR</f>
        <v>107.883802</v>
      </c>
      <c r="O189" s="309"/>
      <c r="P189" s="225"/>
      <c r="R189" s="312"/>
      <c r="S189" s="312"/>
      <c r="T189" s="207"/>
      <c r="V189" s="197"/>
      <c r="W189" s="197"/>
    </row>
    <row r="190" spans="2:23" ht="25.5" customHeight="1">
      <c r="B190" s="149" t="s">
        <v>210</v>
      </c>
      <c r="C190" s="142"/>
      <c r="D190" s="142"/>
      <c r="E190" s="40" t="s">
        <v>146</v>
      </c>
      <c r="F190" s="357"/>
      <c r="G190" s="358"/>
      <c r="H190" s="358"/>
      <c r="I190" s="358"/>
      <c r="J190" s="358"/>
      <c r="K190" s="358"/>
      <c r="L190" s="363" t="s">
        <v>255</v>
      </c>
      <c r="M190" s="363"/>
      <c r="N190" s="481">
        <f>PS_pm.sen_EUR</f>
        <v>130.14253199999999</v>
      </c>
      <c r="O190" s="309"/>
      <c r="P190" s="225"/>
      <c r="R190" s="312"/>
      <c r="S190" s="312"/>
      <c r="T190" s="207"/>
      <c r="V190" s="197"/>
      <c r="W190" s="197"/>
    </row>
    <row r="191" spans="2:23" ht="25.5" customHeight="1">
      <c r="B191" s="112"/>
      <c r="C191" s="109"/>
      <c r="D191" s="109"/>
      <c r="E191" s="450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225"/>
      <c r="Q191" s="312"/>
      <c r="R191" s="312"/>
      <c r="S191" s="312"/>
      <c r="T191" s="207"/>
      <c r="V191" s="197"/>
      <c r="W191" s="197"/>
    </row>
    <row r="192" spans="2:23" ht="25.5" customHeight="1">
      <c r="B192" s="149"/>
      <c r="C192" s="142"/>
      <c r="D192" s="142"/>
      <c r="E192" s="40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25"/>
      <c r="Q192" s="173"/>
      <c r="R192" s="364"/>
      <c r="S192" s="312"/>
      <c r="T192" s="207"/>
    </row>
    <row r="193" spans="1:23" ht="25.5" customHeight="1">
      <c r="B193" s="478" t="s">
        <v>149</v>
      </c>
      <c r="C193" s="15"/>
      <c r="D193" s="15"/>
      <c r="E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225"/>
      <c r="R193" s="312"/>
      <c r="S193" s="312"/>
      <c r="T193" s="207"/>
      <c r="V193" s="197"/>
      <c r="W193" s="197"/>
    </row>
    <row r="194" spans="1:23" ht="25.5" customHeight="1">
      <c r="B194" s="25" t="s">
        <v>220</v>
      </c>
      <c r="C194" s="350" t="s">
        <v>252</v>
      </c>
      <c r="D194" s="350"/>
      <c r="E194" s="26" t="s">
        <v>184</v>
      </c>
      <c r="F194" s="290"/>
      <c r="G194" s="350"/>
      <c r="H194" s="350"/>
      <c r="I194" s="350"/>
      <c r="J194" s="350"/>
      <c r="K194" s="350"/>
      <c r="L194" s="350" t="s">
        <v>246</v>
      </c>
      <c r="M194" s="350"/>
      <c r="N194" s="293" t="s">
        <v>253</v>
      </c>
      <c r="O194" s="309"/>
      <c r="P194" s="225"/>
      <c r="R194" s="312"/>
      <c r="S194" s="312"/>
      <c r="T194" s="207"/>
      <c r="V194" s="197"/>
      <c r="W194" s="197"/>
    </row>
    <row r="195" spans="1:23" ht="25.5" customHeight="1">
      <c r="B195" s="146" t="s">
        <v>201</v>
      </c>
      <c r="C195" s="355" t="s">
        <v>305</v>
      </c>
      <c r="D195" s="355"/>
      <c r="E195" s="32" t="s">
        <v>307</v>
      </c>
      <c r="F195" s="353"/>
      <c r="G195" s="355"/>
      <c r="H195" s="355"/>
      <c r="I195" s="355"/>
      <c r="J195" s="355"/>
      <c r="K195" s="355"/>
      <c r="L195" s="355" t="s">
        <v>254</v>
      </c>
      <c r="M195" s="355"/>
      <c r="N195" s="380" t="s">
        <v>212</v>
      </c>
      <c r="O195" s="309"/>
      <c r="P195" s="225"/>
      <c r="R195" s="312"/>
      <c r="S195" s="312"/>
      <c r="T195" s="207"/>
      <c r="V195" s="197"/>
      <c r="W195" s="197"/>
    </row>
    <row r="196" spans="1:23" ht="25.5" customHeight="1">
      <c r="B196" s="149" t="s">
        <v>202</v>
      </c>
      <c r="C196" s="363" t="s">
        <v>305</v>
      </c>
      <c r="D196" s="363"/>
      <c r="E196" s="40" t="s">
        <v>308</v>
      </c>
      <c r="F196" s="357"/>
      <c r="G196" s="363"/>
      <c r="H196" s="363"/>
      <c r="I196" s="363"/>
      <c r="J196" s="363"/>
      <c r="K196" s="363"/>
      <c r="L196" s="363" t="s">
        <v>254</v>
      </c>
      <c r="M196" s="363"/>
      <c r="N196" s="381" t="s">
        <v>212</v>
      </c>
      <c r="O196" s="309"/>
      <c r="P196" s="225"/>
      <c r="R196" s="312"/>
      <c r="S196" s="312"/>
      <c r="T196" s="207"/>
      <c r="V196" s="197"/>
      <c r="W196" s="197"/>
    </row>
    <row r="197" spans="1:23" ht="25.5" customHeight="1">
      <c r="B197" s="146" t="s">
        <v>203</v>
      </c>
      <c r="C197" s="355" t="s">
        <v>306</v>
      </c>
      <c r="D197" s="355"/>
      <c r="E197" s="32" t="s">
        <v>309</v>
      </c>
      <c r="F197" s="353"/>
      <c r="G197" s="355"/>
      <c r="H197" s="355"/>
      <c r="I197" s="355"/>
      <c r="J197" s="355"/>
      <c r="K197" s="355"/>
      <c r="L197" s="355" t="s">
        <v>254</v>
      </c>
      <c r="M197" s="355"/>
      <c r="N197" s="380" t="s">
        <v>212</v>
      </c>
      <c r="O197" s="309"/>
      <c r="P197" s="225"/>
      <c r="R197" s="312"/>
      <c r="S197" s="312"/>
      <c r="T197" s="207"/>
      <c r="V197" s="197"/>
      <c r="W197" s="197"/>
    </row>
    <row r="198" spans="1:23" ht="25.5" customHeight="1">
      <c r="B198" s="149" t="s">
        <v>204</v>
      </c>
      <c r="C198" s="363" t="s">
        <v>306</v>
      </c>
      <c r="D198" s="363"/>
      <c r="E198" s="40" t="s">
        <v>310</v>
      </c>
      <c r="F198" s="357"/>
      <c r="G198" s="363"/>
      <c r="H198" s="363"/>
      <c r="I198" s="363"/>
      <c r="J198" s="363"/>
      <c r="K198" s="363"/>
      <c r="L198" s="363" t="s">
        <v>254</v>
      </c>
      <c r="M198" s="363"/>
      <c r="N198" s="381" t="s">
        <v>212</v>
      </c>
      <c r="O198" s="309"/>
      <c r="P198" s="225"/>
      <c r="R198" s="312"/>
      <c r="S198" s="312"/>
      <c r="T198" s="207"/>
      <c r="V198" s="197"/>
      <c r="W198" s="197"/>
    </row>
    <row r="199" spans="1:23" ht="25.5" customHeight="1">
      <c r="B199" s="112"/>
      <c r="C199" s="109"/>
      <c r="D199" s="109"/>
      <c r="E199" s="111"/>
      <c r="F199" s="374"/>
      <c r="G199" s="375"/>
      <c r="H199" s="375"/>
      <c r="I199" s="377"/>
      <c r="J199" s="377"/>
      <c r="K199" s="377"/>
      <c r="L199" s="377"/>
      <c r="M199" s="377"/>
      <c r="N199" s="377"/>
      <c r="O199" s="207"/>
      <c r="P199" s="225"/>
      <c r="Q199" s="197"/>
      <c r="R199" s="197"/>
    </row>
    <row r="200" spans="1:23" ht="25.5" customHeight="1">
      <c r="B200" s="479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2"/>
      <c r="B201" s="68"/>
      <c r="C201" s="62"/>
      <c r="D201" s="62"/>
      <c r="E201" s="62"/>
      <c r="F201" s="383"/>
      <c r="G201" s="384"/>
      <c r="H201" s="385"/>
      <c r="I201" s="385"/>
      <c r="J201" s="385"/>
      <c r="K201" s="386"/>
      <c r="L201" s="387"/>
      <c r="M201" s="387"/>
      <c r="N201" s="387"/>
      <c r="O201" s="388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89"/>
      <c r="G202" s="390"/>
      <c r="H202" s="391"/>
      <c r="I202" s="391"/>
      <c r="J202" s="391"/>
      <c r="K202" s="392"/>
      <c r="L202" s="393"/>
      <c r="M202" s="393"/>
      <c r="N202" s="393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89"/>
      <c r="G203" s="390"/>
      <c r="H203" s="391"/>
      <c r="I203" s="391"/>
      <c r="J203" s="391"/>
      <c r="K203" s="392"/>
      <c r="L203" s="393"/>
      <c r="M203" s="393"/>
      <c r="N203" s="393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89"/>
      <c r="G204" s="390"/>
      <c r="H204" s="391"/>
      <c r="I204" s="391"/>
      <c r="J204" s="391"/>
      <c r="K204" s="392"/>
      <c r="L204" s="393"/>
      <c r="M204" s="393"/>
      <c r="N204" s="393"/>
      <c r="O204" s="174"/>
      <c r="P204" s="196"/>
    </row>
    <row r="205" spans="1:23" s="192" customFormat="1" ht="25.5" customHeight="1">
      <c r="A205" s="174"/>
      <c r="B205" s="572" t="s">
        <v>256</v>
      </c>
      <c r="C205" s="572"/>
      <c r="D205" s="572"/>
      <c r="E205" s="572"/>
      <c r="F205" s="572"/>
      <c r="G205" s="572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572"/>
      <c r="C206" s="572"/>
      <c r="D206" s="572"/>
      <c r="E206" s="572"/>
      <c r="F206" s="572"/>
      <c r="G206" s="572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572"/>
      <c r="C207" s="572"/>
      <c r="D207" s="572"/>
      <c r="E207" s="572"/>
      <c r="F207" s="572"/>
      <c r="G207" s="572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573" t="s">
        <v>218</v>
      </c>
      <c r="C208" s="573"/>
      <c r="D208" s="573"/>
      <c r="E208" s="573"/>
      <c r="F208" s="573"/>
      <c r="G208" s="174"/>
      <c r="H208" s="177"/>
      <c r="I208" s="174"/>
      <c r="J208" s="178"/>
      <c r="K208" s="178"/>
      <c r="L208" s="174"/>
      <c r="M208" s="179"/>
      <c r="N208" s="179"/>
      <c r="O208" s="394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4"/>
      <c r="P209" s="204"/>
    </row>
    <row r="210" spans="1:23" s="192" customFormat="1" ht="25.5" customHeight="1">
      <c r="A210" s="174"/>
      <c r="B210" s="486" t="s">
        <v>257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4"/>
      <c r="P210" s="204"/>
    </row>
    <row r="211" spans="1:23" s="192" customFormat="1" ht="25.5" customHeight="1">
      <c r="A211" s="174"/>
      <c r="B211" s="482" t="s">
        <v>312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4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5"/>
      <c r="G212" s="394"/>
      <c r="H212" s="396"/>
      <c r="I212" s="394"/>
      <c r="J212" s="397"/>
      <c r="K212" s="398"/>
      <c r="L212" s="394"/>
      <c r="M212" s="399"/>
      <c r="N212" s="399"/>
      <c r="O212" s="394"/>
      <c r="P212" s="204"/>
    </row>
    <row r="213" spans="1:23" s="267" customFormat="1" ht="25.5" customHeight="1">
      <c r="A213" s="400"/>
      <c r="B213" s="147"/>
      <c r="C213" s="147"/>
      <c r="D213" s="147"/>
      <c r="E213" s="147"/>
      <c r="F213" s="401"/>
      <c r="G213" s="394"/>
      <c r="H213" s="396"/>
      <c r="I213" s="394"/>
      <c r="J213" s="397"/>
      <c r="K213" s="398"/>
      <c r="L213" s="394"/>
      <c r="M213" s="399"/>
      <c r="N213" s="399"/>
      <c r="O213" s="400"/>
      <c r="P213" s="328"/>
      <c r="Q213" s="402"/>
      <c r="R213" s="295"/>
      <c r="S213" s="295"/>
      <c r="T213" s="295"/>
      <c r="U213" s="295"/>
      <c r="V213" s="295"/>
      <c r="W213" s="295"/>
    </row>
    <row r="214" spans="1:23" ht="25.5" customHeight="1">
      <c r="A214" s="403"/>
      <c r="B214" s="57" t="s">
        <v>258</v>
      </c>
      <c r="C214" s="58"/>
      <c r="D214" s="59"/>
      <c r="E214" s="58"/>
      <c r="F214" s="405"/>
      <c r="G214" s="405"/>
      <c r="H214" s="405"/>
      <c r="I214" s="405"/>
      <c r="J214" s="405"/>
      <c r="K214" s="404"/>
      <c r="L214" s="404"/>
      <c r="M214" s="405" t="s">
        <v>259</v>
      </c>
      <c r="N214" s="406"/>
      <c r="O214" s="407"/>
      <c r="P214" s="211"/>
      <c r="Q214" s="349"/>
    </row>
    <row r="215" spans="1:23" ht="25.5" customHeight="1">
      <c r="A215" s="403"/>
      <c r="B215" s="574" t="s">
        <v>43</v>
      </c>
      <c r="C215" s="574"/>
      <c r="D215" s="72"/>
      <c r="E215" s="73"/>
      <c r="F215" s="408"/>
      <c r="G215" s="409"/>
      <c r="H215" s="409"/>
      <c r="I215" s="409"/>
      <c r="J215" s="409"/>
      <c r="K215" s="410"/>
      <c r="L215" s="410"/>
      <c r="M215" s="483">
        <f>M69+M77+M60+M36+N84</f>
        <v>0</v>
      </c>
      <c r="N215" s="301"/>
      <c r="O215" s="403"/>
      <c r="P215" s="211"/>
      <c r="Q215" s="349"/>
    </row>
    <row r="216" spans="1:23" ht="25.5" customHeight="1">
      <c r="A216" s="403"/>
      <c r="B216" s="566" t="s">
        <v>44</v>
      </c>
      <c r="C216" s="566"/>
      <c r="D216" s="74"/>
      <c r="E216" s="75"/>
      <c r="F216" s="412"/>
      <c r="G216" s="413"/>
      <c r="H216" s="413"/>
      <c r="I216" s="413"/>
      <c r="J216" s="413"/>
      <c r="K216" s="414"/>
      <c r="L216" s="414"/>
      <c r="M216" s="484">
        <f>N105</f>
        <v>0</v>
      </c>
      <c r="N216" s="301"/>
      <c r="O216" s="403"/>
      <c r="P216" s="211"/>
      <c r="Q216" s="349"/>
    </row>
    <row r="217" spans="1:23" ht="25.5" customHeight="1">
      <c r="A217" s="403"/>
      <c r="B217" s="148" t="s">
        <v>45</v>
      </c>
      <c r="C217" s="148"/>
      <c r="D217" s="74"/>
      <c r="E217" s="75"/>
      <c r="F217" s="412"/>
      <c r="G217" s="413"/>
      <c r="H217" s="413"/>
      <c r="I217" s="413"/>
      <c r="J217" s="413"/>
      <c r="K217" s="414"/>
      <c r="L217" s="414"/>
      <c r="M217" s="484">
        <f>N120</f>
        <v>0</v>
      </c>
      <c r="N217" s="301"/>
      <c r="O217" s="403"/>
      <c r="P217" s="211"/>
      <c r="Q217" s="349"/>
    </row>
    <row r="218" spans="1:23" s="419" customFormat="1" ht="25.5" customHeight="1">
      <c r="A218" s="416"/>
      <c r="B218" s="567" t="s">
        <v>46</v>
      </c>
      <c r="C218" s="567"/>
      <c r="D218" s="35"/>
      <c r="E218" s="36"/>
      <c r="F218" s="346"/>
      <c r="G218" s="417"/>
      <c r="H218" s="417"/>
      <c r="I218" s="417"/>
      <c r="J218" s="417"/>
      <c r="K218" s="331"/>
      <c r="L218" s="331"/>
      <c r="M218" s="470">
        <f>N69+N77+N60+N36</f>
        <v>0</v>
      </c>
      <c r="N218" s="301"/>
      <c r="O218" s="416"/>
      <c r="P218" s="418"/>
    </row>
    <row r="219" spans="1:23" ht="25.5" customHeight="1">
      <c r="A219" s="403"/>
      <c r="B219" s="485" t="s">
        <v>226</v>
      </c>
      <c r="C219" s="61"/>
      <c r="D219" s="61"/>
      <c r="E219" s="61"/>
      <c r="F219" s="420"/>
      <c r="G219" s="421"/>
      <c r="H219" s="421"/>
      <c r="I219" s="421"/>
      <c r="J219" s="568">
        <f>SUM(M215:M218)</f>
        <v>0</v>
      </c>
      <c r="K219" s="568"/>
      <c r="L219" s="568"/>
      <c r="M219" s="568"/>
      <c r="N219" s="422"/>
      <c r="O219" s="403"/>
      <c r="P219" s="211"/>
    </row>
    <row r="220" spans="1:23" ht="25.5" customHeight="1">
      <c r="A220" s="403"/>
      <c r="B220" s="60"/>
      <c r="C220" s="61"/>
      <c r="D220" s="61"/>
      <c r="E220" s="61"/>
      <c r="F220" s="420"/>
      <c r="G220" s="421"/>
      <c r="H220" s="421"/>
      <c r="I220" s="421"/>
      <c r="J220" s="422"/>
      <c r="K220" s="422"/>
      <c r="L220" s="422"/>
      <c r="M220" s="422"/>
      <c r="N220" s="422"/>
      <c r="O220" s="403"/>
      <c r="P220" s="211"/>
    </row>
    <row r="221" spans="1:23" ht="25.5" customHeight="1">
      <c r="A221" s="403"/>
      <c r="B221" s="32"/>
      <c r="C221" s="32"/>
      <c r="D221" s="38"/>
      <c r="E221" s="39"/>
      <c r="F221" s="354"/>
      <c r="G221" s="356"/>
      <c r="H221" s="353"/>
      <c r="I221" s="299"/>
      <c r="J221" s="423"/>
      <c r="K221" s="299"/>
      <c r="L221" s="424"/>
      <c r="M221" s="301"/>
      <c r="N221" s="301"/>
      <c r="O221" s="403"/>
      <c r="P221" s="211"/>
    </row>
    <row r="222" spans="1:23" ht="25.5" customHeight="1">
      <c r="A222" s="425"/>
      <c r="B222" s="44"/>
      <c r="C222" s="44"/>
      <c r="D222" s="35"/>
      <c r="E222" s="36"/>
      <c r="F222" s="427"/>
      <c r="G222" s="417"/>
      <c r="H222" s="426"/>
      <c r="I222" s="331"/>
      <c r="J222" s="428"/>
      <c r="K222" s="331"/>
      <c r="L222" s="429"/>
      <c r="M222" s="334"/>
      <c r="N222" s="334"/>
      <c r="O222" s="430"/>
      <c r="P222" s="211"/>
    </row>
    <row r="223" spans="1:23" s="431" customFormat="1" ht="24" customHeight="1">
      <c r="B223" s="115"/>
      <c r="C223" s="115"/>
      <c r="D223" s="116"/>
      <c r="E223" s="117"/>
      <c r="F223" s="433"/>
      <c r="G223" s="434"/>
      <c r="H223" s="432"/>
      <c r="I223" s="435"/>
      <c r="J223" s="436"/>
      <c r="K223" s="435"/>
      <c r="L223" s="437"/>
      <c r="M223" s="438"/>
      <c r="N223" s="438"/>
      <c r="O223" s="439"/>
    </row>
    <row r="224" spans="1:23" s="431" customFormat="1" ht="24" customHeight="1">
      <c r="B224" s="115"/>
      <c r="C224" s="115"/>
      <c r="D224" s="115"/>
      <c r="E224" s="115"/>
      <c r="F224" s="440"/>
      <c r="G224" s="441"/>
      <c r="H224" s="442"/>
      <c r="I224" s="442"/>
      <c r="J224" s="442"/>
      <c r="K224" s="443"/>
      <c r="L224" s="438"/>
      <c r="M224" s="438"/>
      <c r="N224" s="438"/>
      <c r="O224" s="439"/>
    </row>
    <row r="225" spans="1:23" s="431" customFormat="1" ht="24" customHeight="1">
      <c r="B225" s="115"/>
      <c r="C225" s="115"/>
      <c r="D225" s="115"/>
      <c r="E225" s="115"/>
      <c r="F225" s="440"/>
      <c r="G225" s="441"/>
      <c r="H225" s="442"/>
      <c r="I225" s="442"/>
      <c r="J225" s="442"/>
      <c r="K225" s="443"/>
      <c r="L225" s="438"/>
      <c r="M225" s="438"/>
      <c r="N225" s="438"/>
      <c r="O225" s="439"/>
    </row>
    <row r="226" spans="1:23" s="431" customFormat="1" ht="24" customHeight="1">
      <c r="B226" s="115"/>
      <c r="C226" s="115"/>
      <c r="D226" s="115"/>
      <c r="E226" s="115"/>
      <c r="F226" s="440"/>
      <c r="G226" s="441"/>
      <c r="H226" s="442"/>
      <c r="I226" s="442"/>
      <c r="J226" s="442"/>
      <c r="K226" s="443"/>
      <c r="L226" s="438"/>
      <c r="M226" s="438"/>
      <c r="N226" s="438"/>
      <c r="O226" s="439"/>
    </row>
    <row r="227" spans="1:23" s="431" customFormat="1" ht="24" customHeight="1">
      <c r="B227" s="115"/>
      <c r="C227" s="115"/>
      <c r="D227" s="115"/>
      <c r="E227" s="115"/>
      <c r="F227" s="440"/>
      <c r="G227" s="441"/>
      <c r="H227" s="442"/>
      <c r="I227" s="442"/>
      <c r="J227" s="442"/>
      <c r="K227" s="443"/>
      <c r="L227" s="438"/>
      <c r="M227" s="438"/>
      <c r="N227" s="438"/>
      <c r="O227" s="439"/>
    </row>
    <row r="228" spans="1:23" s="431" customFormat="1" ht="24" customHeight="1">
      <c r="B228" s="115"/>
      <c r="C228" s="115"/>
      <c r="D228" s="115"/>
      <c r="E228" s="115"/>
      <c r="F228" s="440"/>
      <c r="G228" s="441"/>
      <c r="H228" s="442"/>
      <c r="I228" s="442"/>
      <c r="J228" s="442"/>
      <c r="K228" s="443"/>
      <c r="L228" s="438"/>
      <c r="M228" s="438"/>
      <c r="N228" s="438"/>
      <c r="O228" s="439"/>
    </row>
    <row r="229" spans="1:23" s="431" customFormat="1" ht="24" customHeight="1">
      <c r="B229" s="115"/>
      <c r="C229" s="115"/>
      <c r="D229" s="115"/>
      <c r="E229" s="115"/>
      <c r="F229" s="440"/>
      <c r="G229" s="441"/>
      <c r="H229" s="442"/>
      <c r="I229" s="442"/>
      <c r="J229" s="442"/>
      <c r="K229" s="443"/>
      <c r="L229" s="438"/>
      <c r="M229" s="438"/>
      <c r="N229" s="438"/>
      <c r="O229" s="439"/>
    </row>
    <row r="230" spans="1:23" s="431" customFormat="1" ht="24" customHeight="1">
      <c r="B230" s="115"/>
      <c r="C230" s="115"/>
      <c r="D230" s="115"/>
      <c r="E230" s="115"/>
      <c r="F230" s="440"/>
      <c r="G230" s="441"/>
      <c r="H230" s="442"/>
      <c r="I230" s="442"/>
      <c r="J230" s="442"/>
      <c r="K230" s="443"/>
      <c r="L230" s="438"/>
      <c r="M230" s="438"/>
      <c r="N230" s="438"/>
      <c r="O230" s="439"/>
    </row>
    <row r="231" spans="1:23" s="431" customFormat="1" ht="24" customHeight="1">
      <c r="B231" s="115"/>
      <c r="C231" s="115"/>
      <c r="D231" s="115"/>
      <c r="E231" s="115"/>
      <c r="F231" s="440"/>
      <c r="G231" s="441"/>
      <c r="H231" s="442"/>
      <c r="I231" s="442"/>
      <c r="J231" s="442"/>
      <c r="K231" s="443"/>
      <c r="L231" s="438"/>
      <c r="M231" s="438"/>
      <c r="N231" s="438"/>
      <c r="O231" s="439"/>
    </row>
    <row r="232" spans="1:23" s="431" customFormat="1" ht="24" customHeight="1">
      <c r="B232" s="115"/>
      <c r="C232" s="115"/>
      <c r="D232" s="115"/>
      <c r="E232" s="115"/>
      <c r="F232" s="440"/>
      <c r="G232" s="441"/>
      <c r="H232" s="442"/>
      <c r="I232" s="442"/>
      <c r="J232" s="442"/>
      <c r="K232" s="443"/>
      <c r="L232" s="438"/>
      <c r="M232" s="438"/>
      <c r="N232" s="438"/>
      <c r="O232" s="439"/>
    </row>
    <row r="233" spans="1:23" s="444" customFormat="1" ht="24" customHeight="1">
      <c r="A233" s="431"/>
      <c r="B233" s="115"/>
      <c r="C233" s="115"/>
      <c r="D233" s="115"/>
      <c r="E233" s="115"/>
      <c r="F233" s="440"/>
      <c r="G233" s="441"/>
      <c r="H233" s="442"/>
      <c r="I233" s="442"/>
      <c r="J233" s="442"/>
      <c r="K233" s="443"/>
      <c r="L233" s="438"/>
      <c r="M233" s="438"/>
      <c r="N233" s="438"/>
      <c r="O233" s="439"/>
      <c r="P233" s="431"/>
      <c r="Q233" s="431"/>
      <c r="R233" s="431"/>
      <c r="S233" s="431"/>
      <c r="T233" s="431"/>
      <c r="U233" s="431"/>
      <c r="V233" s="431"/>
      <c r="W233" s="431"/>
    </row>
    <row r="234" spans="1:23" s="431" customFormat="1" ht="24" customHeight="1">
      <c r="B234" s="115"/>
      <c r="C234" s="115"/>
      <c r="D234" s="115"/>
      <c r="E234" s="115"/>
      <c r="F234" s="440"/>
      <c r="G234" s="441"/>
      <c r="H234" s="442"/>
      <c r="I234" s="442"/>
      <c r="J234" s="442"/>
      <c r="K234" s="443"/>
      <c r="L234" s="438"/>
      <c r="M234" s="438"/>
      <c r="N234" s="438"/>
      <c r="O234" s="439"/>
    </row>
    <row r="235" spans="1:23" s="431" customFormat="1" ht="24" customHeight="1">
      <c r="B235" s="115"/>
      <c r="C235" s="115"/>
      <c r="D235" s="115"/>
      <c r="E235" s="115"/>
      <c r="F235" s="440"/>
      <c r="G235" s="441"/>
      <c r="H235" s="442"/>
      <c r="I235" s="442"/>
      <c r="J235" s="442"/>
      <c r="K235" s="443"/>
      <c r="L235" s="438"/>
      <c r="M235" s="438"/>
      <c r="N235" s="438"/>
      <c r="O235" s="439"/>
    </row>
    <row r="236" spans="1:23" s="431" customFormat="1" ht="24" customHeight="1">
      <c r="B236" s="115"/>
      <c r="C236" s="115"/>
      <c r="D236" s="115"/>
      <c r="E236" s="115"/>
      <c r="F236" s="440"/>
      <c r="G236" s="441"/>
      <c r="H236" s="442"/>
      <c r="I236" s="442"/>
      <c r="J236" s="442"/>
      <c r="K236" s="443"/>
      <c r="L236" s="438"/>
      <c r="M236" s="438"/>
      <c r="N236" s="438"/>
      <c r="O236" s="439"/>
    </row>
    <row r="237" spans="1:23" s="431" customFormat="1" ht="24" customHeight="1">
      <c r="B237" s="115"/>
      <c r="C237" s="115"/>
      <c r="D237" s="115"/>
      <c r="E237" s="115"/>
      <c r="F237" s="440"/>
      <c r="G237" s="441"/>
      <c r="H237" s="442"/>
      <c r="I237" s="442"/>
      <c r="J237" s="442"/>
      <c r="K237" s="443"/>
      <c r="L237" s="438"/>
      <c r="M237" s="438"/>
      <c r="N237" s="438"/>
      <c r="O237" s="439"/>
    </row>
    <row r="238" spans="1:23" s="431" customFormat="1" ht="24" customHeight="1">
      <c r="B238" s="115"/>
      <c r="C238" s="115"/>
      <c r="D238" s="115"/>
      <c r="E238" s="115"/>
      <c r="F238" s="440"/>
      <c r="G238" s="441"/>
      <c r="H238" s="442"/>
      <c r="I238" s="442"/>
      <c r="J238" s="442"/>
      <c r="K238" s="443"/>
      <c r="L238" s="438"/>
      <c r="M238" s="438"/>
      <c r="N238" s="438"/>
      <c r="O238" s="439"/>
    </row>
    <row r="239" spans="1:23" s="431" customFormat="1" ht="24" customHeight="1">
      <c r="B239" s="115"/>
      <c r="C239" s="115"/>
      <c r="D239" s="115"/>
      <c r="E239" s="115"/>
      <c r="F239" s="440"/>
      <c r="G239" s="441"/>
      <c r="H239" s="442"/>
      <c r="I239" s="442"/>
      <c r="J239" s="442"/>
      <c r="K239" s="443"/>
      <c r="L239" s="438"/>
      <c r="M239" s="438"/>
      <c r="N239" s="438"/>
      <c r="O239" s="439"/>
    </row>
    <row r="240" spans="1:23" s="431" customFormat="1" ht="24" customHeight="1">
      <c r="B240" s="115"/>
      <c r="C240" s="115"/>
      <c r="D240" s="115"/>
      <c r="E240" s="115"/>
      <c r="F240" s="440"/>
      <c r="G240" s="441"/>
      <c r="H240" s="442"/>
      <c r="I240" s="442"/>
      <c r="J240" s="442"/>
      <c r="K240" s="443"/>
      <c r="L240" s="438"/>
      <c r="M240" s="438"/>
      <c r="N240" s="438"/>
      <c r="O240" s="439"/>
    </row>
    <row r="241" spans="2:15" s="431" customFormat="1" ht="24" customHeight="1">
      <c r="B241" s="115"/>
      <c r="C241" s="115"/>
      <c r="D241" s="115"/>
      <c r="E241" s="115"/>
      <c r="F241" s="440"/>
      <c r="G241" s="441"/>
      <c r="H241" s="442"/>
      <c r="I241" s="442"/>
      <c r="J241" s="442"/>
      <c r="K241" s="443"/>
      <c r="L241" s="438"/>
      <c r="M241" s="438"/>
      <c r="N241" s="438"/>
      <c r="O241" s="439"/>
    </row>
    <row r="242" spans="2:15" s="431" customFormat="1" ht="24" customHeight="1">
      <c r="B242" s="115"/>
      <c r="C242" s="115"/>
      <c r="D242" s="115"/>
      <c r="E242" s="115"/>
      <c r="F242" s="440"/>
      <c r="G242" s="441"/>
      <c r="H242" s="442"/>
      <c r="I242" s="442"/>
      <c r="J242" s="442"/>
      <c r="K242" s="443"/>
      <c r="L242" s="438"/>
      <c r="M242" s="438"/>
      <c r="N242" s="438"/>
      <c r="O242" s="439"/>
    </row>
    <row r="243" spans="2:15" s="431" customFormat="1" ht="24" customHeight="1">
      <c r="B243" s="115"/>
      <c r="C243" s="115"/>
      <c r="D243" s="115"/>
      <c r="E243" s="115"/>
      <c r="F243" s="440"/>
      <c r="G243" s="441"/>
      <c r="H243" s="442"/>
      <c r="I243" s="442"/>
      <c r="J243" s="442"/>
      <c r="K243" s="443"/>
      <c r="L243" s="438"/>
      <c r="M243" s="438"/>
      <c r="N243" s="438"/>
      <c r="O243" s="439"/>
    </row>
    <row r="244" spans="2:15" s="431" customFormat="1" ht="24" customHeight="1">
      <c r="B244" s="115"/>
      <c r="C244" s="115"/>
      <c r="D244" s="115"/>
      <c r="E244" s="115"/>
      <c r="F244" s="440"/>
      <c r="G244" s="441"/>
      <c r="H244" s="442"/>
      <c r="I244" s="442"/>
      <c r="J244" s="442"/>
      <c r="K244" s="443"/>
      <c r="L244" s="438"/>
      <c r="M244" s="438"/>
      <c r="N244" s="438"/>
      <c r="O244" s="439"/>
    </row>
    <row r="245" spans="2:15" s="431" customFormat="1" ht="24" customHeight="1">
      <c r="B245" s="115"/>
      <c r="C245" s="115"/>
      <c r="D245" s="115"/>
      <c r="E245" s="115"/>
      <c r="F245" s="440"/>
      <c r="G245" s="441"/>
      <c r="H245" s="442"/>
      <c r="I245" s="442"/>
      <c r="J245" s="442"/>
      <c r="K245" s="443"/>
      <c r="L245" s="438"/>
      <c r="M245" s="438"/>
      <c r="N245" s="438"/>
      <c r="O245" s="439"/>
    </row>
    <row r="246" spans="2:15" s="431" customFormat="1" ht="24" customHeight="1">
      <c r="B246" s="115"/>
      <c r="C246" s="115"/>
      <c r="D246" s="115"/>
      <c r="E246" s="115"/>
      <c r="F246" s="440"/>
      <c r="G246" s="441"/>
      <c r="H246" s="442"/>
      <c r="I246" s="442"/>
      <c r="J246" s="442"/>
      <c r="K246" s="443"/>
      <c r="L246" s="438"/>
      <c r="M246" s="438"/>
      <c r="N246" s="438"/>
      <c r="O246" s="439"/>
    </row>
    <row r="247" spans="2:15" s="431" customFormat="1" ht="24" customHeight="1">
      <c r="B247" s="115"/>
      <c r="C247" s="115"/>
      <c r="D247" s="115"/>
      <c r="E247" s="115"/>
      <c r="F247" s="440"/>
      <c r="G247" s="441"/>
      <c r="H247" s="442"/>
      <c r="I247" s="442"/>
      <c r="J247" s="442"/>
      <c r="K247" s="443"/>
      <c r="L247" s="438"/>
      <c r="M247" s="438"/>
      <c r="N247" s="438"/>
      <c r="O247" s="439"/>
    </row>
    <row r="248" spans="2:15" s="431" customFormat="1" ht="25.5" customHeight="1">
      <c r="B248" s="115"/>
      <c r="C248" s="115"/>
      <c r="D248" s="115"/>
      <c r="E248" s="115"/>
      <c r="F248" s="440"/>
      <c r="G248" s="441"/>
      <c r="H248" s="442"/>
      <c r="I248" s="442"/>
      <c r="J248" s="442"/>
      <c r="K248" s="443"/>
      <c r="L248" s="438"/>
      <c r="M248" s="438"/>
      <c r="N248" s="438"/>
      <c r="O248" s="439"/>
    </row>
    <row r="249" spans="2:15" s="431" customFormat="1" ht="25.5" customHeight="1">
      <c r="B249" s="115"/>
      <c r="C249" s="115"/>
      <c r="D249" s="115"/>
      <c r="E249" s="115"/>
      <c r="F249" s="440"/>
      <c r="G249" s="441"/>
      <c r="H249" s="442"/>
      <c r="I249" s="442"/>
      <c r="J249" s="442"/>
      <c r="K249" s="443"/>
      <c r="L249" s="438"/>
      <c r="M249" s="438"/>
      <c r="N249" s="438"/>
      <c r="O249" s="439"/>
    </row>
    <row r="250" spans="2:15" s="431" customFormat="1" ht="25.5" customHeight="1">
      <c r="B250" s="115"/>
      <c r="C250" s="115"/>
      <c r="D250" s="115"/>
      <c r="E250" s="115"/>
      <c r="F250" s="440"/>
      <c r="G250" s="441"/>
      <c r="H250" s="442"/>
      <c r="I250" s="442"/>
      <c r="J250" s="442"/>
      <c r="K250" s="443"/>
      <c r="L250" s="438"/>
      <c r="M250" s="438"/>
      <c r="N250" s="438"/>
      <c r="O250" s="439"/>
    </row>
    <row r="251" spans="2:15" s="431" customFormat="1" ht="25.5" customHeight="1">
      <c r="B251" s="115"/>
      <c r="C251" s="115"/>
      <c r="D251" s="115"/>
      <c r="E251" s="115"/>
      <c r="F251" s="440"/>
      <c r="G251" s="441"/>
      <c r="H251" s="442"/>
      <c r="I251" s="442"/>
      <c r="J251" s="442"/>
      <c r="K251" s="443"/>
      <c r="L251" s="438"/>
      <c r="M251" s="438"/>
      <c r="N251" s="438"/>
      <c r="O251" s="439"/>
    </row>
    <row r="252" spans="2:15" s="431" customFormat="1" ht="25.5" customHeight="1">
      <c r="B252" s="115"/>
      <c r="C252" s="115"/>
      <c r="D252" s="115"/>
      <c r="E252" s="115"/>
      <c r="F252" s="440"/>
      <c r="G252" s="441"/>
      <c r="H252" s="442"/>
      <c r="I252" s="442"/>
      <c r="J252" s="442"/>
      <c r="K252" s="443"/>
      <c r="L252" s="438"/>
      <c r="M252" s="438"/>
      <c r="N252" s="438"/>
      <c r="O252" s="439"/>
    </row>
    <row r="253" spans="2:15" s="431" customFormat="1" ht="25.5" customHeight="1">
      <c r="B253" s="121"/>
      <c r="C253" s="119"/>
      <c r="D253" s="119"/>
      <c r="E253" s="119"/>
      <c r="K253" s="445"/>
      <c r="M253" s="446"/>
      <c r="O253" s="439"/>
    </row>
    <row r="254" spans="2:15" s="431" customFormat="1" ht="25.5" customHeight="1">
      <c r="B254" s="121"/>
      <c r="C254" s="119"/>
      <c r="D254" s="119"/>
      <c r="E254" s="119"/>
      <c r="K254" s="445"/>
      <c r="M254" s="446"/>
      <c r="O254" s="439"/>
    </row>
    <row r="255" spans="2:15" s="431" customFormat="1" ht="25.5" customHeight="1">
      <c r="B255" s="121"/>
      <c r="C255" s="119"/>
      <c r="D255" s="119"/>
      <c r="E255" s="119"/>
      <c r="K255" s="445"/>
      <c r="M255" s="446"/>
      <c r="O255" s="439"/>
    </row>
    <row r="256" spans="2:15" s="431" customFormat="1" ht="25.5" customHeight="1">
      <c r="B256" s="121"/>
      <c r="C256" s="119"/>
      <c r="D256" s="119"/>
      <c r="E256" s="119"/>
      <c r="K256" s="445"/>
      <c r="M256" s="446"/>
      <c r="O256" s="439"/>
    </row>
    <row r="257" spans="2:15" s="431" customFormat="1" ht="25.5" customHeight="1">
      <c r="B257" s="121"/>
      <c r="C257" s="119"/>
      <c r="D257" s="119"/>
      <c r="E257" s="119"/>
      <c r="K257" s="445"/>
      <c r="M257" s="446"/>
      <c r="O257" s="439"/>
    </row>
    <row r="258" spans="2:15" s="431" customFormat="1" ht="25.5" customHeight="1">
      <c r="B258" s="121"/>
      <c r="C258" s="119"/>
      <c r="D258" s="119"/>
      <c r="E258" s="119"/>
      <c r="K258" s="445"/>
      <c r="M258" s="446"/>
      <c r="O258" s="439"/>
    </row>
    <row r="259" spans="2:15" s="431" customFormat="1" ht="25.5" customHeight="1">
      <c r="B259" s="121"/>
      <c r="C259" s="119"/>
      <c r="D259" s="119"/>
      <c r="E259" s="119"/>
      <c r="K259" s="445"/>
      <c r="M259" s="446"/>
      <c r="O259" s="439"/>
    </row>
    <row r="260" spans="2:15" s="431" customFormat="1" ht="25.5" customHeight="1">
      <c r="B260" s="121"/>
      <c r="C260" s="119"/>
      <c r="D260" s="119"/>
      <c r="E260" s="119"/>
      <c r="K260" s="445"/>
      <c r="M260" s="446"/>
      <c r="O260" s="439"/>
    </row>
    <row r="261" spans="2:15" s="431" customFormat="1" ht="25.5" customHeight="1">
      <c r="B261" s="121"/>
      <c r="C261" s="119"/>
      <c r="D261" s="119"/>
      <c r="E261" s="119"/>
      <c r="K261" s="445"/>
      <c r="M261" s="446"/>
      <c r="O261" s="439"/>
    </row>
    <row r="262" spans="2:15" s="431" customFormat="1" ht="25.5" customHeight="1">
      <c r="B262" s="121"/>
      <c r="C262" s="119"/>
      <c r="D262" s="119"/>
      <c r="E262" s="119"/>
      <c r="K262" s="445"/>
      <c r="M262" s="446"/>
      <c r="O262" s="439"/>
    </row>
    <row r="263" spans="2:15" s="431" customFormat="1" ht="25.5" customHeight="1">
      <c r="B263" s="121"/>
      <c r="C263" s="119"/>
      <c r="D263" s="119"/>
      <c r="E263" s="119"/>
      <c r="K263" s="445"/>
      <c r="M263" s="446"/>
      <c r="O263" s="439"/>
    </row>
    <row r="264" spans="2:15" s="431" customFormat="1" ht="25.5" customHeight="1">
      <c r="B264" s="121"/>
      <c r="C264" s="119"/>
      <c r="D264" s="119"/>
      <c r="E264" s="119"/>
      <c r="K264" s="445"/>
      <c r="M264" s="446"/>
      <c r="O264" s="439"/>
    </row>
    <row r="265" spans="2:15" s="431" customFormat="1" ht="25.5" customHeight="1">
      <c r="B265" s="121"/>
      <c r="C265" s="119"/>
      <c r="D265" s="119"/>
      <c r="E265" s="119"/>
      <c r="K265" s="445"/>
      <c r="M265" s="446"/>
      <c r="O265" s="439"/>
    </row>
    <row r="266" spans="2:15" s="431" customFormat="1" ht="25.5" customHeight="1">
      <c r="B266" s="121"/>
      <c r="C266" s="119"/>
      <c r="D266" s="119"/>
      <c r="E266" s="119"/>
      <c r="K266" s="445"/>
      <c r="M266" s="446"/>
      <c r="O266" s="439"/>
    </row>
    <row r="267" spans="2:15" s="431" customFormat="1" ht="25.5" customHeight="1">
      <c r="B267" s="121"/>
      <c r="C267" s="119"/>
      <c r="D267" s="119"/>
      <c r="E267" s="119"/>
      <c r="K267" s="445"/>
      <c r="M267" s="446"/>
      <c r="O267" s="439"/>
    </row>
    <row r="268" spans="2:15" s="431" customFormat="1" ht="25.5" customHeight="1">
      <c r="B268" s="121"/>
      <c r="C268" s="119"/>
      <c r="D268" s="119"/>
      <c r="E268" s="119"/>
      <c r="K268" s="445"/>
      <c r="M268" s="446"/>
      <c r="O268" s="439"/>
    </row>
    <row r="269" spans="2:15" s="431" customFormat="1" ht="25.5" customHeight="1">
      <c r="B269" s="121"/>
      <c r="C269" s="119"/>
      <c r="D269" s="119"/>
      <c r="E269" s="119"/>
      <c r="K269" s="445"/>
      <c r="M269" s="446"/>
      <c r="O269" s="439"/>
    </row>
    <row r="270" spans="2:15" s="431" customFormat="1" ht="25.5" customHeight="1">
      <c r="B270" s="121"/>
      <c r="C270" s="119"/>
      <c r="D270" s="119"/>
      <c r="E270" s="119"/>
      <c r="K270" s="445"/>
      <c r="M270" s="446"/>
      <c r="O270" s="439"/>
    </row>
    <row r="271" spans="2:15" s="431" customFormat="1" ht="25.5" customHeight="1">
      <c r="B271" s="121"/>
      <c r="C271" s="119"/>
      <c r="D271" s="119"/>
      <c r="E271" s="119"/>
      <c r="K271" s="445"/>
      <c r="M271" s="446"/>
      <c r="O271" s="439"/>
    </row>
    <row r="272" spans="2:15" s="431" customFormat="1" ht="25.5" customHeight="1">
      <c r="B272" s="121"/>
      <c r="C272" s="119"/>
      <c r="D272" s="119"/>
      <c r="E272" s="119"/>
      <c r="K272" s="445"/>
      <c r="M272" s="446"/>
      <c r="O272" s="439"/>
    </row>
    <row r="273" spans="2:15" s="431" customFormat="1" ht="25.5" customHeight="1">
      <c r="B273" s="121"/>
      <c r="C273" s="119"/>
      <c r="D273" s="119"/>
      <c r="E273" s="119"/>
      <c r="K273" s="445"/>
      <c r="M273" s="446"/>
      <c r="O273" s="439"/>
    </row>
    <row r="274" spans="2:15" s="431" customFormat="1" ht="25.5" customHeight="1">
      <c r="B274" s="121"/>
      <c r="C274" s="119"/>
      <c r="D274" s="119"/>
      <c r="E274" s="119"/>
      <c r="K274" s="445"/>
      <c r="M274" s="446"/>
      <c r="O274" s="439"/>
    </row>
    <row r="275" spans="2:15" s="431" customFormat="1" ht="25.5" customHeight="1">
      <c r="B275" s="121"/>
      <c r="C275" s="119"/>
      <c r="D275" s="119"/>
      <c r="E275" s="119"/>
      <c r="K275" s="445"/>
      <c r="M275" s="446"/>
      <c r="O275" s="439"/>
    </row>
    <row r="276" spans="2:15" s="431" customFormat="1" ht="25.5" customHeight="1">
      <c r="B276" s="121"/>
      <c r="C276" s="119"/>
      <c r="D276" s="119"/>
      <c r="E276" s="119"/>
      <c r="K276" s="445"/>
      <c r="M276" s="446"/>
      <c r="O276" s="439"/>
    </row>
    <row r="277" spans="2:15" s="431" customFormat="1" ht="25.5" customHeight="1">
      <c r="B277" s="121"/>
      <c r="C277" s="119"/>
      <c r="D277" s="119"/>
      <c r="E277" s="119"/>
      <c r="K277" s="445"/>
      <c r="M277" s="446"/>
      <c r="O277" s="439"/>
    </row>
    <row r="278" spans="2:15" s="431" customFormat="1" ht="25.5" customHeight="1">
      <c r="B278" s="121"/>
      <c r="C278" s="119"/>
      <c r="D278" s="119"/>
      <c r="E278" s="119"/>
      <c r="K278" s="445"/>
      <c r="M278" s="446"/>
      <c r="O278" s="439"/>
    </row>
    <row r="279" spans="2:15" s="431" customFormat="1" ht="25.5" customHeight="1">
      <c r="B279" s="121"/>
      <c r="C279" s="119"/>
      <c r="D279" s="119"/>
      <c r="E279" s="119"/>
      <c r="K279" s="445"/>
      <c r="M279" s="446"/>
      <c r="O279" s="439"/>
    </row>
    <row r="280" spans="2:15" s="431" customFormat="1" ht="25.5" customHeight="1">
      <c r="B280" s="121"/>
      <c r="C280" s="119"/>
      <c r="D280" s="119"/>
      <c r="E280" s="119"/>
      <c r="K280" s="445"/>
      <c r="M280" s="446"/>
      <c r="O280" s="439"/>
    </row>
    <row r="281" spans="2:15" s="431" customFormat="1" ht="25.5" customHeight="1">
      <c r="B281" s="121"/>
      <c r="C281" s="119"/>
      <c r="D281" s="119"/>
      <c r="E281" s="119"/>
      <c r="K281" s="445"/>
      <c r="M281" s="446"/>
      <c r="O281" s="439"/>
    </row>
    <row r="282" spans="2:15" s="431" customFormat="1" ht="25.5" customHeight="1">
      <c r="B282" s="121"/>
      <c r="C282" s="119"/>
      <c r="D282" s="119"/>
      <c r="E282" s="119"/>
      <c r="K282" s="445"/>
      <c r="M282" s="446"/>
      <c r="O282" s="439"/>
    </row>
    <row r="283" spans="2:15" s="431" customFormat="1" ht="25.5" customHeight="1">
      <c r="B283" s="121"/>
      <c r="C283" s="119"/>
      <c r="D283" s="119"/>
      <c r="E283" s="119"/>
      <c r="K283" s="445"/>
      <c r="M283" s="446"/>
      <c r="O283" s="439"/>
    </row>
    <row r="284" spans="2:15" s="431" customFormat="1" ht="25.5" customHeight="1">
      <c r="B284" s="121"/>
      <c r="C284" s="119"/>
      <c r="D284" s="119"/>
      <c r="E284" s="119"/>
      <c r="K284" s="445"/>
      <c r="M284" s="446"/>
      <c r="O284" s="439"/>
    </row>
    <row r="285" spans="2:15" s="431" customFormat="1" ht="25.5" customHeight="1">
      <c r="B285" s="121"/>
      <c r="C285" s="119"/>
      <c r="D285" s="119"/>
      <c r="E285" s="119"/>
      <c r="K285" s="445"/>
      <c r="M285" s="446"/>
      <c r="O285" s="439"/>
    </row>
    <row r="286" spans="2:15" s="431" customFormat="1" ht="25.5" customHeight="1">
      <c r="B286" s="121"/>
      <c r="C286" s="119"/>
      <c r="D286" s="119"/>
      <c r="E286" s="119"/>
      <c r="K286" s="445"/>
      <c r="M286" s="446"/>
      <c r="O286" s="439"/>
    </row>
    <row r="287" spans="2:15" s="431" customFormat="1" ht="25.5" customHeight="1">
      <c r="B287" s="121"/>
      <c r="C287" s="119"/>
      <c r="D287" s="119"/>
      <c r="E287" s="119"/>
      <c r="K287" s="445"/>
      <c r="M287" s="446"/>
      <c r="O287" s="439"/>
    </row>
    <row r="288" spans="2:15" s="431" customFormat="1" ht="25.5" customHeight="1">
      <c r="B288" s="121"/>
      <c r="C288" s="119"/>
      <c r="D288" s="119"/>
      <c r="E288" s="119"/>
      <c r="K288" s="445"/>
      <c r="M288" s="446"/>
      <c r="O288" s="439"/>
    </row>
    <row r="289" spans="2:15" s="431" customFormat="1" ht="25.5" customHeight="1">
      <c r="B289" s="121"/>
      <c r="C289" s="119"/>
      <c r="D289" s="119"/>
      <c r="E289" s="119"/>
      <c r="K289" s="445"/>
      <c r="M289" s="446"/>
      <c r="O289" s="439"/>
    </row>
    <row r="290" spans="2:15" s="431" customFormat="1" ht="25.5" customHeight="1">
      <c r="B290" s="121"/>
      <c r="C290" s="119"/>
      <c r="D290" s="119"/>
      <c r="E290" s="119"/>
      <c r="K290" s="445"/>
      <c r="M290" s="446"/>
      <c r="O290" s="439"/>
    </row>
    <row r="291" spans="2:15" s="431" customFormat="1" ht="25.5" customHeight="1">
      <c r="B291" s="121"/>
      <c r="C291" s="119"/>
      <c r="D291" s="119"/>
      <c r="E291" s="119"/>
      <c r="K291" s="445"/>
      <c r="M291" s="446"/>
      <c r="O291" s="439"/>
    </row>
    <row r="292" spans="2:15" s="431" customFormat="1" ht="25.5" customHeight="1">
      <c r="B292" s="121"/>
      <c r="C292" s="119"/>
      <c r="D292" s="119"/>
      <c r="E292" s="119"/>
      <c r="K292" s="445"/>
      <c r="M292" s="446"/>
      <c r="O292" s="439"/>
    </row>
    <row r="293" spans="2:15" s="431" customFormat="1" ht="25.5" customHeight="1">
      <c r="B293" s="121"/>
      <c r="C293" s="119"/>
      <c r="D293" s="119"/>
      <c r="E293" s="119"/>
      <c r="K293" s="445"/>
      <c r="M293" s="446"/>
      <c r="O293" s="439"/>
    </row>
    <row r="294" spans="2:15" s="431" customFormat="1" ht="25.5" customHeight="1">
      <c r="B294" s="121"/>
      <c r="C294" s="119"/>
      <c r="D294" s="119"/>
      <c r="E294" s="119"/>
      <c r="K294" s="445"/>
      <c r="M294" s="446"/>
      <c r="O294" s="439"/>
    </row>
    <row r="295" spans="2:15" s="431" customFormat="1" ht="25.5" customHeight="1">
      <c r="B295" s="121"/>
      <c r="C295" s="119"/>
      <c r="D295" s="119"/>
      <c r="E295" s="119"/>
      <c r="K295" s="445"/>
      <c r="M295" s="446"/>
      <c r="O295" s="439"/>
    </row>
    <row r="296" spans="2:15" s="431" customFormat="1" ht="25.5" customHeight="1">
      <c r="B296" s="121"/>
      <c r="C296" s="119"/>
      <c r="D296" s="119"/>
      <c r="E296" s="119"/>
      <c r="K296" s="445"/>
      <c r="M296" s="446"/>
      <c r="O296" s="439"/>
    </row>
    <row r="297" spans="2:15" s="431" customFormat="1" ht="25.5" customHeight="1">
      <c r="B297" s="121"/>
      <c r="C297" s="119"/>
      <c r="D297" s="119"/>
      <c r="E297" s="119"/>
      <c r="K297" s="445"/>
      <c r="M297" s="446"/>
      <c r="O297" s="439"/>
    </row>
    <row r="298" spans="2:15" s="431" customFormat="1" ht="25.5" customHeight="1">
      <c r="B298" s="121"/>
      <c r="C298" s="119"/>
      <c r="D298" s="119"/>
      <c r="E298" s="119"/>
      <c r="K298" s="445"/>
      <c r="M298" s="446"/>
      <c r="O298" s="439"/>
    </row>
    <row r="299" spans="2:15" s="431" customFormat="1" ht="25.5" customHeight="1">
      <c r="B299" s="121"/>
      <c r="C299" s="119"/>
      <c r="D299" s="119"/>
      <c r="E299" s="119"/>
      <c r="K299" s="445"/>
      <c r="M299" s="446"/>
      <c r="O299" s="439"/>
    </row>
    <row r="300" spans="2:15" s="431" customFormat="1" ht="25.5" customHeight="1">
      <c r="B300" s="121"/>
      <c r="C300" s="119"/>
      <c r="D300" s="119"/>
      <c r="E300" s="119"/>
      <c r="K300" s="445"/>
      <c r="M300" s="446"/>
      <c r="O300" s="439"/>
    </row>
    <row r="301" spans="2:15" s="431" customFormat="1" ht="25.5" customHeight="1">
      <c r="B301" s="118"/>
      <c r="C301" s="120"/>
      <c r="D301" s="120"/>
      <c r="E301" s="120"/>
      <c r="F301" s="439"/>
      <c r="G301" s="439"/>
      <c r="H301" s="439"/>
      <c r="I301" s="439"/>
      <c r="J301" s="439"/>
      <c r="K301" s="443"/>
      <c r="L301" s="439"/>
      <c r="M301" s="447"/>
      <c r="O301" s="439"/>
    </row>
    <row r="302" spans="2:15" s="431" customFormat="1" ht="25.5" customHeight="1">
      <c r="B302" s="121"/>
      <c r="C302" s="119"/>
      <c r="D302" s="119"/>
      <c r="E302" s="119"/>
      <c r="K302" s="445"/>
      <c r="M302" s="446"/>
      <c r="O302" s="439"/>
    </row>
    <row r="303" spans="2:15" s="431" customFormat="1" ht="25.5" customHeight="1">
      <c r="B303" s="121"/>
      <c r="C303" s="119"/>
      <c r="D303" s="119"/>
      <c r="E303" s="119"/>
      <c r="K303" s="445"/>
      <c r="M303" s="446"/>
      <c r="O303" s="439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8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8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8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8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8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8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8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8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8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8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8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8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8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8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8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8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8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8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8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8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8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8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8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8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8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8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8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8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8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8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8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8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8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8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8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8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8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8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8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8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8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8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8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8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8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8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8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8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8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8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8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8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8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8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8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8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8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8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8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8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8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8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8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8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8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8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8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8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8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8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8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8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8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8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8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8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8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8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8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8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8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8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8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8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8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8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8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8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8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8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8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8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8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8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8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8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8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8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8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8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8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8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8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8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8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8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8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8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8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8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8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8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8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8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8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8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8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8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8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8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8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8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8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8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8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8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8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8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8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8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8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8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8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8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8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8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8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8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8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8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8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8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8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8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8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8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8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8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8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8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8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8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8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8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8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8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8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8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8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8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8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8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8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8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8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8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8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8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8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8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8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8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8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8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8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8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8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8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8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8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8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8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8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8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8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8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8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8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8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8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8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8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8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8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8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8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8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8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8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8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8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8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8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8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8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8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8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8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8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8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8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8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8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8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8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8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8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8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8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8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8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8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8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8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8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8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8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8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8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8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8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8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8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8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8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8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8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8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8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8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8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8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8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8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8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8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8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8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8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8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8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8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8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8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8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8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8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8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8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8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8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8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8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8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8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8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8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8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8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8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8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8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8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8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8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8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8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8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8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8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8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8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8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8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8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8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8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8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8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8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8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8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8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8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8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8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8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8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8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8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8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8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8"/>
    </row>
  </sheetData>
  <sheetProtection algorithmName="SHA-512" hashValue="2I7zORNa2Hxcwy5xEr2vc6FWuE4gOkB4YBaGEAicMCi6QSG6T9XkwI6lmMHbhJ41tpC63fdyQrhbLe4gWXHJiA==" saltValue="79IYCh7yszl6H/gakteNVQ==" spinCount="100000" sheet="1" objects="1" scenarios="1" selectLockedCells="1"/>
  <mergeCells count="65">
    <mergeCell ref="F82:G82"/>
    <mergeCell ref="H82:I82"/>
    <mergeCell ref="B4:C4"/>
    <mergeCell ref="B15:G17"/>
    <mergeCell ref="B19:F19"/>
    <mergeCell ref="F81:G81"/>
    <mergeCell ref="H81:I81"/>
    <mergeCell ref="D95:E95"/>
    <mergeCell ref="F95:G95"/>
    <mergeCell ref="H95:I95"/>
    <mergeCell ref="J95:K95"/>
    <mergeCell ref="D96:E96"/>
    <mergeCell ref="F96:G96"/>
    <mergeCell ref="H96:I96"/>
    <mergeCell ref="J96:K96"/>
    <mergeCell ref="F83:G83"/>
    <mergeCell ref="H83:I83"/>
    <mergeCell ref="B88:G90"/>
    <mergeCell ref="B91:F91"/>
    <mergeCell ref="B92:F92"/>
    <mergeCell ref="D98:E98"/>
    <mergeCell ref="F98:G98"/>
    <mergeCell ref="H98:I98"/>
    <mergeCell ref="J98:K98"/>
    <mergeCell ref="D97:E97"/>
    <mergeCell ref="F97:G97"/>
    <mergeCell ref="H97:I97"/>
    <mergeCell ref="J97:K97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</mergeCells>
  <conditionalFormatting sqref="M25:N35 M61:N63 M39:N39">
    <cfRule type="cellIs" dxfId="81" priority="53" operator="greaterThan">
      <formula>0</formula>
    </cfRule>
  </conditionalFormatting>
  <conditionalFormatting sqref="H117 H104 J82:J83 I65:K68 I25:K35">
    <cfRule type="cellIs" dxfId="80" priority="52" operator="greaterThan">
      <formula>0</formula>
    </cfRule>
  </conditionalFormatting>
  <conditionalFormatting sqref="J83">
    <cfRule type="cellIs" dxfId="79" priority="51" operator="greaterThan">
      <formula>0</formula>
    </cfRule>
  </conditionalFormatting>
  <conditionalFormatting sqref="J82">
    <cfRule type="cellIs" dxfId="78" priority="50" operator="greaterThan">
      <formula>0</formula>
    </cfRule>
  </conditionalFormatting>
  <conditionalFormatting sqref="H104">
    <cfRule type="cellIs" dxfId="77" priority="49" operator="greaterThan">
      <formula>0</formula>
    </cfRule>
  </conditionalFormatting>
  <conditionalFormatting sqref="I25:I35">
    <cfRule type="cellIs" dxfId="76" priority="48" operator="lessThan">
      <formula>$J25</formula>
    </cfRule>
  </conditionalFormatting>
  <conditionalFormatting sqref="H119 J119">
    <cfRule type="cellIs" dxfId="75" priority="47" operator="greaterThan">
      <formula>0</formula>
    </cfRule>
  </conditionalFormatting>
  <conditionalFormatting sqref="J119">
    <cfRule type="cellIs" dxfId="74" priority="46" operator="greaterThan">
      <formula>0</formula>
    </cfRule>
  </conditionalFormatting>
  <conditionalFormatting sqref="H118 J118">
    <cfRule type="cellIs" dxfId="73" priority="45" operator="greaterThan">
      <formula>0</formula>
    </cfRule>
  </conditionalFormatting>
  <conditionalFormatting sqref="J118">
    <cfRule type="cellIs" dxfId="72" priority="44" operator="greaterThan">
      <formula>0</formula>
    </cfRule>
  </conditionalFormatting>
  <conditionalFormatting sqref="M65:N65 M67:N67">
    <cfRule type="cellIs" dxfId="71" priority="24" operator="greaterThan">
      <formula>0</formula>
    </cfRule>
  </conditionalFormatting>
  <conditionalFormatting sqref="M66:N66 M68:N68">
    <cfRule type="cellIs" dxfId="70" priority="26" operator="greaterThan">
      <formula>0</formula>
    </cfRule>
  </conditionalFormatting>
  <conditionalFormatting sqref="M66:N66 M68:N68">
    <cfRule type="cellIs" dxfId="69" priority="25" operator="greaterThan">
      <formula>0</formula>
    </cfRule>
  </conditionalFormatting>
  <conditionalFormatting sqref="I74:J76">
    <cfRule type="cellIs" dxfId="68" priority="21" operator="greaterThan">
      <formula>0</formula>
    </cfRule>
  </conditionalFormatting>
  <conditionalFormatting sqref="M74:N75">
    <cfRule type="cellIs" dxfId="67" priority="22" operator="greaterThan">
      <formula>0</formula>
    </cfRule>
  </conditionalFormatting>
  <conditionalFormatting sqref="I74:J76">
    <cfRule type="cellIs" dxfId="66" priority="23" operator="lessThan">
      <formula>$J74</formula>
    </cfRule>
  </conditionalFormatting>
  <conditionalFormatting sqref="M76:N76">
    <cfRule type="cellIs" dxfId="65" priority="20" operator="greaterThan">
      <formula>0</formula>
    </cfRule>
  </conditionalFormatting>
  <conditionalFormatting sqref="K74:K76">
    <cfRule type="cellIs" dxfId="64" priority="19" operator="greaterThan">
      <formula>0</formula>
    </cfRule>
  </conditionalFormatting>
  <conditionalFormatting sqref="I65:I68">
    <cfRule type="cellIs" dxfId="63" priority="11" operator="lessThan">
      <formula>$J65</formula>
    </cfRule>
  </conditionalFormatting>
  <conditionalFormatting sqref="M65:N65 M67:N67">
    <cfRule type="cellIs" dxfId="62" priority="1" operator="greaterThan">
      <formula>0</formula>
    </cfRule>
  </conditionalFormatting>
  <conditionalFormatting sqref="I41:K59">
    <cfRule type="cellIs" dxfId="61" priority="9" operator="greaterThan">
      <formula>0</formula>
    </cfRule>
  </conditionalFormatting>
  <conditionalFormatting sqref="M42:N42 M44:N44 M46:N46 M48:N48 M50:N50 M52:N52 M54:N54 M56:N56 M58:N58">
    <cfRule type="cellIs" dxfId="60" priority="8" operator="greaterThan">
      <formula>0</formula>
    </cfRule>
  </conditionalFormatting>
  <conditionalFormatting sqref="M41:N41 M43:N43 M45:N45 M47:N47 M49:N49 M51:N51 M53:N53 M55:N55 M57:N57 M59:N59">
    <cfRule type="cellIs" dxfId="59" priority="7" operator="greaterThan">
      <formula>0</formula>
    </cfRule>
  </conditionalFormatting>
  <conditionalFormatting sqref="M42:N42 M44:N44 M46:N46 M48:N48 M50:N50 M52:N52 M54:N54 M56:N56 M58:N58">
    <cfRule type="cellIs" dxfId="58" priority="6" operator="greaterThan">
      <formula>0</formula>
    </cfRule>
  </conditionalFormatting>
  <conditionalFormatting sqref="M41:N41 M43:N43 M45:N45 M47:N47 M49:N49 M51:N51 M53:N53 M55:N55 M57:N57 M59:N59">
    <cfRule type="cellIs" dxfId="57" priority="5" operator="greaterThan">
      <formula>0</formula>
    </cfRule>
  </conditionalFormatting>
  <conditionalFormatting sqref="N41:N59">
    <cfRule type="cellIs" dxfId="56" priority="4" operator="greaterThan">
      <formula>0</formula>
    </cfRule>
  </conditionalFormatting>
  <conditionalFormatting sqref="I41:I59">
    <cfRule type="cellIs" dxfId="55" priority="10" operator="lessThan">
      <formula>$J41</formula>
    </cfRule>
  </conditionalFormatting>
  <conditionalFormatting sqref="M66:N66 M68:N68">
    <cfRule type="cellIs" dxfId="54" priority="3" operator="greaterThan">
      <formula>0</formula>
    </cfRule>
  </conditionalFormatting>
  <conditionalFormatting sqref="M65:N65 M67:N67">
    <cfRule type="cellIs" dxfId="53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zoomScale="90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8" customWidth="1"/>
    <col min="2" max="2" width="30.83203125" style="45" customWidth="1"/>
    <col min="3" max="5" width="15" style="10"/>
    <col min="6" max="6" width="18.5" style="208" bestFit="1" customWidth="1"/>
    <col min="7" max="7" width="15" style="208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608"/>
      <c r="C4" s="608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313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1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2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0</v>
      </c>
      <c r="C8" s="63"/>
      <c r="D8" s="70" t="s">
        <v>114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1</v>
      </c>
      <c r="C9" s="63"/>
      <c r="D9" s="81" t="s">
        <v>111</v>
      </c>
      <c r="E9" s="2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453" t="s">
        <v>2</v>
      </c>
      <c r="C10" s="455"/>
      <c r="D10" s="2"/>
      <c r="E10" s="2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69" t="s">
        <v>3</v>
      </c>
      <c r="C15" s="569"/>
      <c r="D15" s="569"/>
      <c r="E15" s="569"/>
      <c r="F15" s="569"/>
      <c r="G15" s="569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69"/>
      <c r="C16" s="569"/>
      <c r="D16" s="569"/>
      <c r="E16" s="569"/>
      <c r="F16" s="569"/>
      <c r="G16" s="569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69"/>
      <c r="C17" s="569"/>
      <c r="D17" s="569"/>
      <c r="E17" s="569"/>
      <c r="F17" s="569"/>
      <c r="G17" s="569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7" t="s">
        <v>4</v>
      </c>
      <c r="C18" s="7"/>
      <c r="D18" s="7"/>
      <c r="E18" s="7"/>
      <c r="F18" s="198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71" t="s">
        <v>5</v>
      </c>
      <c r="C19" s="571"/>
      <c r="D19" s="571"/>
      <c r="E19" s="571"/>
      <c r="F19" s="571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6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6" t="s">
        <v>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7" t="s">
        <v>79</v>
      </c>
      <c r="C24" s="13" t="s">
        <v>8</v>
      </c>
      <c r="D24" s="13" t="s">
        <v>9</v>
      </c>
      <c r="E24" s="14" t="s">
        <v>10</v>
      </c>
      <c r="F24" s="212"/>
      <c r="G24" s="213" t="s">
        <v>11</v>
      </c>
      <c r="H24" s="213" t="s">
        <v>12</v>
      </c>
      <c r="I24" s="214" t="s">
        <v>13</v>
      </c>
      <c r="J24" s="214" t="s">
        <v>14</v>
      </c>
      <c r="K24" s="214" t="s">
        <v>15</v>
      </c>
      <c r="L24" s="215"/>
      <c r="M24" s="213" t="s">
        <v>16</v>
      </c>
      <c r="N24" s="213" t="s">
        <v>17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8" t="s">
        <v>98</v>
      </c>
      <c r="C25" s="16">
        <v>1</v>
      </c>
      <c r="D25" s="16">
        <v>1</v>
      </c>
      <c r="E25" s="124">
        <v>40</v>
      </c>
      <c r="F25" s="220"/>
      <c r="G25" s="221">
        <f t="shared" ref="G25:G35" si="0">H25/720</f>
        <v>0.38750000000000001</v>
      </c>
      <c r="H25" s="222">
        <f>C25*IAAS_vcpu_SEK+D25*IAAS_ram_SEK+E25*IAAS_ssd_SEK</f>
        <v>279</v>
      </c>
      <c r="I25" s="223"/>
      <c r="J25" s="223"/>
      <c r="K25" s="223"/>
      <c r="L25" s="220" t="s">
        <v>18</v>
      </c>
      <c r="M25" s="224">
        <f>ROUNDUP(I25*H25,2)</f>
        <v>0</v>
      </c>
      <c r="N25" s="224">
        <f t="shared" ref="N25:N35" si="1">J25*C25*SW_win.ser.201X_SEK+K25*C25*SW_ms.sql.ser_SEK</f>
        <v>0</v>
      </c>
      <c r="P25" s="225"/>
    </row>
    <row r="26" spans="2:29" s="197" customFormat="1" ht="25.5" customHeight="1">
      <c r="B26" s="519" t="s">
        <v>99</v>
      </c>
      <c r="C26" s="18">
        <v>1</v>
      </c>
      <c r="D26" s="18">
        <v>2</v>
      </c>
      <c r="E26" s="502">
        <v>40</v>
      </c>
      <c r="F26" s="226"/>
      <c r="G26" s="227">
        <f t="shared" si="0"/>
        <v>0.46388888888888891</v>
      </c>
      <c r="H26" s="228">
        <f t="shared" ref="H26:H35" si="2">C26*IAAS_vcpu_SEK+D26*IAAS_ram_SEK+E26*IAAS_ssd_SEK</f>
        <v>334</v>
      </c>
      <c r="I26" s="223"/>
      <c r="J26" s="223"/>
      <c r="K26" s="223"/>
      <c r="L26" s="226" t="s">
        <v>18</v>
      </c>
      <c r="M26" s="229">
        <f t="shared" ref="M26:M35" si="3">ROUNDUP(I26*H26,2)</f>
        <v>0</v>
      </c>
      <c r="N26" s="229">
        <f t="shared" si="1"/>
        <v>0</v>
      </c>
      <c r="P26" s="225"/>
    </row>
    <row r="27" spans="2:29" s="197" customFormat="1" ht="25.5" customHeight="1">
      <c r="B27" s="518" t="s">
        <v>100</v>
      </c>
      <c r="C27" s="16">
        <v>2</v>
      </c>
      <c r="D27" s="16">
        <v>4</v>
      </c>
      <c r="E27" s="124">
        <v>40</v>
      </c>
      <c r="F27" s="220"/>
      <c r="G27" s="221">
        <f t="shared" si="0"/>
        <v>0.72777777777777775</v>
      </c>
      <c r="H27" s="222">
        <f t="shared" si="2"/>
        <v>524</v>
      </c>
      <c r="I27" s="223"/>
      <c r="J27" s="223"/>
      <c r="K27" s="223"/>
      <c r="L27" s="220" t="s">
        <v>18</v>
      </c>
      <c r="M27" s="224">
        <f t="shared" si="3"/>
        <v>0</v>
      </c>
      <c r="N27" s="224">
        <f t="shared" si="1"/>
        <v>0</v>
      </c>
      <c r="O27" s="230"/>
      <c r="P27" s="225"/>
    </row>
    <row r="28" spans="2:29" s="197" customFormat="1" ht="25.5" customHeight="1">
      <c r="B28" s="519" t="s">
        <v>101</v>
      </c>
      <c r="C28" s="18">
        <v>4</v>
      </c>
      <c r="D28" s="18">
        <v>8</v>
      </c>
      <c r="E28" s="502">
        <v>40</v>
      </c>
      <c r="F28" s="226"/>
      <c r="G28" s="227">
        <f t="shared" si="0"/>
        <v>1.2555555555555555</v>
      </c>
      <c r="H28" s="228">
        <f t="shared" si="2"/>
        <v>904</v>
      </c>
      <c r="I28" s="223"/>
      <c r="J28" s="223"/>
      <c r="K28" s="223"/>
      <c r="L28" s="226" t="s">
        <v>18</v>
      </c>
      <c r="M28" s="229">
        <f t="shared" si="3"/>
        <v>0</v>
      </c>
      <c r="N28" s="229">
        <f t="shared" si="1"/>
        <v>0</v>
      </c>
      <c r="P28" s="225"/>
    </row>
    <row r="29" spans="2:29" s="197" customFormat="1" ht="25.5" customHeight="1">
      <c r="B29" s="518" t="s">
        <v>102</v>
      </c>
      <c r="C29" s="16">
        <v>8</v>
      </c>
      <c r="D29" s="16">
        <v>16</v>
      </c>
      <c r="E29" s="124">
        <v>40</v>
      </c>
      <c r="F29" s="220"/>
      <c r="G29" s="221">
        <f t="shared" si="0"/>
        <v>2.3111111111111109</v>
      </c>
      <c r="H29" s="222">
        <f t="shared" si="2"/>
        <v>1664</v>
      </c>
      <c r="I29" s="223"/>
      <c r="J29" s="223"/>
      <c r="K29" s="223"/>
      <c r="L29" s="220" t="s">
        <v>18</v>
      </c>
      <c r="M29" s="224">
        <f t="shared" si="3"/>
        <v>0</v>
      </c>
      <c r="N29" s="224">
        <f t="shared" si="1"/>
        <v>0</v>
      </c>
      <c r="P29" s="225"/>
    </row>
    <row r="30" spans="2:29" s="197" customFormat="1" ht="25.5" customHeight="1">
      <c r="B30" s="519" t="s">
        <v>287</v>
      </c>
      <c r="C30" s="18">
        <v>16</v>
      </c>
      <c r="D30" s="18">
        <v>32</v>
      </c>
      <c r="E30" s="502">
        <v>40</v>
      </c>
      <c r="F30" s="226"/>
      <c r="G30" s="227">
        <f t="shared" si="0"/>
        <v>4.4222222222222225</v>
      </c>
      <c r="H30" s="228">
        <f t="shared" si="2"/>
        <v>3184</v>
      </c>
      <c r="I30" s="223"/>
      <c r="J30" s="223"/>
      <c r="K30" s="223"/>
      <c r="L30" s="226" t="s">
        <v>18</v>
      </c>
      <c r="M30" s="229">
        <f t="shared" si="3"/>
        <v>0</v>
      </c>
      <c r="N30" s="229">
        <f t="shared" si="1"/>
        <v>0</v>
      </c>
      <c r="P30" s="225"/>
    </row>
    <row r="31" spans="2:29" s="197" customFormat="1" ht="25.5" customHeight="1">
      <c r="B31" s="518" t="s">
        <v>103</v>
      </c>
      <c r="C31" s="16">
        <v>1</v>
      </c>
      <c r="D31" s="16">
        <v>4</v>
      </c>
      <c r="E31" s="124">
        <v>40</v>
      </c>
      <c r="F31" s="220"/>
      <c r="G31" s="221">
        <f t="shared" si="0"/>
        <v>0.6166666666666667</v>
      </c>
      <c r="H31" s="222">
        <f t="shared" si="2"/>
        <v>444</v>
      </c>
      <c r="I31" s="223"/>
      <c r="J31" s="223"/>
      <c r="K31" s="223"/>
      <c r="L31" s="220" t="s">
        <v>18</v>
      </c>
      <c r="M31" s="224">
        <f t="shared" si="3"/>
        <v>0</v>
      </c>
      <c r="N31" s="224">
        <f t="shared" si="1"/>
        <v>0</v>
      </c>
      <c r="P31" s="225"/>
    </row>
    <row r="32" spans="2:29" s="197" customFormat="1" ht="25.5" customHeight="1">
      <c r="B32" s="519" t="s">
        <v>104</v>
      </c>
      <c r="C32" s="18">
        <v>2</v>
      </c>
      <c r="D32" s="18">
        <v>8</v>
      </c>
      <c r="E32" s="502">
        <v>40</v>
      </c>
      <c r="F32" s="226"/>
      <c r="G32" s="227">
        <f t="shared" si="0"/>
        <v>1.0333333333333334</v>
      </c>
      <c r="H32" s="228">
        <f t="shared" si="2"/>
        <v>744</v>
      </c>
      <c r="I32" s="223"/>
      <c r="J32" s="223"/>
      <c r="K32" s="223"/>
      <c r="L32" s="226" t="s">
        <v>18</v>
      </c>
      <c r="M32" s="229">
        <f t="shared" si="3"/>
        <v>0</v>
      </c>
      <c r="N32" s="229">
        <f t="shared" si="1"/>
        <v>0</v>
      </c>
      <c r="P32" s="225"/>
    </row>
    <row r="33" spans="2:23" s="197" customFormat="1" ht="25.5" customHeight="1">
      <c r="B33" s="518" t="s">
        <v>211</v>
      </c>
      <c r="C33" s="16">
        <v>4</v>
      </c>
      <c r="D33" s="16">
        <v>16</v>
      </c>
      <c r="E33" s="124">
        <v>40</v>
      </c>
      <c r="F33" s="220"/>
      <c r="G33" s="221">
        <f t="shared" si="0"/>
        <v>1.8666666666666667</v>
      </c>
      <c r="H33" s="222">
        <f t="shared" si="2"/>
        <v>1344</v>
      </c>
      <c r="I33" s="223"/>
      <c r="J33" s="223"/>
      <c r="K33" s="223"/>
      <c r="L33" s="220" t="s">
        <v>18</v>
      </c>
      <c r="M33" s="224">
        <f t="shared" si="3"/>
        <v>0</v>
      </c>
      <c r="N33" s="224">
        <f t="shared" si="1"/>
        <v>0</v>
      </c>
      <c r="P33" s="225"/>
    </row>
    <row r="34" spans="2:23" s="197" customFormat="1" ht="25.5" customHeight="1">
      <c r="B34" s="519" t="s">
        <v>105</v>
      </c>
      <c r="C34" s="18">
        <v>8</v>
      </c>
      <c r="D34" s="18">
        <v>32</v>
      </c>
      <c r="E34" s="502">
        <v>40</v>
      </c>
      <c r="F34" s="226"/>
      <c r="G34" s="227">
        <f t="shared" si="0"/>
        <v>3.5333333333333332</v>
      </c>
      <c r="H34" s="228">
        <f t="shared" si="2"/>
        <v>2544</v>
      </c>
      <c r="I34" s="223"/>
      <c r="J34" s="223"/>
      <c r="K34" s="223"/>
      <c r="L34" s="226" t="s">
        <v>18</v>
      </c>
      <c r="M34" s="229">
        <f t="shared" si="3"/>
        <v>0</v>
      </c>
      <c r="N34" s="229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8" t="s">
        <v>288</v>
      </c>
      <c r="C35" s="16">
        <v>16</v>
      </c>
      <c r="D35" s="16">
        <v>64</v>
      </c>
      <c r="E35" s="124">
        <v>40</v>
      </c>
      <c r="F35" s="220"/>
      <c r="G35" s="221">
        <f t="shared" si="0"/>
        <v>6.8666666666666663</v>
      </c>
      <c r="H35" s="222">
        <f t="shared" si="2"/>
        <v>4944</v>
      </c>
      <c r="I35" s="223"/>
      <c r="J35" s="223"/>
      <c r="K35" s="223"/>
      <c r="L35" s="220" t="s">
        <v>18</v>
      </c>
      <c r="M35" s="224">
        <f t="shared" si="3"/>
        <v>0</v>
      </c>
      <c r="N35" s="224">
        <f t="shared" si="1"/>
        <v>0</v>
      </c>
      <c r="P35" s="225"/>
      <c r="U35" s="206"/>
      <c r="V35" s="206"/>
      <c r="W35" s="206"/>
    </row>
    <row r="36" spans="2:23" ht="25.5" customHeight="1">
      <c r="B36" s="520" t="s">
        <v>20</v>
      </c>
      <c r="C36" s="91"/>
      <c r="D36" s="91"/>
      <c r="E36" s="91"/>
      <c r="F36" s="231"/>
      <c r="G36" s="232"/>
      <c r="H36" s="233"/>
      <c r="I36" s="308" t="str">
        <f>SUM(I25:I35)&amp;" st"</f>
        <v>0 st</v>
      </c>
      <c r="J36" s="308" t="str">
        <f>SUM(J25:J35)&amp;" st"</f>
        <v>0 st</v>
      </c>
      <c r="K36" s="308" t="str">
        <f>SUM(K25:K35)&amp;" st"</f>
        <v>0 st</v>
      </c>
      <c r="L36" s="168"/>
      <c r="M36" s="92">
        <f>SUM(M25:M35)</f>
        <v>0</v>
      </c>
      <c r="N36" s="93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1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1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8" t="s">
        <v>19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7" t="s">
        <v>79</v>
      </c>
      <c r="C40" s="13" t="s">
        <v>8</v>
      </c>
      <c r="D40" s="13" t="s">
        <v>9</v>
      </c>
      <c r="E40" s="14" t="s">
        <v>10</v>
      </c>
      <c r="F40" s="212"/>
      <c r="G40" s="213" t="s">
        <v>11</v>
      </c>
      <c r="H40" s="213" t="s">
        <v>12</v>
      </c>
      <c r="I40" s="214" t="s">
        <v>13</v>
      </c>
      <c r="J40" s="214" t="s">
        <v>14</v>
      </c>
      <c r="K40" s="214" t="s">
        <v>15</v>
      </c>
      <c r="L40" s="215"/>
      <c r="M40" s="213" t="s">
        <v>16</v>
      </c>
      <c r="N40" s="213" t="s">
        <v>17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3" t="s">
        <v>268</v>
      </c>
      <c r="C41" s="102">
        <v>1</v>
      </c>
      <c r="D41" s="102">
        <v>1</v>
      </c>
      <c r="E41" s="104">
        <v>80</v>
      </c>
      <c r="F41" s="252"/>
      <c r="G41" s="253">
        <f t="shared" ref="G41:G59" si="4">H41/720</f>
        <v>0.2986111111111111</v>
      </c>
      <c r="H41" s="254">
        <f t="shared" ref="H41:H59" si="5">C41*IAAS_vcpu_SEK+D41*IAAS_ram_SEK+E41*IAAS_nvme_SEK</f>
        <v>215</v>
      </c>
      <c r="I41" s="223"/>
      <c r="J41" s="223"/>
      <c r="K41" s="223"/>
      <c r="L41" s="255" t="s">
        <v>18</v>
      </c>
      <c r="M41" s="224">
        <f t="shared" ref="M41:M59" si="6">ROUNDUP(I41*H41,2)</f>
        <v>0</v>
      </c>
      <c r="N41" s="224">
        <f t="shared" ref="N41:N59" si="7">J41*C41*SW_win.ser.201X_SEK+K41*C41*SW_ms.sql.ser_SEK</f>
        <v>0</v>
      </c>
      <c r="P41" s="225"/>
      <c r="U41" s="206"/>
      <c r="W41" s="206"/>
    </row>
    <row r="42" spans="2:23" s="197" customFormat="1" ht="25.5" customHeight="1">
      <c r="B42" s="524" t="s">
        <v>269</v>
      </c>
      <c r="C42" s="103">
        <v>4</v>
      </c>
      <c r="D42" s="103">
        <v>8</v>
      </c>
      <c r="E42" s="123">
        <v>250</v>
      </c>
      <c r="F42" s="256"/>
      <c r="G42" s="249">
        <f t="shared" si="4"/>
        <v>1.4027777777777777</v>
      </c>
      <c r="H42" s="250">
        <f t="shared" si="5"/>
        <v>1010</v>
      </c>
      <c r="I42" s="223"/>
      <c r="J42" s="223"/>
      <c r="K42" s="223"/>
      <c r="L42" s="257" t="s">
        <v>18</v>
      </c>
      <c r="M42" s="229">
        <f t="shared" si="6"/>
        <v>0</v>
      </c>
      <c r="N42" s="229">
        <f t="shared" si="7"/>
        <v>0</v>
      </c>
      <c r="P42" s="225"/>
      <c r="U42" s="206"/>
      <c r="W42" s="206"/>
    </row>
    <row r="43" spans="2:23" s="197" customFormat="1" ht="25.5" customHeight="1">
      <c r="B43" s="523" t="s">
        <v>270</v>
      </c>
      <c r="C43" s="102">
        <v>8</v>
      </c>
      <c r="D43" s="102">
        <v>16</v>
      </c>
      <c r="E43" s="104">
        <v>250</v>
      </c>
      <c r="F43" s="252"/>
      <c r="G43" s="253">
        <f t="shared" si="4"/>
        <v>2.4583333333333335</v>
      </c>
      <c r="H43" s="254">
        <f t="shared" si="5"/>
        <v>1770</v>
      </c>
      <c r="I43" s="223"/>
      <c r="J43" s="223"/>
      <c r="K43" s="223"/>
      <c r="L43" s="255" t="s">
        <v>18</v>
      </c>
      <c r="M43" s="224">
        <f t="shared" si="6"/>
        <v>0</v>
      </c>
      <c r="N43" s="224">
        <f t="shared" si="7"/>
        <v>0</v>
      </c>
      <c r="P43" s="225"/>
      <c r="U43" s="206"/>
      <c r="W43" s="206"/>
    </row>
    <row r="44" spans="2:23" s="197" customFormat="1" ht="25.5" customHeight="1">
      <c r="B44" s="524" t="s">
        <v>271</v>
      </c>
      <c r="C44" s="103">
        <v>16</v>
      </c>
      <c r="D44" s="103">
        <v>32</v>
      </c>
      <c r="E44" s="123">
        <v>250</v>
      </c>
      <c r="F44" s="256"/>
      <c r="G44" s="249">
        <f t="shared" si="4"/>
        <v>4.5694444444444446</v>
      </c>
      <c r="H44" s="250">
        <f t="shared" si="5"/>
        <v>3290</v>
      </c>
      <c r="I44" s="223"/>
      <c r="J44" s="223"/>
      <c r="K44" s="223"/>
      <c r="L44" s="257" t="s">
        <v>18</v>
      </c>
      <c r="M44" s="229">
        <f t="shared" si="6"/>
        <v>0</v>
      </c>
      <c r="N44" s="229">
        <f t="shared" si="7"/>
        <v>0</v>
      </c>
      <c r="P44" s="225"/>
      <c r="U44" s="206"/>
      <c r="W44" s="206"/>
    </row>
    <row r="45" spans="2:23" s="197" customFormat="1" ht="25.5" customHeight="1">
      <c r="B45" s="523" t="s">
        <v>272</v>
      </c>
      <c r="C45" s="102">
        <v>16</v>
      </c>
      <c r="D45" s="102">
        <v>32</v>
      </c>
      <c r="E45" s="104">
        <v>500</v>
      </c>
      <c r="F45" s="252"/>
      <c r="G45" s="253">
        <f t="shared" si="4"/>
        <v>4.916666666666667</v>
      </c>
      <c r="H45" s="254">
        <f t="shared" si="5"/>
        <v>3540</v>
      </c>
      <c r="I45" s="223"/>
      <c r="J45" s="223"/>
      <c r="K45" s="223"/>
      <c r="L45" s="255" t="s">
        <v>18</v>
      </c>
      <c r="M45" s="224">
        <f t="shared" si="6"/>
        <v>0</v>
      </c>
      <c r="N45" s="224">
        <f t="shared" si="7"/>
        <v>0</v>
      </c>
      <c r="P45" s="225"/>
      <c r="U45" s="206"/>
      <c r="W45" s="206"/>
    </row>
    <row r="46" spans="2:23" s="197" customFormat="1" ht="25.5" customHeight="1">
      <c r="B46" s="524" t="s">
        <v>286</v>
      </c>
      <c r="C46" s="103">
        <v>16</v>
      </c>
      <c r="D46" s="103">
        <v>32</v>
      </c>
      <c r="E46" s="123">
        <v>1000</v>
      </c>
      <c r="F46" s="256"/>
      <c r="G46" s="249">
        <f t="shared" si="4"/>
        <v>5.6111111111111107</v>
      </c>
      <c r="H46" s="250">
        <f t="shared" si="5"/>
        <v>4040</v>
      </c>
      <c r="I46" s="223"/>
      <c r="J46" s="223"/>
      <c r="K46" s="223"/>
      <c r="L46" s="257" t="s">
        <v>18</v>
      </c>
      <c r="M46" s="229">
        <f t="shared" si="6"/>
        <v>0</v>
      </c>
      <c r="N46" s="229">
        <f t="shared" si="7"/>
        <v>0</v>
      </c>
      <c r="P46" s="225"/>
      <c r="U46" s="206"/>
      <c r="W46" s="206"/>
    </row>
    <row r="47" spans="2:23" s="197" customFormat="1" ht="25.5" customHeight="1">
      <c r="B47" s="523" t="s">
        <v>273</v>
      </c>
      <c r="C47" s="102">
        <v>32</v>
      </c>
      <c r="D47" s="102">
        <v>64</v>
      </c>
      <c r="E47" s="104">
        <v>250</v>
      </c>
      <c r="F47" s="252"/>
      <c r="G47" s="253">
        <f t="shared" si="4"/>
        <v>8.7916666666666661</v>
      </c>
      <c r="H47" s="254">
        <f t="shared" si="5"/>
        <v>6330</v>
      </c>
      <c r="I47" s="223"/>
      <c r="J47" s="223"/>
      <c r="K47" s="223"/>
      <c r="L47" s="255" t="s">
        <v>18</v>
      </c>
      <c r="M47" s="224">
        <f t="shared" si="6"/>
        <v>0</v>
      </c>
      <c r="N47" s="224">
        <f t="shared" si="7"/>
        <v>0</v>
      </c>
      <c r="P47" s="225"/>
      <c r="U47" s="206"/>
      <c r="W47" s="206"/>
    </row>
    <row r="48" spans="2:23" s="197" customFormat="1" ht="25.5" customHeight="1">
      <c r="B48" s="524" t="s">
        <v>274</v>
      </c>
      <c r="C48" s="103">
        <v>32</v>
      </c>
      <c r="D48" s="103">
        <v>64</v>
      </c>
      <c r="E48" s="123">
        <v>500</v>
      </c>
      <c r="F48" s="256"/>
      <c r="G48" s="249">
        <f t="shared" si="4"/>
        <v>9.1388888888888893</v>
      </c>
      <c r="H48" s="250">
        <f t="shared" si="5"/>
        <v>6580</v>
      </c>
      <c r="I48" s="223"/>
      <c r="J48" s="223"/>
      <c r="K48" s="223"/>
      <c r="L48" s="257" t="s">
        <v>18</v>
      </c>
      <c r="M48" s="229">
        <f t="shared" si="6"/>
        <v>0</v>
      </c>
      <c r="N48" s="229">
        <f t="shared" si="7"/>
        <v>0</v>
      </c>
      <c r="P48" s="225"/>
      <c r="U48" s="206"/>
      <c r="W48" s="206"/>
    </row>
    <row r="49" spans="2:24" s="197" customFormat="1" ht="25.5" customHeight="1">
      <c r="B49" s="523" t="s">
        <v>275</v>
      </c>
      <c r="C49" s="102">
        <v>32</v>
      </c>
      <c r="D49" s="102">
        <v>64</v>
      </c>
      <c r="E49" s="104">
        <v>1000</v>
      </c>
      <c r="F49" s="252"/>
      <c r="G49" s="253">
        <f t="shared" si="4"/>
        <v>9.8333333333333339</v>
      </c>
      <c r="H49" s="254">
        <f t="shared" si="5"/>
        <v>7080</v>
      </c>
      <c r="I49" s="223"/>
      <c r="J49" s="223"/>
      <c r="K49" s="223"/>
      <c r="L49" s="255" t="s">
        <v>18</v>
      </c>
      <c r="M49" s="224">
        <f t="shared" si="6"/>
        <v>0</v>
      </c>
      <c r="N49" s="224">
        <f t="shared" si="7"/>
        <v>0</v>
      </c>
      <c r="P49" s="225"/>
      <c r="U49" s="206"/>
      <c r="W49" s="206"/>
    </row>
    <row r="50" spans="2:24" s="197" customFormat="1" ht="25.5" customHeight="1">
      <c r="B50" s="524" t="s">
        <v>276</v>
      </c>
      <c r="C50" s="103">
        <v>4</v>
      </c>
      <c r="D50" s="103">
        <v>16</v>
      </c>
      <c r="E50" s="123">
        <v>250</v>
      </c>
      <c r="F50" s="256"/>
      <c r="G50" s="249">
        <f t="shared" si="4"/>
        <v>2.0138888888888888</v>
      </c>
      <c r="H50" s="250">
        <f t="shared" si="5"/>
        <v>1450</v>
      </c>
      <c r="I50" s="223"/>
      <c r="J50" s="223"/>
      <c r="K50" s="223"/>
      <c r="L50" s="257" t="s">
        <v>18</v>
      </c>
      <c r="M50" s="229">
        <f t="shared" si="6"/>
        <v>0</v>
      </c>
      <c r="N50" s="229">
        <f t="shared" si="7"/>
        <v>0</v>
      </c>
      <c r="P50" s="225"/>
      <c r="U50" s="206"/>
      <c r="W50" s="206"/>
    </row>
    <row r="51" spans="2:24" s="197" customFormat="1" ht="25.5" customHeight="1">
      <c r="B51" s="523" t="s">
        <v>277</v>
      </c>
      <c r="C51" s="102">
        <v>8</v>
      </c>
      <c r="D51" s="102">
        <v>32</v>
      </c>
      <c r="E51" s="104">
        <v>250</v>
      </c>
      <c r="F51" s="252"/>
      <c r="G51" s="253">
        <f t="shared" si="4"/>
        <v>3.6805555555555554</v>
      </c>
      <c r="H51" s="254">
        <f t="shared" si="5"/>
        <v>2650</v>
      </c>
      <c r="I51" s="223"/>
      <c r="J51" s="223"/>
      <c r="K51" s="223"/>
      <c r="L51" s="255" t="s">
        <v>18</v>
      </c>
      <c r="M51" s="224">
        <f t="shared" si="6"/>
        <v>0</v>
      </c>
      <c r="N51" s="224">
        <f t="shared" si="7"/>
        <v>0</v>
      </c>
      <c r="P51" s="225"/>
      <c r="U51" s="206"/>
      <c r="W51" s="206"/>
    </row>
    <row r="52" spans="2:24" s="197" customFormat="1" ht="25.5" customHeight="1">
      <c r="B52" s="524" t="s">
        <v>278</v>
      </c>
      <c r="C52" s="103">
        <v>8</v>
      </c>
      <c r="D52" s="103">
        <v>32</v>
      </c>
      <c r="E52" s="123">
        <v>500</v>
      </c>
      <c r="F52" s="256"/>
      <c r="G52" s="249">
        <f t="shared" si="4"/>
        <v>4.0277777777777777</v>
      </c>
      <c r="H52" s="250">
        <f t="shared" si="5"/>
        <v>2900</v>
      </c>
      <c r="I52" s="223"/>
      <c r="J52" s="223"/>
      <c r="K52" s="223"/>
      <c r="L52" s="257" t="s">
        <v>18</v>
      </c>
      <c r="M52" s="229">
        <f t="shared" si="6"/>
        <v>0</v>
      </c>
      <c r="N52" s="229">
        <f t="shared" si="7"/>
        <v>0</v>
      </c>
      <c r="P52" s="225"/>
      <c r="U52" s="206"/>
      <c r="W52" s="206"/>
    </row>
    <row r="53" spans="2:24" s="197" customFormat="1" ht="25.5" customHeight="1">
      <c r="B53" s="523" t="s">
        <v>279</v>
      </c>
      <c r="C53" s="102">
        <v>8</v>
      </c>
      <c r="D53" s="102">
        <v>32</v>
      </c>
      <c r="E53" s="104">
        <v>1000</v>
      </c>
      <c r="F53" s="252"/>
      <c r="G53" s="253">
        <f t="shared" ref="G53:G54" si="8">H53/720</f>
        <v>4.7222222222222223</v>
      </c>
      <c r="H53" s="254">
        <f t="shared" ref="H53:H54" si="9">C53*IAAS_vcpu_SEK+D53*IAAS_ram_SEK+E53*IAAS_nvme_SEK</f>
        <v>3400</v>
      </c>
      <c r="I53" s="223"/>
      <c r="J53" s="223"/>
      <c r="K53" s="223"/>
      <c r="L53" s="255" t="s">
        <v>18</v>
      </c>
      <c r="M53" s="224">
        <f t="shared" ref="M53:M54" si="10">ROUNDUP(I53*H53,2)</f>
        <v>0</v>
      </c>
      <c r="N53" s="224">
        <f t="shared" ref="N53:N54" si="11">J53*C53*SW_win.ser.201X_SEK+K53*C53*SW_ms.sql.ser_SEK</f>
        <v>0</v>
      </c>
      <c r="P53" s="225"/>
      <c r="U53" s="206"/>
      <c r="W53" s="206"/>
    </row>
    <row r="54" spans="2:24" s="197" customFormat="1" ht="25.5" customHeight="1">
      <c r="B54" s="524" t="s">
        <v>280</v>
      </c>
      <c r="C54" s="103">
        <v>16</v>
      </c>
      <c r="D54" s="103">
        <v>64</v>
      </c>
      <c r="E54" s="123">
        <v>250</v>
      </c>
      <c r="F54" s="256"/>
      <c r="G54" s="249">
        <f t="shared" si="8"/>
        <v>7.0138888888888893</v>
      </c>
      <c r="H54" s="250">
        <f t="shared" si="9"/>
        <v>5050</v>
      </c>
      <c r="I54" s="223"/>
      <c r="J54" s="223"/>
      <c r="K54" s="223"/>
      <c r="L54" s="257" t="s">
        <v>18</v>
      </c>
      <c r="M54" s="229">
        <f t="shared" si="10"/>
        <v>0</v>
      </c>
      <c r="N54" s="229">
        <f t="shared" si="11"/>
        <v>0</v>
      </c>
      <c r="P54" s="225"/>
      <c r="U54" s="206"/>
      <c r="W54" s="206"/>
    </row>
    <row r="55" spans="2:24" s="197" customFormat="1" ht="25.5" customHeight="1">
      <c r="B55" s="523" t="s">
        <v>281</v>
      </c>
      <c r="C55" s="102">
        <v>16</v>
      </c>
      <c r="D55" s="102">
        <v>64</v>
      </c>
      <c r="E55" s="104">
        <v>500</v>
      </c>
      <c r="F55" s="252"/>
      <c r="G55" s="253">
        <f t="shared" si="4"/>
        <v>7.3611111111111107</v>
      </c>
      <c r="H55" s="254">
        <f t="shared" si="5"/>
        <v>5300</v>
      </c>
      <c r="I55" s="223"/>
      <c r="J55" s="223"/>
      <c r="K55" s="223"/>
      <c r="L55" s="255" t="s">
        <v>18</v>
      </c>
      <c r="M55" s="224">
        <f t="shared" si="6"/>
        <v>0</v>
      </c>
      <c r="N55" s="224">
        <f t="shared" si="7"/>
        <v>0</v>
      </c>
      <c r="P55" s="225"/>
      <c r="U55" s="206"/>
      <c r="W55" s="206"/>
    </row>
    <row r="56" spans="2:24" s="197" customFormat="1" ht="25.5" customHeight="1">
      <c r="B56" s="524" t="s">
        <v>282</v>
      </c>
      <c r="C56" s="103">
        <v>16</v>
      </c>
      <c r="D56" s="103">
        <v>64</v>
      </c>
      <c r="E56" s="123">
        <v>1000</v>
      </c>
      <c r="F56" s="256"/>
      <c r="G56" s="249">
        <f t="shared" si="4"/>
        <v>8.0555555555555554</v>
      </c>
      <c r="H56" s="250">
        <f t="shared" si="5"/>
        <v>5800</v>
      </c>
      <c r="I56" s="223"/>
      <c r="J56" s="223"/>
      <c r="K56" s="223"/>
      <c r="L56" s="257" t="s">
        <v>18</v>
      </c>
      <c r="M56" s="229">
        <f t="shared" si="6"/>
        <v>0</v>
      </c>
      <c r="N56" s="229">
        <f t="shared" si="7"/>
        <v>0</v>
      </c>
      <c r="P56" s="225"/>
      <c r="U56" s="206"/>
      <c r="W56" s="206"/>
    </row>
    <row r="57" spans="2:24" s="197" customFormat="1" ht="25.5" customHeight="1">
      <c r="B57" s="523" t="s">
        <v>283</v>
      </c>
      <c r="C57" s="102">
        <v>32</v>
      </c>
      <c r="D57" s="102">
        <v>128</v>
      </c>
      <c r="E57" s="104">
        <v>250</v>
      </c>
      <c r="F57" s="252"/>
      <c r="G57" s="253">
        <f t="shared" si="4"/>
        <v>13.680555555555555</v>
      </c>
      <c r="H57" s="254">
        <f t="shared" si="5"/>
        <v>9850</v>
      </c>
      <c r="I57" s="223"/>
      <c r="J57" s="223"/>
      <c r="K57" s="223"/>
      <c r="L57" s="255" t="s">
        <v>18</v>
      </c>
      <c r="M57" s="224">
        <f t="shared" si="6"/>
        <v>0</v>
      </c>
      <c r="N57" s="224">
        <f t="shared" si="7"/>
        <v>0</v>
      </c>
      <c r="P57" s="225"/>
      <c r="U57" s="206"/>
      <c r="W57" s="206"/>
    </row>
    <row r="58" spans="2:24" s="197" customFormat="1" ht="25.5" customHeight="1">
      <c r="B58" s="524" t="s">
        <v>284</v>
      </c>
      <c r="C58" s="103">
        <v>32</v>
      </c>
      <c r="D58" s="103">
        <v>128</v>
      </c>
      <c r="E58" s="123">
        <v>500</v>
      </c>
      <c r="F58" s="256"/>
      <c r="G58" s="249">
        <f t="shared" si="4"/>
        <v>14.027777777777779</v>
      </c>
      <c r="H58" s="250">
        <f t="shared" si="5"/>
        <v>10100</v>
      </c>
      <c r="I58" s="223"/>
      <c r="J58" s="223"/>
      <c r="K58" s="223"/>
      <c r="L58" s="257" t="s">
        <v>18</v>
      </c>
      <c r="M58" s="229">
        <f t="shared" si="6"/>
        <v>0</v>
      </c>
      <c r="N58" s="229">
        <f t="shared" si="7"/>
        <v>0</v>
      </c>
      <c r="P58" s="225"/>
      <c r="U58" s="206"/>
      <c r="W58" s="206"/>
    </row>
    <row r="59" spans="2:24" s="197" customFormat="1" ht="25.5" customHeight="1">
      <c r="B59" s="523" t="s">
        <v>285</v>
      </c>
      <c r="C59" s="102">
        <v>32</v>
      </c>
      <c r="D59" s="102">
        <v>128</v>
      </c>
      <c r="E59" s="104">
        <v>1000</v>
      </c>
      <c r="F59" s="252"/>
      <c r="G59" s="253">
        <f t="shared" si="4"/>
        <v>14.722222222222221</v>
      </c>
      <c r="H59" s="254">
        <f t="shared" si="5"/>
        <v>10600</v>
      </c>
      <c r="I59" s="223"/>
      <c r="J59" s="223"/>
      <c r="K59" s="223"/>
      <c r="L59" s="255" t="s">
        <v>18</v>
      </c>
      <c r="M59" s="224">
        <f t="shared" si="6"/>
        <v>0</v>
      </c>
      <c r="N59" s="224">
        <f t="shared" si="7"/>
        <v>0</v>
      </c>
      <c r="P59" s="225"/>
      <c r="U59" s="206"/>
      <c r="W59" s="206"/>
    </row>
    <row r="60" spans="2:24" s="197" customFormat="1" ht="25.5" customHeight="1">
      <c r="B60" s="520" t="s">
        <v>20</v>
      </c>
      <c r="C60" s="91"/>
      <c r="D60" s="91"/>
      <c r="E60" s="91"/>
      <c r="F60" s="231"/>
      <c r="G60" s="232"/>
      <c r="H60" s="233"/>
      <c r="I60" s="167" t="str">
        <f>SUM(I41:I59)&amp;" st"</f>
        <v>0 st</v>
      </c>
      <c r="J60" s="167" t="str">
        <f>SUM(J41:J59)&amp;" st"</f>
        <v>0 st</v>
      </c>
      <c r="K60" s="167" t="str">
        <f>SUM(K41:K59)&amp;" st"</f>
        <v>0 st</v>
      </c>
      <c r="L60" s="168"/>
      <c r="M60" s="92">
        <f>SUM(M41:M59)</f>
        <v>0</v>
      </c>
      <c r="N60" s="93">
        <f>SUM(N41:N59)</f>
        <v>0</v>
      </c>
      <c r="P60" s="225"/>
      <c r="U60" s="206"/>
      <c r="W60" s="206"/>
    </row>
    <row r="61" spans="2:24" ht="25.5" customHeight="1">
      <c r="B61" s="525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5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6" t="s">
        <v>60</v>
      </c>
      <c r="C63" s="449"/>
      <c r="D63" s="449"/>
      <c r="E63" s="449"/>
      <c r="F63" s="449"/>
      <c r="G63" s="449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7" t="s">
        <v>79</v>
      </c>
      <c r="C64" s="13" t="s">
        <v>70</v>
      </c>
      <c r="D64" s="13" t="s">
        <v>9</v>
      </c>
      <c r="E64" s="105" t="s">
        <v>109</v>
      </c>
      <c r="F64" s="212" t="s">
        <v>69</v>
      </c>
      <c r="G64" s="213" t="s">
        <v>11</v>
      </c>
      <c r="H64" s="213" t="s">
        <v>12</v>
      </c>
      <c r="I64" s="214" t="s">
        <v>13</v>
      </c>
      <c r="J64" s="214" t="s">
        <v>14</v>
      </c>
      <c r="K64" s="214" t="s">
        <v>15</v>
      </c>
      <c r="L64" s="215"/>
      <c r="M64" s="213" t="s">
        <v>16</v>
      </c>
      <c r="N64" s="213" t="s">
        <v>17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3" t="s">
        <v>61</v>
      </c>
      <c r="C65" s="102">
        <v>4</v>
      </c>
      <c r="D65" s="102">
        <v>16</v>
      </c>
      <c r="E65" s="107">
        <v>250</v>
      </c>
      <c r="F65" s="252">
        <v>1</v>
      </c>
      <c r="G65" s="499">
        <f t="shared" ref="G65:G66" si="12">H65/720</f>
        <v>9.6527777777777786</v>
      </c>
      <c r="H65" s="497">
        <f>C65*IAAS_vcpu_SEK+D65*IAAS_ram_SEK+E65*IAAS_nvme_SEK+F65*IAAS_gpu_SEK</f>
        <v>6950</v>
      </c>
      <c r="I65" s="223"/>
      <c r="J65" s="223"/>
      <c r="K65" s="223"/>
      <c r="L65" s="255" t="str">
        <f>L57</f>
        <v>Instanser</v>
      </c>
      <c r="M65" s="224">
        <f t="shared" ref="M65:M66" si="13">ROUNDUP(I65*H65,2)</f>
        <v>0</v>
      </c>
      <c r="N65" s="224">
        <f>J65*C65*SW_win.ser.201X_SEK+K65*C65*SW_ms.sql.ser_SEK</f>
        <v>0</v>
      </c>
      <c r="P65" s="225"/>
      <c r="U65" s="206"/>
      <c r="W65" s="206"/>
    </row>
    <row r="66" spans="2:24" s="197" customFormat="1" ht="25.5" customHeight="1">
      <c r="B66" s="522" t="s">
        <v>62</v>
      </c>
      <c r="C66" s="100">
        <v>8</v>
      </c>
      <c r="D66" s="100">
        <v>32</v>
      </c>
      <c r="E66" s="106">
        <v>500</v>
      </c>
      <c r="F66" s="248">
        <v>2</v>
      </c>
      <c r="G66" s="498">
        <f t="shared" si="12"/>
        <v>19.305555555555557</v>
      </c>
      <c r="H66" s="496">
        <f>C66*IAAS_vcpu_SEK+D66*IAAS_ram_SEK+E66*IAAS_nvme_SEK+F66*IAAS_gpu_SEK</f>
        <v>13900</v>
      </c>
      <c r="I66" s="223"/>
      <c r="J66" s="223"/>
      <c r="K66" s="223"/>
      <c r="L66" s="251" t="s">
        <v>18</v>
      </c>
      <c r="M66" s="229">
        <f t="shared" si="13"/>
        <v>0</v>
      </c>
      <c r="N66" s="229">
        <f>J66*C66*SW_win.ser.201X_SEK+K66*C66*SW_ms.sql.ser_SEK</f>
        <v>0</v>
      </c>
      <c r="P66" s="225"/>
      <c r="U66" s="206"/>
      <c r="W66" s="206"/>
    </row>
    <row r="67" spans="2:24" s="197" customFormat="1" ht="25.5" customHeight="1">
      <c r="B67" s="523" t="s">
        <v>63</v>
      </c>
      <c r="C67" s="102">
        <v>16</v>
      </c>
      <c r="D67" s="102">
        <v>64</v>
      </c>
      <c r="E67" s="107">
        <v>1000</v>
      </c>
      <c r="F67" s="252">
        <v>4</v>
      </c>
      <c r="G67" s="499">
        <f t="shared" ref="G67:G68" si="14">H67/720</f>
        <v>38.611111111111114</v>
      </c>
      <c r="H67" s="497">
        <f>C67*IAAS_vcpu_SEK+D67*IAAS_ram_SEK+E67*IAAS_nvme_SEK+F67*IAAS_gpu_SEK</f>
        <v>27800</v>
      </c>
      <c r="I67" s="223"/>
      <c r="J67" s="223"/>
      <c r="K67" s="223"/>
      <c r="L67" s="255" t="str">
        <f>L59</f>
        <v>Instanser</v>
      </c>
      <c r="M67" s="224">
        <f t="shared" ref="M67:M68" si="15">ROUNDUP(I67*H67,2)</f>
        <v>0</v>
      </c>
      <c r="N67" s="224">
        <f>J67*C67*SW_win.ser.201X_SEK+K67*C67*SW_ms.sql.ser_SEK</f>
        <v>0</v>
      </c>
      <c r="P67" s="225"/>
      <c r="U67" s="206"/>
      <c r="W67" s="206"/>
    </row>
    <row r="68" spans="2:24" s="197" customFormat="1" ht="25.5" customHeight="1">
      <c r="B68" s="522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98">
        <f t="shared" si="14"/>
        <v>60.555555555555557</v>
      </c>
      <c r="H68" s="496">
        <f>C68*IAAS_vcpu_SEK+D68*IAAS_ram_SEK+E68*IAAS_nvme_SEK+F68*IAAS_gpu_SEK</f>
        <v>43600</v>
      </c>
      <c r="I68" s="223"/>
      <c r="J68" s="223"/>
      <c r="K68" s="223"/>
      <c r="L68" s="251" t="s">
        <v>18</v>
      </c>
      <c r="M68" s="229">
        <f t="shared" si="15"/>
        <v>0</v>
      </c>
      <c r="N68" s="229">
        <f>J68*C68*SW_win.ser.201X_SEK+K68*C68*SW_ms.sql.ser_SEK</f>
        <v>0</v>
      </c>
      <c r="P68" s="225"/>
      <c r="U68" s="206"/>
      <c r="W68" s="206"/>
    </row>
    <row r="69" spans="2:24" s="274" customFormat="1" ht="25.5" customHeight="1">
      <c r="B69" s="520" t="s">
        <v>20</v>
      </c>
      <c r="C69" s="91"/>
      <c r="D69" s="91"/>
      <c r="E69" s="91"/>
      <c r="F69" s="231"/>
      <c r="G69" s="232"/>
      <c r="H69" s="233"/>
      <c r="I69" s="167" t="str">
        <f>SUM(I65:I68)&amp;" st"</f>
        <v>0 st</v>
      </c>
      <c r="J69" s="167" t="str">
        <f>SUM(J65:J68)&amp;" st"</f>
        <v>0 st</v>
      </c>
      <c r="K69" s="167" t="str">
        <f>SUM(K65:K68)&amp;" st"</f>
        <v>0 st</v>
      </c>
      <c r="L69" s="168"/>
      <c r="M69" s="92">
        <f>SUM(M65:M68)</f>
        <v>0</v>
      </c>
      <c r="N69" s="93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1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1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8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47">
      <c r="B73" s="517" t="s">
        <v>79</v>
      </c>
      <c r="C73" s="13" t="s">
        <v>70</v>
      </c>
      <c r="D73" s="13" t="s">
        <v>9</v>
      </c>
      <c r="E73" s="14" t="s">
        <v>109</v>
      </c>
      <c r="F73" s="279"/>
      <c r="G73" s="213" t="s">
        <v>11</v>
      </c>
      <c r="H73" s="213" t="s">
        <v>12</v>
      </c>
      <c r="I73" s="280" t="s">
        <v>13</v>
      </c>
      <c r="J73" s="280" t="s">
        <v>14</v>
      </c>
      <c r="K73" s="280" t="s">
        <v>15</v>
      </c>
      <c r="L73" s="215"/>
      <c r="M73" s="213" t="s">
        <v>16</v>
      </c>
      <c r="N73" s="213" t="s">
        <v>17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253">
        <f t="shared" ref="G74:G76" si="16">H74/720</f>
        <v>9.5</v>
      </c>
      <c r="H74" s="254">
        <f>INSTANCE_p1.2xlarge.16d_SEK</f>
        <v>6840</v>
      </c>
      <c r="I74" s="223"/>
      <c r="J74" s="223"/>
      <c r="K74" s="223"/>
      <c r="L74" s="220" t="s">
        <v>18</v>
      </c>
      <c r="M74" s="224">
        <f t="shared" ref="M74:M75" si="17">ROUNDUP(I74*H74,2)</f>
        <v>0</v>
      </c>
      <c r="N74" s="224">
        <f>J74*C74*SW_win.ser.201X_SEK+K74*C74*SW_ms.sql.ser_SEK</f>
        <v>0</v>
      </c>
      <c r="O74" s="207"/>
      <c r="P74" s="225"/>
    </row>
    <row r="75" spans="2:24" s="197" customFormat="1" ht="25.5" customHeight="1">
      <c r="B75" s="527" t="s">
        <v>67</v>
      </c>
      <c r="C75" s="95">
        <v>32</v>
      </c>
      <c r="D75" s="95">
        <v>256</v>
      </c>
      <c r="E75" s="97">
        <v>3800</v>
      </c>
      <c r="F75" s="282"/>
      <c r="G75" s="249">
        <f t="shared" si="16"/>
        <v>19</v>
      </c>
      <c r="H75" s="250">
        <f>INSTANCE_p1.4xlarge.16d_SEK</f>
        <v>13680</v>
      </c>
      <c r="I75" s="223"/>
      <c r="J75" s="223"/>
      <c r="K75" s="223"/>
      <c r="L75" s="226" t="str">
        <f t="shared" ref="L75" si="18">L74</f>
        <v>Instanser</v>
      </c>
      <c r="M75" s="229">
        <f t="shared" si="17"/>
        <v>0</v>
      </c>
      <c r="N75" s="229">
        <f>J75*C75*SW_win.ser.201X_SEK+K75*C75*SW_ms.sql.ser_SEK</f>
        <v>0</v>
      </c>
      <c r="O75" s="207"/>
      <c r="P75" s="225"/>
      <c r="X75" s="206"/>
    </row>
    <row r="76" spans="2:24" s="271" customFormat="1" ht="25.5" customHeight="1">
      <c r="B76" s="528" t="s">
        <v>68</v>
      </c>
      <c r="C76" s="96">
        <v>64</v>
      </c>
      <c r="D76" s="96">
        <v>512</v>
      </c>
      <c r="E76" s="98">
        <v>7600</v>
      </c>
      <c r="F76" s="283"/>
      <c r="G76" s="284">
        <f t="shared" si="16"/>
        <v>38</v>
      </c>
      <c r="H76" s="285">
        <f>INSTANCE_p1.8xlarge.32d_SEK</f>
        <v>27360</v>
      </c>
      <c r="I76" s="223"/>
      <c r="J76" s="223"/>
      <c r="K76" s="223"/>
      <c r="L76" s="220" t="s">
        <v>18</v>
      </c>
      <c r="M76" s="224">
        <f t="shared" ref="M76" si="19">ROUNDUP(I76*H76,2)</f>
        <v>0</v>
      </c>
      <c r="N76" s="224">
        <f>J76*C76*SW_win.ser.201X_SEK+K76*C76*SW_ms.sql.ser_SEK</f>
        <v>0</v>
      </c>
      <c r="O76" s="286"/>
      <c r="P76" s="287"/>
    </row>
    <row r="77" spans="2:24" ht="25.5" customHeight="1">
      <c r="B77" s="521" t="s">
        <v>20</v>
      </c>
      <c r="C77" s="21"/>
      <c r="D77" s="21"/>
      <c r="E77" s="21"/>
      <c r="F77" s="271"/>
      <c r="G77" s="271"/>
      <c r="H77" s="271"/>
      <c r="I77" s="167" t="str">
        <f>SUM(I74:I76)&amp;" st"</f>
        <v>0 st</v>
      </c>
      <c r="J77" s="167" t="str">
        <f>SUM(J74:J76)&amp;" st"</f>
        <v>0 st</v>
      </c>
      <c r="K77" s="167" t="str">
        <f>SUM(K74:K76)&amp;" st"</f>
        <v>0 st</v>
      </c>
      <c r="L77" s="168"/>
      <c r="M77" s="92">
        <f>SUM(M74:M76)</f>
        <v>0</v>
      </c>
      <c r="N77" s="93">
        <f>SUM(N74:N76)</f>
        <v>0</v>
      </c>
      <c r="O77" s="208"/>
      <c r="P77" s="211"/>
    </row>
    <row r="78" spans="2:24" ht="25.5" customHeight="1">
      <c r="B78" s="529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0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8" t="s">
        <v>21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7" t="s">
        <v>79</v>
      </c>
      <c r="C81" s="26" t="s">
        <v>185</v>
      </c>
      <c r="D81" s="26"/>
      <c r="E81" s="144" t="s">
        <v>11</v>
      </c>
      <c r="F81" s="593" t="s">
        <v>23</v>
      </c>
      <c r="G81" s="593"/>
      <c r="H81" s="591"/>
      <c r="I81" s="591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84">
        <f>F82/720</f>
        <v>1.6666666666666666E-3</v>
      </c>
      <c r="F82" s="610">
        <f>VOLUME_large_SEK</f>
        <v>1.2</v>
      </c>
      <c r="G82" s="610"/>
      <c r="H82" s="607"/>
      <c r="I82" s="607"/>
      <c r="J82" s="298"/>
      <c r="K82" s="554" t="s">
        <v>26</v>
      </c>
      <c r="L82" s="299"/>
      <c r="M82" s="300"/>
      <c r="N82" s="301">
        <f>ROUNDUP(J82*F82,2)</f>
        <v>0</v>
      </c>
      <c r="O82" s="207"/>
      <c r="P82" s="225"/>
    </row>
    <row r="83" spans="2:25" s="197" customFormat="1" ht="25.5" customHeight="1">
      <c r="B83" s="527" t="s">
        <v>180</v>
      </c>
      <c r="C83" s="43" t="s">
        <v>183</v>
      </c>
      <c r="D83" s="83"/>
      <c r="E83" s="85">
        <f>F83/720</f>
        <v>5.0000000000000001E-3</v>
      </c>
      <c r="F83" s="611">
        <f>VOLUME_fast_SEK</f>
        <v>3.6</v>
      </c>
      <c r="G83" s="611"/>
      <c r="H83" s="601"/>
      <c r="I83" s="601"/>
      <c r="J83" s="302"/>
      <c r="K83" s="555" t="s">
        <v>26</v>
      </c>
      <c r="L83" s="303"/>
      <c r="M83" s="304"/>
      <c r="N83" s="305">
        <f>ROUNDUP(J83*F83,2)</f>
        <v>0</v>
      </c>
      <c r="O83" s="207"/>
      <c r="P83" s="225"/>
      <c r="Y83" s="206"/>
    </row>
    <row r="84" spans="2:25" ht="25.5" customHeight="1">
      <c r="B84" s="520" t="s">
        <v>304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93">
        <f>SUM(N82:N83)</f>
        <v>0</v>
      </c>
      <c r="O84" s="208"/>
      <c r="P84" s="211"/>
    </row>
    <row r="85" spans="2:25" ht="25.5" customHeight="1">
      <c r="B85" s="79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69" t="s">
        <v>27</v>
      </c>
      <c r="C88" s="569"/>
      <c r="D88" s="569"/>
      <c r="E88" s="569"/>
      <c r="F88" s="569"/>
      <c r="G88" s="569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69"/>
      <c r="C89" s="569"/>
      <c r="D89" s="569"/>
      <c r="E89" s="569"/>
      <c r="F89" s="569"/>
      <c r="G89" s="569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69"/>
      <c r="C90" s="569"/>
      <c r="D90" s="569"/>
      <c r="E90" s="569"/>
      <c r="F90" s="569"/>
      <c r="G90" s="569"/>
      <c r="H90" s="193"/>
      <c r="J90" s="194"/>
      <c r="K90" s="194"/>
      <c r="M90" s="195"/>
      <c r="N90" s="195"/>
      <c r="P90" s="196"/>
    </row>
    <row r="91" spans="2:25" s="192" customFormat="1" ht="25.5" customHeight="1">
      <c r="B91" s="602" t="s">
        <v>195</v>
      </c>
      <c r="C91" s="602"/>
      <c r="D91" s="602"/>
      <c r="E91" s="602"/>
      <c r="F91" s="602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603" t="s">
        <v>110</v>
      </c>
      <c r="C92" s="603"/>
      <c r="D92" s="603"/>
      <c r="E92" s="603"/>
      <c r="F92" s="603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6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7" t="s">
        <v>79</v>
      </c>
      <c r="C95" s="12" t="s">
        <v>72</v>
      </c>
      <c r="D95" s="593" t="s">
        <v>71</v>
      </c>
      <c r="E95" s="593"/>
      <c r="F95" s="593"/>
      <c r="G95" s="593"/>
      <c r="H95" s="593"/>
      <c r="I95" s="593"/>
      <c r="J95" s="593"/>
      <c r="K95" s="593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8" t="s">
        <v>75</v>
      </c>
      <c r="C96" s="46" t="s">
        <v>97</v>
      </c>
      <c r="D96" s="605">
        <f>S3_storage.50_SEK</f>
        <v>350</v>
      </c>
      <c r="E96" s="605"/>
      <c r="F96" s="605"/>
      <c r="G96" s="605"/>
      <c r="H96" s="605"/>
      <c r="I96" s="605"/>
      <c r="J96" s="605"/>
      <c r="K96" s="605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19" t="s">
        <v>75</v>
      </c>
      <c r="C97" s="48" t="s">
        <v>117</v>
      </c>
      <c r="D97" s="590">
        <f>S3_storage.100_SEK</f>
        <v>270</v>
      </c>
      <c r="E97" s="590"/>
      <c r="F97" s="590"/>
      <c r="G97" s="590"/>
      <c r="H97" s="590"/>
      <c r="I97" s="590"/>
      <c r="J97" s="590"/>
      <c r="K97" s="590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8" t="s">
        <v>75</v>
      </c>
      <c r="C98" s="46" t="s">
        <v>118</v>
      </c>
      <c r="D98" s="599">
        <f>S3_storage.500_SEK</f>
        <v>200</v>
      </c>
      <c r="E98" s="599"/>
      <c r="F98" s="599"/>
      <c r="G98" s="599"/>
      <c r="H98" s="599"/>
      <c r="I98" s="599"/>
      <c r="J98" s="599"/>
      <c r="K98" s="599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19" t="s">
        <v>75</v>
      </c>
      <c r="C99" s="48" t="s">
        <v>119</v>
      </c>
      <c r="D99" s="590">
        <f>S3_storage.1000_SEK</f>
        <v>185</v>
      </c>
      <c r="E99" s="590"/>
      <c r="F99" s="590"/>
      <c r="G99" s="590"/>
      <c r="H99" s="590"/>
      <c r="I99" s="590"/>
      <c r="J99" s="590"/>
      <c r="K99" s="590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8" t="s">
        <v>75</v>
      </c>
      <c r="C100" s="46" t="s">
        <v>120</v>
      </c>
      <c r="D100" s="592" t="str">
        <f>S3_storage.quote_SEK</f>
        <v>Be om offert</v>
      </c>
      <c r="E100" s="592"/>
      <c r="F100" s="592"/>
      <c r="G100" s="592"/>
      <c r="H100" s="592"/>
      <c r="I100" s="592"/>
      <c r="J100" s="592"/>
      <c r="K100" s="592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5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6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7" t="s">
        <v>79</v>
      </c>
      <c r="C103" s="26"/>
      <c r="D103" s="26"/>
      <c r="E103" s="143" t="s">
        <v>11</v>
      </c>
      <c r="F103" s="593" t="s">
        <v>71</v>
      </c>
      <c r="G103" s="593"/>
      <c r="H103" s="292" t="s">
        <v>72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7" t="s">
        <v>75</v>
      </c>
      <c r="C104" s="86"/>
      <c r="D104" s="86"/>
      <c r="E104" s="27" cm="1">
        <f t="array" ref="E104">_xlfn.IFS(H104&lt;1001,F104/720,H104&gt;1000,D100)</f>
        <v>0.4861111111111111</v>
      </c>
      <c r="F104" s="613" cm="1">
        <f t="array" ref="F104">_xlfn.IFS(H104&lt;51,D96,H104&lt;101,D97,H104&lt;501,D98,H104&lt;1001,D99,H104&gt;1000,D100)</f>
        <v>350</v>
      </c>
      <c r="G104" s="614"/>
      <c r="H104" s="330"/>
      <c r="I104" s="556" t="s">
        <v>73</v>
      </c>
      <c r="J104" s="332"/>
      <c r="K104" s="332"/>
      <c r="L104" s="332"/>
      <c r="M104" s="333"/>
      <c r="N104" s="509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93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69" t="s">
        <v>32</v>
      </c>
      <c r="C109" s="569"/>
      <c r="D109" s="569"/>
      <c r="E109" s="569"/>
      <c r="F109" s="569"/>
      <c r="G109" s="569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69"/>
      <c r="C110" s="569"/>
      <c r="D110" s="569"/>
      <c r="E110" s="569"/>
      <c r="F110" s="569"/>
      <c r="G110" s="569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69"/>
      <c r="C111" s="569"/>
      <c r="D111" s="569"/>
      <c r="E111" s="569"/>
      <c r="F111" s="569"/>
      <c r="G111" s="569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96" t="s">
        <v>300</v>
      </c>
      <c r="C112" s="596"/>
      <c r="D112" s="596"/>
      <c r="E112" s="596"/>
      <c r="F112" s="596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71" t="s">
        <v>28</v>
      </c>
      <c r="C113" s="571"/>
      <c r="D113" s="571"/>
      <c r="E113" s="571"/>
      <c r="F113" s="571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33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7" t="s">
        <v>79</v>
      </c>
      <c r="C116" s="593" t="s">
        <v>34</v>
      </c>
      <c r="D116" s="593"/>
      <c r="E116" s="143" t="s">
        <v>11</v>
      </c>
      <c r="F116" s="593" t="s">
        <v>23</v>
      </c>
      <c r="G116" s="593"/>
      <c r="H116" s="292" t="s">
        <v>30</v>
      </c>
      <c r="I116" s="290"/>
      <c r="J116" s="591" t="s">
        <v>35</v>
      </c>
      <c r="K116" s="591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63" t="s">
        <v>106</v>
      </c>
      <c r="C117" s="560"/>
      <c r="D117" s="31" t="s">
        <v>25</v>
      </c>
      <c r="E117" s="31" t="s">
        <v>25</v>
      </c>
      <c r="F117" s="618">
        <f>BAAS_on.demand_SEK</f>
        <v>2.4500000000000002</v>
      </c>
      <c r="G117" s="619"/>
      <c r="H117" s="342"/>
      <c r="I117" s="554" t="s">
        <v>26</v>
      </c>
      <c r="J117" s="578" t="s">
        <v>25</v>
      </c>
      <c r="K117" s="578"/>
      <c r="L117" s="343"/>
      <c r="M117" s="299"/>
      <c r="N117" s="301">
        <f>ROUNDUP(H117*F117,2)</f>
        <v>0</v>
      </c>
      <c r="O117" s="277"/>
      <c r="P117" s="211"/>
    </row>
    <row r="118" spans="1:35" ht="25.5" customHeight="1">
      <c r="A118" s="341"/>
      <c r="B118" s="564" t="s">
        <v>107</v>
      </c>
      <c r="C118" s="562"/>
      <c r="D118" s="33">
        <v>5500</v>
      </c>
      <c r="E118" s="34" t="s">
        <v>25</v>
      </c>
      <c r="F118" s="621">
        <f>BAAS_small_SEK</f>
        <v>1.75</v>
      </c>
      <c r="G118" s="622"/>
      <c r="H118" s="344"/>
      <c r="I118" s="555" t="s">
        <v>26</v>
      </c>
      <c r="J118" s="582">
        <v>0.75</v>
      </c>
      <c r="K118" s="583"/>
      <c r="L118" s="303"/>
      <c r="M118" s="303"/>
      <c r="N118" s="305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65" t="s">
        <v>108</v>
      </c>
      <c r="C119" s="561"/>
      <c r="D119" s="35">
        <v>9500</v>
      </c>
      <c r="E119" s="37" t="s">
        <v>25</v>
      </c>
      <c r="F119" s="623">
        <f>BAAS_large_SEK</f>
        <v>0.92</v>
      </c>
      <c r="G119" s="624"/>
      <c r="H119" s="330"/>
      <c r="I119" s="556" t="s">
        <v>26</v>
      </c>
      <c r="J119" s="587">
        <v>0.75</v>
      </c>
      <c r="K119" s="588"/>
      <c r="L119" s="331"/>
      <c r="M119" s="331"/>
      <c r="N119" s="334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93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37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38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39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40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2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2" s="192" customFormat="1" ht="25.5" customHeight="1">
      <c r="B130" s="569" t="s">
        <v>47</v>
      </c>
      <c r="C130" s="569"/>
      <c r="D130" s="569"/>
      <c r="E130" s="569"/>
      <c r="F130" s="569"/>
      <c r="G130" s="569"/>
      <c r="H130" s="193"/>
      <c r="J130" s="194"/>
      <c r="K130" s="194"/>
      <c r="M130" s="195"/>
      <c r="N130" s="312"/>
      <c r="O130" s="207"/>
      <c r="P130" s="225"/>
    </row>
    <row r="131" spans="2:22" s="192" customFormat="1" ht="25.5" customHeight="1">
      <c r="B131" s="569"/>
      <c r="C131" s="569"/>
      <c r="D131" s="569"/>
      <c r="E131" s="569"/>
      <c r="F131" s="569"/>
      <c r="G131" s="569"/>
      <c r="H131" s="193"/>
      <c r="J131" s="194"/>
      <c r="K131" s="194"/>
      <c r="M131" s="195"/>
      <c r="N131" s="312"/>
      <c r="O131" s="207"/>
      <c r="P131" s="225"/>
    </row>
    <row r="132" spans="2:22" s="192" customFormat="1" ht="25.5" customHeight="1">
      <c r="B132" s="569"/>
      <c r="C132" s="569"/>
      <c r="D132" s="569"/>
      <c r="E132" s="569"/>
      <c r="F132" s="569"/>
      <c r="G132" s="569"/>
      <c r="H132" s="193"/>
      <c r="J132" s="194"/>
      <c r="K132" s="194"/>
      <c r="M132" s="195"/>
      <c r="N132" s="312"/>
      <c r="O132" s="207"/>
      <c r="P132" s="225"/>
    </row>
    <row r="133" spans="2:22" s="192" customFormat="1" ht="25.5" customHeight="1">
      <c r="B133" s="571" t="s">
        <v>28</v>
      </c>
      <c r="C133" s="571"/>
      <c r="D133" s="571"/>
      <c r="E133" s="571"/>
      <c r="F133" s="571"/>
      <c r="H133" s="193"/>
      <c r="J133" s="194"/>
      <c r="K133" s="194"/>
      <c r="M133" s="195"/>
      <c r="N133" s="312"/>
      <c r="O133" s="207"/>
      <c r="P133" s="225"/>
    </row>
    <row r="134" spans="2:22" s="192" customFormat="1" ht="25.5" customHeight="1">
      <c r="B134" s="571"/>
      <c r="C134" s="571"/>
      <c r="D134" s="571"/>
      <c r="E134" s="571"/>
      <c r="F134" s="571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2" s="192" customFormat="1" ht="25.5" customHeight="1">
      <c r="B135" s="145"/>
      <c r="C135" s="145"/>
      <c r="D135" s="145"/>
      <c r="E135" s="145"/>
      <c r="F135" s="205"/>
      <c r="G135" s="199"/>
      <c r="H135" s="200"/>
      <c r="I135" s="199"/>
      <c r="J135" s="201"/>
      <c r="K135" s="202"/>
      <c r="L135" s="199"/>
      <c r="M135" s="203"/>
      <c r="N135" s="312"/>
      <c r="O135" s="207"/>
      <c r="P135" s="225"/>
    </row>
    <row r="136" spans="2:22" s="207" customFormat="1" ht="25.5" customHeight="1">
      <c r="B136" s="23" t="s">
        <v>48</v>
      </c>
      <c r="C136" s="145"/>
      <c r="D136" s="145"/>
      <c r="E136" s="145"/>
      <c r="F136" s="205"/>
      <c r="G136" s="199"/>
      <c r="H136" s="199"/>
      <c r="I136" s="199"/>
      <c r="J136" s="201"/>
      <c r="K136" s="202"/>
      <c r="L136" s="199"/>
      <c r="M136" s="203"/>
      <c r="N136" s="312"/>
      <c r="P136" s="225"/>
      <c r="Q136" s="197"/>
      <c r="R136" s="197"/>
      <c r="S136" s="197"/>
      <c r="T136" s="197"/>
      <c r="U136" s="197"/>
      <c r="V136" s="197"/>
    </row>
    <row r="137" spans="2:22" ht="25.5" customHeight="1">
      <c r="B137" s="551" t="s">
        <v>79</v>
      </c>
      <c r="C137" s="25" t="s">
        <v>22</v>
      </c>
      <c r="D137" s="25"/>
      <c r="E137" s="26" t="s">
        <v>185</v>
      </c>
      <c r="F137" s="290"/>
      <c r="G137" s="290"/>
      <c r="H137" s="290"/>
      <c r="I137" s="290"/>
      <c r="J137" s="290"/>
      <c r="K137" s="290"/>
      <c r="L137" s="350" t="s">
        <v>49</v>
      </c>
      <c r="M137" s="350"/>
      <c r="N137" s="293" t="s">
        <v>12</v>
      </c>
      <c r="O137" s="218"/>
      <c r="P137" s="225"/>
      <c r="Q137" s="352"/>
      <c r="R137" s="351"/>
      <c r="S137" s="312"/>
      <c r="T137" s="207"/>
    </row>
    <row r="138" spans="2:22" ht="25.5" customHeight="1">
      <c r="B138" s="146" t="s">
        <v>167</v>
      </c>
      <c r="C138" s="141" t="s">
        <v>125</v>
      </c>
      <c r="D138" s="141"/>
      <c r="E138" s="41" t="s">
        <v>50</v>
      </c>
      <c r="F138" s="353"/>
      <c r="G138" s="353"/>
      <c r="H138" s="353"/>
      <c r="I138" s="353"/>
      <c r="J138" s="353"/>
      <c r="K138" s="353"/>
      <c r="L138" s="355" t="s">
        <v>178</v>
      </c>
      <c r="M138" s="355"/>
      <c r="N138" s="356">
        <f>NET_publicv4_SEK</f>
        <v>20</v>
      </c>
      <c r="O138" s="208"/>
      <c r="P138" s="225"/>
      <c r="Q138" s="209"/>
      <c r="R138" s="173"/>
      <c r="S138" s="312"/>
      <c r="T138" s="207"/>
    </row>
    <row r="139" spans="2:22" ht="25.5" customHeight="1">
      <c r="B139" s="149" t="s">
        <v>168</v>
      </c>
      <c r="C139" s="142" t="s">
        <v>124</v>
      </c>
      <c r="D139" s="142"/>
      <c r="E139" s="43" t="s">
        <v>50</v>
      </c>
      <c r="F139" s="357"/>
      <c r="G139" s="357"/>
      <c r="H139" s="357"/>
      <c r="I139" s="357"/>
      <c r="J139" s="357"/>
      <c r="K139" s="357"/>
      <c r="L139" s="359" t="s">
        <v>25</v>
      </c>
      <c r="M139" s="359"/>
      <c r="N139" s="360">
        <f>NET_publicv6_SEK</f>
        <v>0</v>
      </c>
      <c r="O139" s="208"/>
      <c r="P139" s="225"/>
      <c r="Q139" s="209"/>
      <c r="R139" s="173"/>
      <c r="S139" s="312"/>
      <c r="T139" s="207"/>
    </row>
    <row r="140" spans="2:22" ht="25.5" customHeight="1">
      <c r="B140" s="146" t="s">
        <v>173</v>
      </c>
      <c r="C140" s="141" t="s">
        <v>123</v>
      </c>
      <c r="D140" s="141"/>
      <c r="E140" s="160"/>
      <c r="F140" s="361"/>
      <c r="G140" s="361"/>
      <c r="H140" s="361"/>
      <c r="I140" s="361"/>
      <c r="J140" s="361"/>
      <c r="K140" s="361"/>
      <c r="L140" s="355" t="s">
        <v>26</v>
      </c>
      <c r="M140" s="355"/>
      <c r="N140" s="356">
        <f>NET_ingress_SEK</f>
        <v>0</v>
      </c>
      <c r="O140" s="208"/>
      <c r="P140" s="225"/>
      <c r="Q140" s="209"/>
      <c r="R140" s="173"/>
      <c r="S140" s="312"/>
      <c r="T140" s="207"/>
    </row>
    <row r="141" spans="2:22" ht="25.5" customHeight="1">
      <c r="B141" s="149" t="s">
        <v>174</v>
      </c>
      <c r="C141" s="142" t="s">
        <v>123</v>
      </c>
      <c r="D141" s="142"/>
      <c r="E141" s="43" t="s">
        <v>175</v>
      </c>
      <c r="F141" s="357"/>
      <c r="G141" s="357"/>
      <c r="H141" s="357"/>
      <c r="I141" s="357"/>
      <c r="J141" s="357"/>
      <c r="K141" s="357"/>
      <c r="L141" s="363" t="s">
        <v>26</v>
      </c>
      <c r="M141" s="363"/>
      <c r="N141" s="360">
        <f>NET_egress_SEK</f>
        <v>0.25</v>
      </c>
      <c r="O141" s="208"/>
      <c r="P141" s="225"/>
      <c r="Q141" s="209"/>
      <c r="R141" s="173"/>
      <c r="S141" s="312"/>
      <c r="T141" s="207"/>
    </row>
    <row r="142" spans="2:22" ht="25.5" customHeight="1">
      <c r="B142" s="146" t="s">
        <v>170</v>
      </c>
      <c r="C142" s="141" t="s">
        <v>126</v>
      </c>
      <c r="D142" s="141"/>
      <c r="E142" s="32"/>
      <c r="F142" s="361"/>
      <c r="G142" s="361"/>
      <c r="H142" s="361"/>
      <c r="I142" s="361"/>
      <c r="J142" s="361"/>
      <c r="K142" s="361"/>
      <c r="L142" s="355" t="s">
        <v>267</v>
      </c>
      <c r="M142" s="355"/>
      <c r="N142" s="356">
        <f>NET_mgn.slb_SEK</f>
        <v>300</v>
      </c>
      <c r="O142" s="173"/>
      <c r="P142" s="225"/>
      <c r="Q142" s="173"/>
      <c r="R142" s="364"/>
      <c r="T142" s="341"/>
    </row>
    <row r="143" spans="2:22" ht="25.5" customHeight="1">
      <c r="B143" s="149" t="s">
        <v>172</v>
      </c>
      <c r="C143" s="142" t="s">
        <v>128</v>
      </c>
      <c r="D143" s="142"/>
      <c r="E143" s="43"/>
      <c r="F143" s="357"/>
      <c r="G143" s="357"/>
      <c r="H143" s="357"/>
      <c r="I143" s="357"/>
      <c r="J143" s="357"/>
      <c r="K143" s="357"/>
      <c r="L143" s="359" t="s">
        <v>25</v>
      </c>
      <c r="M143" s="359"/>
      <c r="N143" s="360">
        <f>NET_rdns_SEK</f>
        <v>0</v>
      </c>
      <c r="O143" s="208"/>
      <c r="P143" s="225"/>
      <c r="Q143" s="209"/>
      <c r="R143" s="173"/>
      <c r="S143" s="312"/>
      <c r="T143" s="207"/>
    </row>
    <row r="144" spans="2:22" ht="25.5" customHeight="1">
      <c r="B144" s="146" t="s">
        <v>171</v>
      </c>
      <c r="C144" s="141" t="s">
        <v>127</v>
      </c>
      <c r="D144" s="141"/>
      <c r="E144" s="32"/>
      <c r="F144" s="361"/>
      <c r="G144" s="361"/>
      <c r="H144" s="361"/>
      <c r="I144" s="361"/>
      <c r="J144" s="361"/>
      <c r="K144" s="361"/>
      <c r="L144" s="366" t="s">
        <v>25</v>
      </c>
      <c r="M144" s="366"/>
      <c r="N144" s="356">
        <f>NET_saferoute_SEK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142" t="s">
        <v>122</v>
      </c>
      <c r="D145" s="142"/>
      <c r="E145" s="43"/>
      <c r="F145" s="357"/>
      <c r="G145" s="357"/>
      <c r="H145" s="357"/>
      <c r="I145" s="357"/>
      <c r="J145" s="357"/>
      <c r="K145" s="357"/>
      <c r="L145" s="359" t="s">
        <v>25</v>
      </c>
      <c r="M145" s="359"/>
      <c r="N145" s="360">
        <f>NET_byoip_SEK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153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8" t="s">
        <v>80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59" t="s">
        <v>79</v>
      </c>
      <c r="C148" s="25" t="s">
        <v>22</v>
      </c>
      <c r="D148" s="113"/>
      <c r="E148" s="113" t="s">
        <v>185</v>
      </c>
      <c r="F148" s="371"/>
      <c r="G148" s="371"/>
      <c r="H148" s="371"/>
      <c r="I148" s="371"/>
      <c r="J148" s="371"/>
      <c r="K148" s="371"/>
      <c r="L148" s="370" t="s">
        <v>49</v>
      </c>
      <c r="M148" s="370"/>
      <c r="N148" s="372" t="s">
        <v>12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3"/>
      <c r="H149" s="353"/>
      <c r="I149" s="353"/>
      <c r="J149" s="353"/>
      <c r="K149" s="353"/>
      <c r="L149" s="355" t="s">
        <v>8</v>
      </c>
      <c r="M149" s="355"/>
      <c r="N149" s="557">
        <f>SW_win.ser.201X_SEK</f>
        <v>78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7"/>
      <c r="H150" s="357"/>
      <c r="I150" s="357"/>
      <c r="J150" s="357"/>
      <c r="K150" s="357"/>
      <c r="L150" s="363" t="s">
        <v>8</v>
      </c>
      <c r="M150" s="363"/>
      <c r="N150" s="558">
        <f>SW_win.ser.201X_SEK</f>
        <v>78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3"/>
      <c r="H151" s="353"/>
      <c r="I151" s="353"/>
      <c r="J151" s="353"/>
      <c r="K151" s="353"/>
      <c r="L151" s="355" t="s">
        <v>8</v>
      </c>
      <c r="M151" s="355"/>
      <c r="N151" s="557">
        <f>SW_ms.sql.ser_SEK</f>
        <v>940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7"/>
      <c r="H152" s="357"/>
      <c r="I152" s="357"/>
      <c r="J152" s="357"/>
      <c r="K152" s="357"/>
      <c r="L152" s="363" t="s">
        <v>176</v>
      </c>
      <c r="M152" s="363"/>
      <c r="N152" s="558">
        <f>SW_stackn_SEK</f>
        <v>9800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3"/>
      <c r="H153" s="353"/>
      <c r="I153" s="353"/>
      <c r="J153" s="353"/>
      <c r="K153" s="353"/>
      <c r="L153" s="366" t="s">
        <v>25</v>
      </c>
      <c r="M153" s="366"/>
      <c r="N153" s="557" t="str">
        <f>SW_nextcloud_SEK</f>
        <v>Begär offert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7"/>
      <c r="H154" s="357"/>
      <c r="I154" s="357"/>
      <c r="J154" s="357"/>
      <c r="K154" s="357"/>
      <c r="L154" s="359" t="s">
        <v>25</v>
      </c>
      <c r="M154" s="359"/>
      <c r="N154" s="558" t="str">
        <f>SW_suse_SEK</f>
        <v>Begär offert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3"/>
      <c r="H155" s="353"/>
      <c r="I155" s="353"/>
      <c r="J155" s="353"/>
      <c r="K155" s="353"/>
      <c r="L155" s="366" t="s">
        <v>25</v>
      </c>
      <c r="M155" s="366"/>
      <c r="N155" s="557" t="str">
        <f>SW_cluster.control_SEK</f>
        <v>3x instanspris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7"/>
      <c r="H156" s="357"/>
      <c r="I156" s="357"/>
      <c r="J156" s="357"/>
      <c r="K156" s="357"/>
      <c r="L156" s="363" t="s">
        <v>177</v>
      </c>
      <c r="M156" s="363"/>
      <c r="N156" s="558">
        <f>SW_backup.ninja_SEK</f>
        <v>400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1"/>
      <c r="F157" s="374"/>
      <c r="G157" s="374"/>
      <c r="H157" s="374"/>
      <c r="I157" s="374"/>
      <c r="J157" s="374"/>
      <c r="K157" s="374"/>
      <c r="L157" s="375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3"/>
      <c r="J158" s="208"/>
      <c r="K158" s="208"/>
      <c r="L158" s="20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8" t="s">
        <v>87</v>
      </c>
      <c r="C159" s="15"/>
      <c r="D159" s="15"/>
      <c r="F159" s="218"/>
      <c r="G159" s="218"/>
      <c r="H159" s="218"/>
      <c r="I159" s="218"/>
      <c r="J159" s="218"/>
      <c r="K159" s="218"/>
      <c r="L159" s="218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1" t="s">
        <v>79</v>
      </c>
      <c r="C160" s="25"/>
      <c r="D160" s="25"/>
      <c r="E160" s="25" t="s">
        <v>185</v>
      </c>
      <c r="F160" s="290"/>
      <c r="G160" s="290"/>
      <c r="H160" s="290"/>
      <c r="I160" s="290"/>
      <c r="J160" s="290"/>
      <c r="K160" s="290"/>
      <c r="L160" s="293"/>
      <c r="M160" s="350"/>
      <c r="N160" s="293" t="s">
        <v>12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116</v>
      </c>
      <c r="F161" s="353"/>
      <c r="G161" s="353"/>
      <c r="H161" s="353"/>
      <c r="I161" s="353"/>
      <c r="J161" s="353"/>
      <c r="K161" s="353"/>
      <c r="L161" s="354"/>
      <c r="M161" s="620">
        <f>PAAS_man.kubernetes_SEK</f>
        <v>49000</v>
      </c>
      <c r="N161" s="620"/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7"/>
      <c r="H162" s="357"/>
      <c r="I162" s="357"/>
      <c r="J162" s="357"/>
      <c r="K162" s="357"/>
      <c r="L162" s="358"/>
      <c r="M162" s="615">
        <f>PAAS_man.postgres.sql_SEK</f>
        <v>19500</v>
      </c>
      <c r="N162" s="615"/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89</v>
      </c>
      <c r="F163" s="353"/>
      <c r="G163" s="353"/>
      <c r="H163" s="353"/>
      <c r="I163" s="353"/>
      <c r="J163" s="353"/>
      <c r="K163" s="353"/>
      <c r="L163" s="354"/>
      <c r="M163" s="616">
        <f>PAAS_man.elasticsearch_SEK</f>
        <v>19500</v>
      </c>
      <c r="N163" s="616"/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7"/>
      <c r="H164" s="357"/>
      <c r="I164" s="357"/>
      <c r="J164" s="357"/>
      <c r="K164" s="357"/>
      <c r="L164" s="358"/>
      <c r="M164" s="615">
        <f>PAAS_man.redis_SEK</f>
        <v>19000</v>
      </c>
      <c r="N164" s="615"/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3"/>
      <c r="H165" s="353"/>
      <c r="I165" s="353"/>
      <c r="J165" s="353"/>
      <c r="K165" s="353"/>
      <c r="L165" s="354"/>
      <c r="M165" s="616">
        <f>PAAS_man.nats_SEK</f>
        <v>19500</v>
      </c>
      <c r="N165" s="616"/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7"/>
      <c r="H166" s="357"/>
      <c r="I166" s="357"/>
      <c r="J166" s="357"/>
      <c r="K166" s="357"/>
      <c r="L166" s="358"/>
      <c r="M166" s="617">
        <f>PAAS_man.mariadb_SEK</f>
        <v>19500</v>
      </c>
      <c r="N166" s="617"/>
      <c r="O166" s="173"/>
      <c r="P166" s="225"/>
      <c r="Q166" s="173"/>
      <c r="R166" s="364"/>
      <c r="S166" s="312"/>
      <c r="T166" s="207"/>
    </row>
    <row r="167" spans="2:23" ht="25.5" customHeight="1">
      <c r="B167" s="109"/>
      <c r="C167" s="109"/>
      <c r="D167" s="450"/>
      <c r="E167" s="111"/>
      <c r="F167" s="374"/>
      <c r="G167" s="374"/>
      <c r="H167" s="374"/>
      <c r="I167" s="374"/>
      <c r="J167" s="374"/>
      <c r="K167" s="374"/>
      <c r="L167" s="375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69" t="s">
        <v>158</v>
      </c>
      <c r="C170" s="569"/>
      <c r="D170" s="569"/>
      <c r="E170" s="569"/>
      <c r="F170" s="569"/>
      <c r="G170" s="569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69"/>
      <c r="C171" s="569"/>
      <c r="D171" s="569"/>
      <c r="E171" s="569"/>
      <c r="F171" s="569"/>
      <c r="G171" s="569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69"/>
      <c r="C172" s="569"/>
      <c r="D172" s="569"/>
      <c r="E172" s="569"/>
      <c r="F172" s="569"/>
      <c r="G172" s="569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71" t="s">
        <v>28</v>
      </c>
      <c r="C173" s="571"/>
      <c r="D173" s="571"/>
      <c r="E173" s="571"/>
      <c r="F173" s="571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71"/>
      <c r="C174" s="571"/>
      <c r="D174" s="571"/>
      <c r="E174" s="571"/>
      <c r="F174" s="571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8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225"/>
      <c r="R176" s="312"/>
      <c r="S176" s="312"/>
      <c r="T176" s="207"/>
      <c r="V176" s="197"/>
      <c r="W176" s="197"/>
    </row>
    <row r="177" spans="2:23" ht="25.5" customHeight="1">
      <c r="B177" s="551" t="s">
        <v>79</v>
      </c>
      <c r="C177" s="25"/>
      <c r="D177" s="25" t="s">
        <v>185</v>
      </c>
      <c r="E177" s="144"/>
      <c r="F177" s="290"/>
      <c r="G177" s="293"/>
      <c r="H177" s="293"/>
      <c r="I177" s="293"/>
      <c r="J177" s="293"/>
      <c r="K177" s="293"/>
      <c r="L177" s="350" t="s">
        <v>49</v>
      </c>
      <c r="M177" s="350"/>
      <c r="N177" s="293" t="s">
        <v>36</v>
      </c>
      <c r="O177" s="309"/>
      <c r="P177" s="225"/>
      <c r="R177" s="312"/>
      <c r="S177" s="312"/>
      <c r="T177" s="207"/>
      <c r="V177" s="197"/>
      <c r="W177" s="197"/>
    </row>
    <row r="178" spans="2:23" ht="25.5" customHeight="1">
      <c r="B178" s="146" t="s">
        <v>163</v>
      </c>
      <c r="C178" s="141"/>
      <c r="D178" s="32" t="s">
        <v>160</v>
      </c>
      <c r="E178" s="42"/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515">
        <v>0</v>
      </c>
      <c r="O178" s="309"/>
      <c r="P178" s="225"/>
      <c r="R178" s="312"/>
      <c r="S178" s="312"/>
      <c r="T178" s="207"/>
      <c r="V178" s="197"/>
      <c r="W178" s="197"/>
    </row>
    <row r="179" spans="2:23" ht="25.5" customHeight="1">
      <c r="B179" s="149" t="s">
        <v>164</v>
      </c>
      <c r="C179" s="142"/>
      <c r="D179" s="40" t="s">
        <v>161</v>
      </c>
      <c r="E179" s="33"/>
      <c r="F179" s="357"/>
      <c r="G179" s="358"/>
      <c r="H179" s="358"/>
      <c r="I179" s="358"/>
      <c r="J179" s="358"/>
      <c r="K179" s="358"/>
      <c r="L179" s="363" t="s">
        <v>303</v>
      </c>
      <c r="M179" s="359"/>
      <c r="N179" s="514" t="s">
        <v>302</v>
      </c>
      <c r="O179" s="309"/>
      <c r="P179" s="225"/>
      <c r="R179" s="312"/>
      <c r="S179" s="312"/>
      <c r="T179" s="207"/>
      <c r="V179" s="197"/>
      <c r="W179" s="197"/>
    </row>
    <row r="180" spans="2:23" ht="25.5" customHeight="1">
      <c r="B180" s="146" t="s">
        <v>165</v>
      </c>
      <c r="C180" s="141"/>
      <c r="D180" s="32" t="s">
        <v>162</v>
      </c>
      <c r="E180" s="42"/>
      <c r="F180" s="353"/>
      <c r="G180" s="354"/>
      <c r="H180" s="354"/>
      <c r="I180" s="354"/>
      <c r="J180" s="354"/>
      <c r="K180" s="354"/>
      <c r="L180" s="355" t="s">
        <v>147</v>
      </c>
      <c r="M180" s="355"/>
      <c r="N180" s="515" t="s">
        <v>121</v>
      </c>
      <c r="O180" s="309"/>
      <c r="P180" s="225"/>
      <c r="R180" s="312"/>
      <c r="S180" s="312"/>
      <c r="T180" s="207"/>
      <c r="V180" s="197"/>
      <c r="W180" s="197"/>
    </row>
    <row r="181" spans="2:23" ht="25.5" customHeight="1">
      <c r="B181" s="112"/>
      <c r="C181" s="109"/>
      <c r="D181" s="450" t="s">
        <v>266</v>
      </c>
      <c r="E181" s="111"/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225"/>
      <c r="Q181" s="312"/>
      <c r="R181" s="312"/>
      <c r="S181" s="312"/>
      <c r="T181" s="207"/>
      <c r="V181" s="197"/>
      <c r="W181" s="197"/>
    </row>
    <row r="182" spans="2:23" ht="25.5" customHeight="1">
      <c r="B182" s="149"/>
      <c r="C182" s="142"/>
      <c r="D182" s="40"/>
      <c r="E182" s="33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225"/>
      <c r="Q182" s="312"/>
      <c r="R182" s="312"/>
      <c r="S182" s="312"/>
      <c r="T182" s="207"/>
      <c r="V182" s="197"/>
      <c r="W182" s="197"/>
    </row>
    <row r="183" spans="2:23" ht="25.5" customHeight="1">
      <c r="B183" s="478" t="s">
        <v>148</v>
      </c>
      <c r="C183" s="15"/>
      <c r="D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225"/>
      <c r="R183" s="312"/>
      <c r="S183" s="312"/>
      <c r="T183" s="207"/>
      <c r="V183" s="197"/>
      <c r="W183" s="197"/>
    </row>
    <row r="184" spans="2:23" ht="25.5" customHeight="1">
      <c r="B184" s="551" t="s">
        <v>79</v>
      </c>
      <c r="C184" s="25"/>
      <c r="D184" s="25" t="s">
        <v>185</v>
      </c>
      <c r="E184" s="144"/>
      <c r="F184" s="290"/>
      <c r="G184" s="293"/>
      <c r="H184" s="293"/>
      <c r="I184" s="293"/>
      <c r="J184" s="293"/>
      <c r="K184" s="293"/>
      <c r="L184" s="350" t="s">
        <v>49</v>
      </c>
      <c r="M184" s="350"/>
      <c r="N184" s="293" t="s">
        <v>36</v>
      </c>
      <c r="O184" s="309"/>
      <c r="P184" s="225"/>
      <c r="R184" s="312"/>
      <c r="S184" s="312"/>
      <c r="T184" s="207"/>
      <c r="V184" s="197"/>
      <c r="W184" s="197"/>
    </row>
    <row r="185" spans="2:23" ht="25.5" customHeight="1">
      <c r="B185" s="146" t="s">
        <v>205</v>
      </c>
      <c r="C185" s="141"/>
      <c r="D185" s="32" t="s">
        <v>141</v>
      </c>
      <c r="E185" s="42"/>
      <c r="F185" s="353"/>
      <c r="G185" s="354"/>
      <c r="H185" s="354"/>
      <c r="I185" s="354"/>
      <c r="J185" s="354"/>
      <c r="K185" s="354"/>
      <c r="L185" s="355" t="s">
        <v>147</v>
      </c>
      <c r="M185" s="355"/>
      <c r="N185" s="500">
        <f>PS_consult.jun_SEK</f>
        <v>1127</v>
      </c>
      <c r="O185" s="309"/>
      <c r="P185" s="225"/>
      <c r="R185" s="312"/>
      <c r="S185" s="312"/>
      <c r="T185" s="207"/>
      <c r="V185" s="197"/>
      <c r="W185" s="197"/>
    </row>
    <row r="186" spans="2:23" ht="25.5" customHeight="1">
      <c r="B186" s="149" t="s">
        <v>206</v>
      </c>
      <c r="C186" s="142"/>
      <c r="D186" s="40" t="s">
        <v>142</v>
      </c>
      <c r="E186" s="33"/>
      <c r="F186" s="357"/>
      <c r="G186" s="358"/>
      <c r="H186" s="358"/>
      <c r="I186" s="358"/>
      <c r="J186" s="358"/>
      <c r="K186" s="358"/>
      <c r="L186" s="363" t="s">
        <v>147</v>
      </c>
      <c r="M186" s="363"/>
      <c r="N186" s="501">
        <f>PS_consult.sen_SEK</f>
        <v>1374</v>
      </c>
      <c r="O186" s="309"/>
      <c r="P186" s="225"/>
      <c r="R186" s="312"/>
      <c r="S186" s="312"/>
      <c r="T186" s="207"/>
      <c r="V186" s="197"/>
      <c r="W186" s="197"/>
    </row>
    <row r="187" spans="2:23" ht="25.5" customHeight="1">
      <c r="B187" s="146" t="s">
        <v>207</v>
      </c>
      <c r="C187" s="141"/>
      <c r="D187" s="32" t="s">
        <v>143</v>
      </c>
      <c r="E187" s="42"/>
      <c r="F187" s="353"/>
      <c r="G187" s="354"/>
      <c r="H187" s="354"/>
      <c r="I187" s="354"/>
      <c r="J187" s="354"/>
      <c r="K187" s="354"/>
      <c r="L187" s="355" t="s">
        <v>147</v>
      </c>
      <c r="M187" s="355"/>
      <c r="N187" s="500">
        <f>PS_cloudarch.jun_SEK</f>
        <v>1277</v>
      </c>
      <c r="O187" s="309"/>
      <c r="P187" s="225"/>
      <c r="R187" s="312"/>
      <c r="S187" s="312"/>
      <c r="T187" s="207"/>
      <c r="V187" s="197"/>
      <c r="W187" s="197"/>
    </row>
    <row r="188" spans="2:23" ht="25.5" customHeight="1">
      <c r="B188" s="149" t="s">
        <v>208</v>
      </c>
      <c r="C188" s="142"/>
      <c r="D188" s="40" t="s">
        <v>144</v>
      </c>
      <c r="E188" s="40"/>
      <c r="F188" s="373"/>
      <c r="G188" s="358"/>
      <c r="H188" s="358"/>
      <c r="I188" s="358"/>
      <c r="J188" s="358"/>
      <c r="K188" s="358"/>
      <c r="L188" s="363" t="s">
        <v>147</v>
      </c>
      <c r="M188" s="363"/>
      <c r="N188" s="501">
        <f>PS_cloudarch.sen_SEK</f>
        <v>1374</v>
      </c>
      <c r="O188" s="309"/>
      <c r="P188" s="225"/>
      <c r="R188" s="312"/>
      <c r="S188" s="312"/>
      <c r="T188" s="207"/>
      <c r="V188" s="197"/>
      <c r="W188" s="197"/>
    </row>
    <row r="189" spans="2:23" ht="25.5" customHeight="1">
      <c r="B189" s="146" t="s">
        <v>209</v>
      </c>
      <c r="C189" s="141"/>
      <c r="D189" s="32" t="s">
        <v>145</v>
      </c>
      <c r="E189" s="42"/>
      <c r="F189" s="353"/>
      <c r="G189" s="354"/>
      <c r="H189" s="354"/>
      <c r="I189" s="354"/>
      <c r="J189" s="354"/>
      <c r="K189" s="354"/>
      <c r="L189" s="355" t="s">
        <v>147</v>
      </c>
      <c r="M189" s="355"/>
      <c r="N189" s="500">
        <f>PS_pm.jun_SEK</f>
        <v>1139</v>
      </c>
      <c r="O189" s="309"/>
      <c r="P189" s="225"/>
      <c r="R189" s="312"/>
      <c r="S189" s="312"/>
      <c r="T189" s="207"/>
      <c r="V189" s="197"/>
      <c r="W189" s="197"/>
    </row>
    <row r="190" spans="2:23" ht="25.5" customHeight="1">
      <c r="B190" s="149" t="s">
        <v>210</v>
      </c>
      <c r="C190" s="142"/>
      <c r="D190" s="40" t="s">
        <v>146</v>
      </c>
      <c r="E190" s="33"/>
      <c r="F190" s="357"/>
      <c r="G190" s="358"/>
      <c r="H190" s="358"/>
      <c r="I190" s="358"/>
      <c r="J190" s="358"/>
      <c r="K190" s="358"/>
      <c r="L190" s="363" t="s">
        <v>147</v>
      </c>
      <c r="M190" s="363"/>
      <c r="N190" s="501">
        <f>PS_pm.sen_SEK</f>
        <v>1374</v>
      </c>
      <c r="O190" s="309"/>
      <c r="P190" s="225"/>
      <c r="R190" s="312"/>
      <c r="S190" s="312"/>
      <c r="T190" s="207"/>
      <c r="V190" s="197"/>
      <c r="W190" s="197"/>
    </row>
    <row r="191" spans="2:23" ht="25.5" customHeight="1">
      <c r="B191" s="112"/>
      <c r="C191" s="109"/>
      <c r="D191" s="450"/>
      <c r="E191" s="111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225"/>
      <c r="Q191" s="312"/>
      <c r="R191" s="312"/>
      <c r="S191" s="312"/>
      <c r="T191" s="207"/>
      <c r="V191" s="197"/>
      <c r="W191" s="197"/>
    </row>
    <row r="192" spans="2:23" ht="25.5" customHeight="1">
      <c r="B192" s="142"/>
      <c r="C192" s="142"/>
      <c r="D192" s="40"/>
      <c r="E192" s="33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25"/>
      <c r="Q192" s="173"/>
      <c r="R192" s="364"/>
      <c r="S192" s="312"/>
      <c r="T192" s="207"/>
    </row>
    <row r="193" spans="1:23" ht="25.5" customHeight="1">
      <c r="B193" s="478" t="s">
        <v>149</v>
      </c>
      <c r="C193" s="15"/>
      <c r="D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225"/>
      <c r="R193" s="312"/>
      <c r="S193" s="312"/>
      <c r="T193" s="207"/>
      <c r="V193" s="197"/>
      <c r="W193" s="197"/>
    </row>
    <row r="194" spans="1:23" ht="25.5" customHeight="1">
      <c r="B194" s="551" t="s">
        <v>79</v>
      </c>
      <c r="C194" s="25"/>
      <c r="D194" s="25" t="s">
        <v>185</v>
      </c>
      <c r="E194" s="144"/>
      <c r="F194" s="290"/>
      <c r="G194" s="350" t="s">
        <v>151</v>
      </c>
      <c r="H194" s="350"/>
      <c r="I194" s="350"/>
      <c r="J194" s="350"/>
      <c r="K194" s="350"/>
      <c r="L194" s="350" t="s">
        <v>49</v>
      </c>
      <c r="M194" s="350"/>
      <c r="N194" s="293" t="s">
        <v>36</v>
      </c>
      <c r="O194" s="309"/>
      <c r="P194" s="225"/>
      <c r="R194" s="312"/>
      <c r="S194" s="312"/>
      <c r="T194" s="207"/>
      <c r="V194" s="197"/>
      <c r="W194" s="197"/>
    </row>
    <row r="195" spans="1:23" ht="25.5" customHeight="1">
      <c r="B195" s="146" t="s">
        <v>201</v>
      </c>
      <c r="C195" s="141"/>
      <c r="D195" s="32" t="s">
        <v>154</v>
      </c>
      <c r="E195" s="42"/>
      <c r="F195" s="353"/>
      <c r="G195" s="355" t="s">
        <v>152</v>
      </c>
      <c r="H195" s="355"/>
      <c r="I195" s="355"/>
      <c r="J195" s="355"/>
      <c r="K195" s="355"/>
      <c r="L195" s="355" t="s">
        <v>150</v>
      </c>
      <c r="M195" s="355"/>
      <c r="N195" s="515" t="s">
        <v>121</v>
      </c>
      <c r="O195" s="309"/>
      <c r="P195" s="225"/>
      <c r="R195" s="312"/>
      <c r="S195" s="312"/>
      <c r="T195" s="207"/>
      <c r="V195" s="197"/>
      <c r="W195" s="197"/>
    </row>
    <row r="196" spans="1:23" ht="25.5" customHeight="1">
      <c r="B196" s="149" t="s">
        <v>202</v>
      </c>
      <c r="C196" s="142"/>
      <c r="D196" s="40" t="s">
        <v>155</v>
      </c>
      <c r="E196" s="33"/>
      <c r="F196" s="357"/>
      <c r="G196" s="363" t="s">
        <v>152</v>
      </c>
      <c r="H196" s="363"/>
      <c r="I196" s="363"/>
      <c r="J196" s="363"/>
      <c r="K196" s="363"/>
      <c r="L196" s="363" t="s">
        <v>150</v>
      </c>
      <c r="M196" s="363"/>
      <c r="N196" s="514" t="s">
        <v>121</v>
      </c>
      <c r="O196" s="309"/>
      <c r="P196" s="225"/>
      <c r="R196" s="312"/>
      <c r="S196" s="312"/>
      <c r="T196" s="207"/>
      <c r="V196" s="197"/>
      <c r="W196" s="197"/>
    </row>
    <row r="197" spans="1:23" ht="25.5" customHeight="1">
      <c r="B197" s="146" t="s">
        <v>203</v>
      </c>
      <c r="C197" s="141"/>
      <c r="D197" s="32" t="s">
        <v>156</v>
      </c>
      <c r="E197" s="42"/>
      <c r="F197" s="353"/>
      <c r="G197" s="355" t="s">
        <v>153</v>
      </c>
      <c r="H197" s="355"/>
      <c r="I197" s="355"/>
      <c r="J197" s="355"/>
      <c r="K197" s="355"/>
      <c r="L197" s="355" t="s">
        <v>150</v>
      </c>
      <c r="M197" s="355"/>
      <c r="N197" s="515" t="s">
        <v>121</v>
      </c>
      <c r="O197" s="309"/>
      <c r="P197" s="225"/>
      <c r="R197" s="312"/>
      <c r="S197" s="312"/>
      <c r="T197" s="207"/>
      <c r="V197" s="197"/>
      <c r="W197" s="197"/>
    </row>
    <row r="198" spans="1:23" ht="25.5" customHeight="1">
      <c r="B198" s="149" t="s">
        <v>204</v>
      </c>
      <c r="C198" s="142"/>
      <c r="D198" s="40" t="s">
        <v>157</v>
      </c>
      <c r="E198" s="33"/>
      <c r="F198" s="357"/>
      <c r="G198" s="363" t="s">
        <v>153</v>
      </c>
      <c r="H198" s="363"/>
      <c r="I198" s="363"/>
      <c r="J198" s="363"/>
      <c r="K198" s="363"/>
      <c r="L198" s="363" t="s">
        <v>150</v>
      </c>
      <c r="M198" s="363"/>
      <c r="N198" s="514" t="s">
        <v>121</v>
      </c>
      <c r="O198" s="309"/>
      <c r="P198" s="225"/>
      <c r="R198" s="312"/>
      <c r="S198" s="312"/>
      <c r="T198" s="207"/>
      <c r="V198" s="197"/>
      <c r="W198" s="197"/>
    </row>
    <row r="199" spans="1:23" ht="25.5" customHeight="1">
      <c r="B199" s="109"/>
      <c r="C199" s="109"/>
      <c r="D199" s="450"/>
      <c r="E199" s="111"/>
      <c r="F199" s="374"/>
      <c r="G199" s="375"/>
      <c r="H199" s="375"/>
      <c r="I199" s="375"/>
      <c r="J199" s="375"/>
      <c r="K199" s="375"/>
      <c r="L199" s="375"/>
      <c r="M199" s="375"/>
      <c r="N199" s="377"/>
      <c r="O199" s="309"/>
      <c r="P199" s="225"/>
      <c r="Q199" s="312"/>
      <c r="R199" s="312"/>
      <c r="S199" s="312"/>
      <c r="T199" s="207"/>
      <c r="V199" s="197"/>
      <c r="W199" s="197"/>
    </row>
    <row r="200" spans="1:23" ht="25.5" customHeight="1">
      <c r="B200" s="30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2"/>
      <c r="B201" s="68"/>
      <c r="C201" s="62"/>
      <c r="D201" s="62"/>
      <c r="E201" s="62"/>
      <c r="F201" s="383"/>
      <c r="G201" s="384"/>
      <c r="H201" s="385"/>
      <c r="I201" s="385"/>
      <c r="J201" s="385"/>
      <c r="K201" s="386"/>
      <c r="L201" s="387"/>
      <c r="M201" s="387"/>
      <c r="N201" s="387"/>
      <c r="O201" s="388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89"/>
      <c r="G202" s="390"/>
      <c r="H202" s="391"/>
      <c r="I202" s="391"/>
      <c r="J202" s="391"/>
      <c r="K202" s="392"/>
      <c r="L202" s="393"/>
      <c r="M202" s="393"/>
      <c r="N202" s="393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89"/>
      <c r="G203" s="390"/>
      <c r="H203" s="391"/>
      <c r="I203" s="391"/>
      <c r="J203" s="391"/>
      <c r="K203" s="392"/>
      <c r="L203" s="393"/>
      <c r="M203" s="393"/>
      <c r="N203" s="393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89"/>
      <c r="G204" s="390"/>
      <c r="H204" s="391"/>
      <c r="I204" s="391"/>
      <c r="J204" s="391"/>
      <c r="K204" s="392"/>
      <c r="L204" s="393"/>
      <c r="M204" s="393"/>
      <c r="N204" s="393"/>
      <c r="O204" s="174"/>
      <c r="P204" s="196"/>
    </row>
    <row r="205" spans="1:23" s="192" customFormat="1" ht="25.5" customHeight="1">
      <c r="A205" s="174"/>
      <c r="B205" s="572" t="s">
        <v>42</v>
      </c>
      <c r="C205" s="572"/>
      <c r="D205" s="572"/>
      <c r="E205" s="572"/>
      <c r="F205" s="572"/>
      <c r="G205" s="572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572"/>
      <c r="C206" s="572"/>
      <c r="D206" s="572"/>
      <c r="E206" s="572"/>
      <c r="F206" s="572"/>
      <c r="G206" s="572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572"/>
      <c r="C207" s="572"/>
      <c r="D207" s="572"/>
      <c r="E207" s="572"/>
      <c r="F207" s="572"/>
      <c r="G207" s="572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612" t="s">
        <v>28</v>
      </c>
      <c r="C208" s="612"/>
      <c r="D208" s="612"/>
      <c r="E208" s="612"/>
      <c r="F208" s="612"/>
      <c r="G208" s="174"/>
      <c r="H208" s="177"/>
      <c r="I208" s="174"/>
      <c r="J208" s="178"/>
      <c r="K208" s="178"/>
      <c r="L208" s="174"/>
      <c r="M208" s="179"/>
      <c r="N208" s="179"/>
      <c r="O208" s="394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4"/>
      <c r="P209" s="204"/>
    </row>
    <row r="210" spans="1:23" s="192" customFormat="1" ht="25.5" customHeight="1">
      <c r="A210" s="174"/>
      <c r="B210" s="70" t="s">
        <v>166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4"/>
      <c r="P210" s="204"/>
    </row>
    <row r="211" spans="1:23" s="192" customFormat="1" ht="25.5" customHeight="1">
      <c r="A211" s="174"/>
      <c r="B211" s="482" t="s">
        <v>1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4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5"/>
      <c r="G212" s="394"/>
      <c r="H212" s="396"/>
      <c r="I212" s="394"/>
      <c r="J212" s="397"/>
      <c r="K212" s="398"/>
      <c r="L212" s="394"/>
      <c r="M212" s="399"/>
      <c r="N212" s="399"/>
      <c r="O212" s="394"/>
      <c r="P212" s="204"/>
    </row>
    <row r="213" spans="1:23" s="267" customFormat="1" ht="25.5" customHeight="1">
      <c r="A213" s="400"/>
      <c r="B213" s="147"/>
      <c r="C213" s="147"/>
      <c r="D213" s="147"/>
      <c r="E213" s="147"/>
      <c r="F213" s="401"/>
      <c r="G213" s="394"/>
      <c r="H213" s="396"/>
      <c r="I213" s="394"/>
      <c r="J213" s="397"/>
      <c r="K213" s="398"/>
      <c r="L213" s="394"/>
      <c r="M213" s="399"/>
      <c r="N213" s="399"/>
      <c r="O213" s="400"/>
      <c r="P213" s="328"/>
      <c r="Q213" s="402"/>
      <c r="R213" s="295"/>
      <c r="S213" s="295"/>
      <c r="T213" s="295"/>
      <c r="U213" s="295"/>
      <c r="V213" s="295"/>
      <c r="W213" s="295"/>
    </row>
    <row r="214" spans="1:23" ht="25.5" customHeight="1">
      <c r="A214" s="403"/>
      <c r="B214" s="57" t="s">
        <v>41</v>
      </c>
      <c r="C214" s="58"/>
      <c r="D214" s="59"/>
      <c r="E214" s="58"/>
      <c r="F214" s="405"/>
      <c r="G214" s="405"/>
      <c r="H214" s="405"/>
      <c r="I214" s="405"/>
      <c r="J214" s="405"/>
      <c r="K214" s="404"/>
      <c r="L214" s="404"/>
      <c r="M214" s="405" t="s">
        <v>42</v>
      </c>
      <c r="N214" s="406"/>
      <c r="O214" s="407"/>
      <c r="P214" s="211"/>
      <c r="Q214" s="349"/>
    </row>
    <row r="215" spans="1:23" ht="25.5" customHeight="1">
      <c r="A215" s="403"/>
      <c r="B215" s="574" t="s">
        <v>43</v>
      </c>
      <c r="C215" s="574"/>
      <c r="D215" s="72"/>
      <c r="E215" s="73"/>
      <c r="F215" s="408"/>
      <c r="G215" s="409"/>
      <c r="H215" s="409"/>
      <c r="I215" s="409"/>
      <c r="J215" s="409"/>
      <c r="K215" s="410"/>
      <c r="L215" s="410"/>
      <c r="M215" s="411">
        <f>M69+M77+M60+M36+N84</f>
        <v>0</v>
      </c>
      <c r="N215" s="301"/>
      <c r="O215" s="403"/>
      <c r="P215" s="211"/>
      <c r="Q215" s="349"/>
    </row>
    <row r="216" spans="1:23" ht="25.5" customHeight="1">
      <c r="A216" s="403"/>
      <c r="B216" s="566" t="s">
        <v>44</v>
      </c>
      <c r="C216" s="566"/>
      <c r="D216" s="74"/>
      <c r="E216" s="75"/>
      <c r="F216" s="412"/>
      <c r="G216" s="413"/>
      <c r="H216" s="413"/>
      <c r="I216" s="413"/>
      <c r="J216" s="413"/>
      <c r="K216" s="414"/>
      <c r="L216" s="414"/>
      <c r="M216" s="415">
        <f>N105</f>
        <v>0</v>
      </c>
      <c r="N216" s="301"/>
      <c r="O216" s="403"/>
      <c r="P216" s="211"/>
      <c r="Q216" s="349"/>
    </row>
    <row r="217" spans="1:23" ht="25.5" customHeight="1">
      <c r="A217" s="403"/>
      <c r="B217" s="148" t="s">
        <v>45</v>
      </c>
      <c r="C217" s="148"/>
      <c r="D217" s="74"/>
      <c r="E217" s="75"/>
      <c r="F217" s="412"/>
      <c r="G217" s="413"/>
      <c r="H217" s="413"/>
      <c r="I217" s="413"/>
      <c r="J217" s="413"/>
      <c r="K217" s="414"/>
      <c r="L217" s="414"/>
      <c r="M217" s="415">
        <f>N120</f>
        <v>0</v>
      </c>
      <c r="N217" s="301"/>
      <c r="O217" s="403"/>
      <c r="P217" s="211"/>
      <c r="Q217" s="349"/>
    </row>
    <row r="218" spans="1:23" s="419" customFormat="1" ht="25.5" customHeight="1">
      <c r="A218" s="416"/>
      <c r="B218" s="567" t="s">
        <v>46</v>
      </c>
      <c r="C218" s="567"/>
      <c r="D218" s="35"/>
      <c r="E218" s="36"/>
      <c r="F218" s="346"/>
      <c r="G218" s="417"/>
      <c r="H218" s="417"/>
      <c r="I218" s="417"/>
      <c r="J218" s="417"/>
      <c r="K218" s="331"/>
      <c r="L218" s="331"/>
      <c r="M218" s="334">
        <f>N69+N77+N60+N36</f>
        <v>0</v>
      </c>
      <c r="N218" s="301"/>
      <c r="O218" s="416"/>
      <c r="P218" s="418"/>
    </row>
    <row r="219" spans="1:23" ht="25.5" customHeight="1">
      <c r="A219" s="403"/>
      <c r="B219" s="60" t="s">
        <v>20</v>
      </c>
      <c r="C219" s="61"/>
      <c r="D219" s="61"/>
      <c r="E219" s="61"/>
      <c r="F219" s="420"/>
      <c r="G219" s="421"/>
      <c r="H219" s="421"/>
      <c r="I219" s="421"/>
      <c r="J219" s="609">
        <f>SUM(M215:M218)</f>
        <v>0</v>
      </c>
      <c r="K219" s="609"/>
      <c r="L219" s="609"/>
      <c r="M219" s="609"/>
      <c r="N219" s="422"/>
      <c r="O219" s="403"/>
      <c r="P219" s="211"/>
    </row>
    <row r="220" spans="1:23" ht="25.5" customHeight="1">
      <c r="A220" s="403"/>
      <c r="B220" s="60"/>
      <c r="C220" s="61"/>
      <c r="D220" s="61"/>
      <c r="E220" s="61"/>
      <c r="F220" s="420"/>
      <c r="G220" s="421"/>
      <c r="H220" s="421"/>
      <c r="I220" s="421"/>
      <c r="J220" s="422"/>
      <c r="K220" s="422"/>
      <c r="L220" s="422"/>
      <c r="M220" s="422"/>
      <c r="N220" s="422"/>
      <c r="O220" s="403"/>
      <c r="P220" s="211"/>
    </row>
    <row r="221" spans="1:23" ht="25.5" customHeight="1">
      <c r="A221" s="403"/>
      <c r="B221" s="32"/>
      <c r="C221" s="32"/>
      <c r="D221" s="38"/>
      <c r="E221" s="39"/>
      <c r="F221" s="354"/>
      <c r="G221" s="356"/>
      <c r="H221" s="353"/>
      <c r="I221" s="299"/>
      <c r="J221" s="423"/>
      <c r="K221" s="299"/>
      <c r="L221" s="424"/>
      <c r="M221" s="301"/>
      <c r="N221" s="301"/>
      <c r="O221" s="403"/>
      <c r="P221" s="211"/>
    </row>
    <row r="222" spans="1:23" ht="25.5" customHeight="1">
      <c r="A222" s="425"/>
      <c r="B222" s="44"/>
      <c r="C222" s="44"/>
      <c r="D222" s="35"/>
      <c r="E222" s="36"/>
      <c r="F222" s="427"/>
      <c r="G222" s="417"/>
      <c r="H222" s="426"/>
      <c r="I222" s="331"/>
      <c r="J222" s="428"/>
      <c r="K222" s="331"/>
      <c r="L222" s="429"/>
      <c r="M222" s="334"/>
      <c r="N222" s="334"/>
      <c r="O222" s="430"/>
      <c r="P222" s="211"/>
    </row>
    <row r="223" spans="1:23" s="431" customFormat="1" ht="24" customHeight="1">
      <c r="B223" s="115"/>
      <c r="C223" s="115"/>
      <c r="D223" s="116"/>
      <c r="E223" s="117"/>
      <c r="F223" s="433"/>
      <c r="G223" s="434"/>
      <c r="H223" s="432"/>
      <c r="I223" s="435"/>
      <c r="J223" s="436"/>
      <c r="K223" s="435"/>
      <c r="L223" s="437"/>
      <c r="M223" s="438"/>
      <c r="N223" s="438"/>
      <c r="O223" s="439"/>
    </row>
    <row r="224" spans="1:23" s="431" customFormat="1" ht="24" customHeight="1">
      <c r="B224" s="115"/>
      <c r="C224" s="115"/>
      <c r="D224" s="115"/>
      <c r="E224" s="115"/>
      <c r="F224" s="440"/>
      <c r="G224" s="441"/>
      <c r="H224" s="442"/>
      <c r="I224" s="442"/>
      <c r="J224" s="442"/>
      <c r="K224" s="443"/>
      <c r="L224" s="438"/>
      <c r="M224" s="438"/>
      <c r="N224" s="438"/>
      <c r="O224" s="439"/>
    </row>
    <row r="225" spans="1:23" s="431" customFormat="1" ht="24" customHeight="1">
      <c r="B225" s="115"/>
      <c r="C225" s="115"/>
      <c r="D225" s="115"/>
      <c r="E225" s="115"/>
      <c r="F225" s="440"/>
      <c r="G225" s="441"/>
      <c r="H225" s="442"/>
      <c r="I225" s="442"/>
      <c r="J225" s="442"/>
      <c r="K225" s="443"/>
      <c r="L225" s="438"/>
      <c r="M225" s="438"/>
      <c r="N225" s="438"/>
      <c r="O225" s="439"/>
    </row>
    <row r="226" spans="1:23" s="431" customFormat="1" ht="24" customHeight="1">
      <c r="B226" s="115"/>
      <c r="C226" s="115"/>
      <c r="D226" s="115"/>
      <c r="E226" s="115"/>
      <c r="F226" s="440"/>
      <c r="G226" s="441"/>
      <c r="H226" s="442"/>
      <c r="I226" s="442"/>
      <c r="J226" s="442"/>
      <c r="K226" s="443"/>
      <c r="L226" s="438"/>
      <c r="M226" s="438"/>
      <c r="N226" s="438"/>
      <c r="O226" s="439"/>
    </row>
    <row r="227" spans="1:23" s="431" customFormat="1" ht="24" customHeight="1">
      <c r="B227" s="115"/>
      <c r="C227" s="115"/>
      <c r="D227" s="115"/>
      <c r="E227" s="115"/>
      <c r="F227" s="440"/>
      <c r="G227" s="441"/>
      <c r="H227" s="442"/>
      <c r="I227" s="442"/>
      <c r="J227" s="442"/>
      <c r="K227" s="443"/>
      <c r="L227" s="438"/>
      <c r="M227" s="438"/>
      <c r="N227" s="438"/>
      <c r="O227" s="439"/>
    </row>
    <row r="228" spans="1:23" s="431" customFormat="1" ht="24" customHeight="1">
      <c r="B228" s="115"/>
      <c r="C228" s="115"/>
      <c r="D228" s="115"/>
      <c r="E228" s="115"/>
      <c r="F228" s="440"/>
      <c r="G228" s="441"/>
      <c r="H228" s="442"/>
      <c r="I228" s="442"/>
      <c r="J228" s="442"/>
      <c r="K228" s="443"/>
      <c r="L228" s="438"/>
      <c r="M228" s="438"/>
      <c r="N228" s="438"/>
      <c r="O228" s="439"/>
    </row>
    <row r="229" spans="1:23" s="431" customFormat="1" ht="24" customHeight="1">
      <c r="B229" s="115"/>
      <c r="C229" s="115"/>
      <c r="D229" s="115"/>
      <c r="E229" s="115"/>
      <c r="F229" s="440"/>
      <c r="G229" s="441"/>
      <c r="H229" s="442"/>
      <c r="I229" s="442"/>
      <c r="J229" s="442"/>
      <c r="K229" s="443"/>
      <c r="L229" s="438"/>
      <c r="M229" s="438"/>
      <c r="N229" s="438"/>
      <c r="O229" s="439"/>
    </row>
    <row r="230" spans="1:23" s="431" customFormat="1" ht="24" customHeight="1">
      <c r="B230" s="115"/>
      <c r="C230" s="115"/>
      <c r="D230" s="115"/>
      <c r="E230" s="115"/>
      <c r="F230" s="440"/>
      <c r="G230" s="441"/>
      <c r="H230" s="442"/>
      <c r="I230" s="442"/>
      <c r="J230" s="442"/>
      <c r="K230" s="443"/>
      <c r="L230" s="438"/>
      <c r="M230" s="438"/>
      <c r="N230" s="438"/>
      <c r="O230" s="439"/>
    </row>
    <row r="231" spans="1:23" s="431" customFormat="1" ht="24" customHeight="1">
      <c r="B231" s="115"/>
      <c r="C231" s="115"/>
      <c r="D231" s="115"/>
      <c r="E231" s="115"/>
      <c r="F231" s="440"/>
      <c r="G231" s="441"/>
      <c r="H231" s="442"/>
      <c r="I231" s="442"/>
      <c r="J231" s="442"/>
      <c r="K231" s="443"/>
      <c r="L231" s="438"/>
      <c r="M231" s="438"/>
      <c r="N231" s="438"/>
      <c r="O231" s="439"/>
    </row>
    <row r="232" spans="1:23" s="431" customFormat="1" ht="24" customHeight="1">
      <c r="B232" s="115"/>
      <c r="C232" s="115"/>
      <c r="D232" s="115"/>
      <c r="E232" s="115"/>
      <c r="F232" s="440"/>
      <c r="G232" s="441"/>
      <c r="H232" s="442"/>
      <c r="I232" s="442"/>
      <c r="J232" s="442"/>
      <c r="K232" s="443"/>
      <c r="L232" s="438"/>
      <c r="M232" s="438"/>
      <c r="N232" s="438"/>
      <c r="O232" s="439"/>
    </row>
    <row r="233" spans="1:23" s="444" customFormat="1" ht="24" customHeight="1">
      <c r="A233" s="431"/>
      <c r="B233" s="115"/>
      <c r="C233" s="115"/>
      <c r="D233" s="115"/>
      <c r="E233" s="115"/>
      <c r="F233" s="440"/>
      <c r="G233" s="441"/>
      <c r="H233" s="442"/>
      <c r="I233" s="442"/>
      <c r="J233" s="442"/>
      <c r="K233" s="443"/>
      <c r="L233" s="438"/>
      <c r="M233" s="438"/>
      <c r="N233" s="438"/>
      <c r="O233" s="439"/>
      <c r="P233" s="431"/>
      <c r="Q233" s="431"/>
      <c r="R233" s="431"/>
      <c r="S233" s="431"/>
      <c r="T233" s="431"/>
      <c r="U233" s="431"/>
      <c r="V233" s="431"/>
      <c r="W233" s="431"/>
    </row>
    <row r="234" spans="1:23" s="431" customFormat="1" ht="24" customHeight="1">
      <c r="B234" s="115"/>
      <c r="C234" s="115"/>
      <c r="D234" s="115"/>
      <c r="E234" s="115"/>
      <c r="F234" s="440"/>
      <c r="G234" s="441"/>
      <c r="H234" s="442"/>
      <c r="I234" s="442"/>
      <c r="J234" s="442"/>
      <c r="K234" s="443"/>
      <c r="L234" s="438"/>
      <c r="M234" s="438"/>
      <c r="N234" s="438"/>
      <c r="O234" s="439"/>
    </row>
    <row r="235" spans="1:23" s="431" customFormat="1" ht="24" customHeight="1">
      <c r="B235" s="115"/>
      <c r="C235" s="115"/>
      <c r="D235" s="115"/>
      <c r="E235" s="115"/>
      <c r="F235" s="440"/>
      <c r="G235" s="441"/>
      <c r="H235" s="442"/>
      <c r="I235" s="442"/>
      <c r="J235" s="442"/>
      <c r="K235" s="443"/>
      <c r="L235" s="438"/>
      <c r="M235" s="438"/>
      <c r="N235" s="438"/>
      <c r="O235" s="439"/>
    </row>
    <row r="236" spans="1:23" s="431" customFormat="1" ht="24" customHeight="1">
      <c r="B236" s="115"/>
      <c r="C236" s="115"/>
      <c r="D236" s="115"/>
      <c r="E236" s="115"/>
      <c r="F236" s="440"/>
      <c r="G236" s="441"/>
      <c r="H236" s="442"/>
      <c r="I236" s="442"/>
      <c r="J236" s="442"/>
      <c r="K236" s="443"/>
      <c r="L236" s="438"/>
      <c r="M236" s="438"/>
      <c r="N236" s="438"/>
      <c r="O236" s="439"/>
    </row>
    <row r="237" spans="1:23" s="431" customFormat="1" ht="24" customHeight="1">
      <c r="B237" s="115"/>
      <c r="C237" s="115"/>
      <c r="D237" s="115"/>
      <c r="E237" s="115"/>
      <c r="F237" s="440"/>
      <c r="G237" s="441"/>
      <c r="H237" s="442"/>
      <c r="I237" s="442"/>
      <c r="J237" s="442"/>
      <c r="K237" s="443"/>
      <c r="L237" s="438"/>
      <c r="M237" s="438"/>
      <c r="N237" s="438"/>
      <c r="O237" s="439"/>
    </row>
    <row r="238" spans="1:23" s="431" customFormat="1" ht="24" customHeight="1">
      <c r="B238" s="115"/>
      <c r="C238" s="115"/>
      <c r="D238" s="115"/>
      <c r="E238" s="115"/>
      <c r="F238" s="440"/>
      <c r="G238" s="441"/>
      <c r="H238" s="442"/>
      <c r="I238" s="442"/>
      <c r="J238" s="442"/>
      <c r="K238" s="443"/>
      <c r="L238" s="438"/>
      <c r="M238" s="438"/>
      <c r="N238" s="438"/>
      <c r="O238" s="439"/>
    </row>
    <row r="239" spans="1:23" s="431" customFormat="1" ht="24" customHeight="1">
      <c r="B239" s="115"/>
      <c r="C239" s="115"/>
      <c r="D239" s="115"/>
      <c r="E239" s="115"/>
      <c r="F239" s="440"/>
      <c r="G239" s="441"/>
      <c r="H239" s="442"/>
      <c r="I239" s="442"/>
      <c r="J239" s="442"/>
      <c r="K239" s="443"/>
      <c r="L239" s="438"/>
      <c r="M239" s="438"/>
      <c r="N239" s="438"/>
      <c r="O239" s="439"/>
    </row>
    <row r="240" spans="1:23" s="431" customFormat="1" ht="24" customHeight="1">
      <c r="B240" s="115"/>
      <c r="C240" s="115"/>
      <c r="D240" s="115"/>
      <c r="E240" s="115"/>
      <c r="F240" s="440"/>
      <c r="G240" s="441"/>
      <c r="H240" s="442"/>
      <c r="I240" s="442"/>
      <c r="J240" s="442"/>
      <c r="K240" s="443"/>
      <c r="L240" s="438"/>
      <c r="M240" s="438"/>
      <c r="N240" s="438"/>
      <c r="O240" s="439"/>
    </row>
    <row r="241" spans="2:15" s="431" customFormat="1" ht="24" customHeight="1">
      <c r="B241" s="115"/>
      <c r="C241" s="115"/>
      <c r="D241" s="115"/>
      <c r="E241" s="115"/>
      <c r="F241" s="440"/>
      <c r="G241" s="441"/>
      <c r="H241" s="442"/>
      <c r="I241" s="442"/>
      <c r="J241" s="442"/>
      <c r="K241" s="443"/>
      <c r="L241" s="438"/>
      <c r="M241" s="438"/>
      <c r="N241" s="438"/>
      <c r="O241" s="439"/>
    </row>
    <row r="242" spans="2:15" s="431" customFormat="1" ht="24" customHeight="1">
      <c r="B242" s="115"/>
      <c r="C242" s="115"/>
      <c r="D242" s="115"/>
      <c r="E242" s="115"/>
      <c r="F242" s="440"/>
      <c r="G242" s="441"/>
      <c r="H242" s="442"/>
      <c r="I242" s="442"/>
      <c r="J242" s="442"/>
      <c r="K242" s="443"/>
      <c r="L242" s="438"/>
      <c r="M242" s="438"/>
      <c r="N242" s="438"/>
      <c r="O242" s="439"/>
    </row>
    <row r="243" spans="2:15" s="431" customFormat="1" ht="24" customHeight="1">
      <c r="B243" s="115"/>
      <c r="C243" s="115"/>
      <c r="D243" s="115"/>
      <c r="E243" s="115"/>
      <c r="F243" s="440"/>
      <c r="G243" s="441"/>
      <c r="H243" s="442"/>
      <c r="I243" s="442"/>
      <c r="J243" s="442"/>
      <c r="K243" s="443"/>
      <c r="L243" s="438"/>
      <c r="M243" s="438"/>
      <c r="N243" s="438"/>
      <c r="O243" s="439"/>
    </row>
    <row r="244" spans="2:15" s="431" customFormat="1" ht="24" customHeight="1">
      <c r="B244" s="115"/>
      <c r="C244" s="115"/>
      <c r="D244" s="115"/>
      <c r="E244" s="115"/>
      <c r="F244" s="440"/>
      <c r="G244" s="441"/>
      <c r="H244" s="442"/>
      <c r="I244" s="442"/>
      <c r="J244" s="442"/>
      <c r="K244" s="443"/>
      <c r="L244" s="438"/>
      <c r="M244" s="438"/>
      <c r="N244" s="438"/>
      <c r="O244" s="439"/>
    </row>
    <row r="245" spans="2:15" s="431" customFormat="1" ht="24" customHeight="1">
      <c r="B245" s="115"/>
      <c r="C245" s="115"/>
      <c r="D245" s="115"/>
      <c r="E245" s="115"/>
      <c r="F245" s="440"/>
      <c r="G245" s="441"/>
      <c r="H245" s="442"/>
      <c r="I245" s="442"/>
      <c r="J245" s="442"/>
      <c r="K245" s="443"/>
      <c r="L245" s="438"/>
      <c r="M245" s="438"/>
      <c r="N245" s="438"/>
      <c r="O245" s="439"/>
    </row>
    <row r="246" spans="2:15" s="431" customFormat="1" ht="24" customHeight="1">
      <c r="B246" s="115"/>
      <c r="C246" s="115"/>
      <c r="D246" s="115"/>
      <c r="E246" s="115"/>
      <c r="F246" s="440"/>
      <c r="G246" s="441"/>
      <c r="H246" s="442"/>
      <c r="I246" s="442"/>
      <c r="J246" s="442"/>
      <c r="K246" s="443"/>
      <c r="L246" s="438"/>
      <c r="M246" s="438"/>
      <c r="N246" s="438"/>
      <c r="O246" s="439"/>
    </row>
    <row r="247" spans="2:15" s="431" customFormat="1" ht="24" customHeight="1">
      <c r="B247" s="115"/>
      <c r="C247" s="115"/>
      <c r="D247" s="115"/>
      <c r="E247" s="115"/>
      <c r="F247" s="440"/>
      <c r="G247" s="441"/>
      <c r="H247" s="442"/>
      <c r="I247" s="442"/>
      <c r="J247" s="442"/>
      <c r="K247" s="443"/>
      <c r="L247" s="438"/>
      <c r="M247" s="438"/>
      <c r="N247" s="438"/>
      <c r="O247" s="439"/>
    </row>
    <row r="248" spans="2:15" s="431" customFormat="1" ht="25.5" customHeight="1">
      <c r="B248" s="115"/>
      <c r="C248" s="115"/>
      <c r="D248" s="115"/>
      <c r="E248" s="115"/>
      <c r="F248" s="440"/>
      <c r="G248" s="441"/>
      <c r="H248" s="442"/>
      <c r="I248" s="442"/>
      <c r="J248" s="442"/>
      <c r="K248" s="443"/>
      <c r="L248" s="438"/>
      <c r="M248" s="438"/>
      <c r="N248" s="438"/>
      <c r="O248" s="439"/>
    </row>
    <row r="249" spans="2:15" s="431" customFormat="1" ht="25.5" customHeight="1">
      <c r="B249" s="115"/>
      <c r="C249" s="115"/>
      <c r="D249" s="115"/>
      <c r="E249" s="115"/>
      <c r="F249" s="440"/>
      <c r="G249" s="441"/>
      <c r="H249" s="442"/>
      <c r="I249" s="442"/>
      <c r="J249" s="442"/>
      <c r="K249" s="443"/>
      <c r="L249" s="438"/>
      <c r="M249" s="438"/>
      <c r="N249" s="438"/>
      <c r="O249" s="439"/>
    </row>
    <row r="250" spans="2:15" s="431" customFormat="1" ht="25.5" customHeight="1">
      <c r="B250" s="115"/>
      <c r="C250" s="115"/>
      <c r="D250" s="115"/>
      <c r="E250" s="115"/>
      <c r="F250" s="440"/>
      <c r="G250" s="441"/>
      <c r="H250" s="442"/>
      <c r="I250" s="442"/>
      <c r="J250" s="442"/>
      <c r="K250" s="443"/>
      <c r="L250" s="438"/>
      <c r="M250" s="438"/>
      <c r="N250" s="438"/>
      <c r="O250" s="439"/>
    </row>
    <row r="251" spans="2:15" s="431" customFormat="1" ht="25.5" customHeight="1">
      <c r="B251" s="115"/>
      <c r="C251" s="115"/>
      <c r="D251" s="115"/>
      <c r="E251" s="115"/>
      <c r="F251" s="440"/>
      <c r="G251" s="441"/>
      <c r="H251" s="442"/>
      <c r="I251" s="442"/>
      <c r="J251" s="442"/>
      <c r="K251" s="443"/>
      <c r="L251" s="438"/>
      <c r="M251" s="438"/>
      <c r="N251" s="438"/>
      <c r="O251" s="439"/>
    </row>
    <row r="252" spans="2:15" s="431" customFormat="1" ht="25.5" customHeight="1">
      <c r="B252" s="115"/>
      <c r="C252" s="115"/>
      <c r="D252" s="115"/>
      <c r="E252" s="115"/>
      <c r="F252" s="440"/>
      <c r="G252" s="441"/>
      <c r="H252" s="442"/>
      <c r="I252" s="442"/>
      <c r="J252" s="442"/>
      <c r="K252" s="443"/>
      <c r="L252" s="438"/>
      <c r="M252" s="438"/>
      <c r="N252" s="438"/>
      <c r="O252" s="439"/>
    </row>
    <row r="253" spans="2:15" s="431" customFormat="1" ht="25.5" customHeight="1">
      <c r="B253" s="121"/>
      <c r="C253" s="119"/>
      <c r="D253" s="119"/>
      <c r="E253" s="119"/>
      <c r="K253" s="445"/>
      <c r="M253" s="446"/>
      <c r="O253" s="439"/>
    </row>
    <row r="254" spans="2:15" s="431" customFormat="1" ht="25.5" customHeight="1">
      <c r="B254" s="121"/>
      <c r="C254" s="119"/>
      <c r="D254" s="119"/>
      <c r="E254" s="119"/>
      <c r="K254" s="445"/>
      <c r="M254" s="446"/>
      <c r="O254" s="439"/>
    </row>
    <row r="255" spans="2:15" s="431" customFormat="1" ht="25.5" customHeight="1">
      <c r="B255" s="121"/>
      <c r="C255" s="119"/>
      <c r="D255" s="119"/>
      <c r="E255" s="119"/>
      <c r="K255" s="445"/>
      <c r="M255" s="446"/>
      <c r="O255" s="439"/>
    </row>
    <row r="256" spans="2:15" s="431" customFormat="1" ht="25.5" customHeight="1">
      <c r="B256" s="121"/>
      <c r="C256" s="119"/>
      <c r="D256" s="119"/>
      <c r="E256" s="119"/>
      <c r="K256" s="445"/>
      <c r="M256" s="446"/>
      <c r="O256" s="439"/>
    </row>
    <row r="257" spans="2:15" s="431" customFormat="1" ht="25.5" customHeight="1">
      <c r="B257" s="121"/>
      <c r="C257" s="119"/>
      <c r="D257" s="119"/>
      <c r="E257" s="119"/>
      <c r="K257" s="445"/>
      <c r="M257" s="446"/>
      <c r="O257" s="439"/>
    </row>
    <row r="258" spans="2:15" s="431" customFormat="1" ht="25.5" customHeight="1">
      <c r="B258" s="121"/>
      <c r="C258" s="119"/>
      <c r="D258" s="119"/>
      <c r="E258" s="119"/>
      <c r="K258" s="445"/>
      <c r="M258" s="446"/>
      <c r="O258" s="439"/>
    </row>
    <row r="259" spans="2:15" s="431" customFormat="1" ht="25.5" customHeight="1">
      <c r="B259" s="121"/>
      <c r="C259" s="119"/>
      <c r="D259" s="119"/>
      <c r="E259" s="119"/>
      <c r="K259" s="445"/>
      <c r="M259" s="446"/>
      <c r="O259" s="439"/>
    </row>
    <row r="260" spans="2:15" s="431" customFormat="1" ht="25.5" customHeight="1">
      <c r="B260" s="121"/>
      <c r="C260" s="119"/>
      <c r="D260" s="119"/>
      <c r="E260" s="119"/>
      <c r="K260" s="445"/>
      <c r="M260" s="446"/>
      <c r="O260" s="439"/>
    </row>
    <row r="261" spans="2:15" s="431" customFormat="1" ht="25.5" customHeight="1">
      <c r="B261" s="121"/>
      <c r="C261" s="119"/>
      <c r="D261" s="119"/>
      <c r="E261" s="119"/>
      <c r="K261" s="445"/>
      <c r="M261" s="446"/>
      <c r="O261" s="439"/>
    </row>
    <row r="262" spans="2:15" s="431" customFormat="1" ht="25.5" customHeight="1">
      <c r="B262" s="121"/>
      <c r="C262" s="119"/>
      <c r="D262" s="119"/>
      <c r="E262" s="119"/>
      <c r="K262" s="445"/>
      <c r="M262" s="446"/>
      <c r="O262" s="439"/>
    </row>
    <row r="263" spans="2:15" s="431" customFormat="1" ht="25.5" customHeight="1">
      <c r="B263" s="121"/>
      <c r="C263" s="119"/>
      <c r="D263" s="119"/>
      <c r="E263" s="119"/>
      <c r="K263" s="445"/>
      <c r="M263" s="446"/>
      <c r="O263" s="439"/>
    </row>
    <row r="264" spans="2:15" s="431" customFormat="1" ht="25.5" customHeight="1">
      <c r="B264" s="121"/>
      <c r="C264" s="119"/>
      <c r="D264" s="119"/>
      <c r="E264" s="119"/>
      <c r="K264" s="445"/>
      <c r="M264" s="446"/>
      <c r="O264" s="439"/>
    </row>
    <row r="265" spans="2:15" s="431" customFormat="1" ht="25.5" customHeight="1">
      <c r="B265" s="121"/>
      <c r="C265" s="119"/>
      <c r="D265" s="119"/>
      <c r="E265" s="119"/>
      <c r="K265" s="445"/>
      <c r="M265" s="446"/>
      <c r="O265" s="439"/>
    </row>
    <row r="266" spans="2:15" s="431" customFormat="1" ht="25.5" customHeight="1">
      <c r="B266" s="121"/>
      <c r="C266" s="119"/>
      <c r="D266" s="119"/>
      <c r="E266" s="119"/>
      <c r="K266" s="445"/>
      <c r="M266" s="446"/>
      <c r="O266" s="439"/>
    </row>
    <row r="267" spans="2:15" s="431" customFormat="1" ht="25.5" customHeight="1">
      <c r="B267" s="121"/>
      <c r="C267" s="119"/>
      <c r="D267" s="119"/>
      <c r="E267" s="119"/>
      <c r="K267" s="445"/>
      <c r="M267" s="446"/>
      <c r="O267" s="439"/>
    </row>
    <row r="268" spans="2:15" s="431" customFormat="1" ht="25.5" customHeight="1">
      <c r="B268" s="121"/>
      <c r="C268" s="119"/>
      <c r="D268" s="119"/>
      <c r="E268" s="119"/>
      <c r="K268" s="445"/>
      <c r="M268" s="446"/>
      <c r="O268" s="439"/>
    </row>
    <row r="269" spans="2:15" s="431" customFormat="1" ht="25.5" customHeight="1">
      <c r="B269" s="121"/>
      <c r="C269" s="119"/>
      <c r="D269" s="119"/>
      <c r="E269" s="119"/>
      <c r="K269" s="445"/>
      <c r="M269" s="446"/>
      <c r="O269" s="439"/>
    </row>
    <row r="270" spans="2:15" s="431" customFormat="1" ht="25.5" customHeight="1">
      <c r="B270" s="121"/>
      <c r="C270" s="119"/>
      <c r="D270" s="119"/>
      <c r="E270" s="119"/>
      <c r="K270" s="445"/>
      <c r="M270" s="446"/>
      <c r="O270" s="439"/>
    </row>
    <row r="271" spans="2:15" s="431" customFormat="1" ht="25.5" customHeight="1">
      <c r="B271" s="121"/>
      <c r="C271" s="119"/>
      <c r="D271" s="119"/>
      <c r="E271" s="119"/>
      <c r="K271" s="445"/>
      <c r="M271" s="446"/>
      <c r="O271" s="439"/>
    </row>
    <row r="272" spans="2:15" s="431" customFormat="1" ht="25.5" customHeight="1">
      <c r="B272" s="121"/>
      <c r="C272" s="119"/>
      <c r="D272" s="119"/>
      <c r="E272" s="119"/>
      <c r="K272" s="445"/>
      <c r="M272" s="446"/>
      <c r="O272" s="439"/>
    </row>
    <row r="273" spans="2:15" s="431" customFormat="1" ht="25.5" customHeight="1">
      <c r="B273" s="121"/>
      <c r="C273" s="119"/>
      <c r="D273" s="119"/>
      <c r="E273" s="119"/>
      <c r="K273" s="445"/>
      <c r="M273" s="446"/>
      <c r="O273" s="439"/>
    </row>
    <row r="274" spans="2:15" s="431" customFormat="1" ht="25.5" customHeight="1">
      <c r="B274" s="121"/>
      <c r="C274" s="119"/>
      <c r="D274" s="119"/>
      <c r="E274" s="119"/>
      <c r="K274" s="445"/>
      <c r="M274" s="446"/>
      <c r="O274" s="439"/>
    </row>
    <row r="275" spans="2:15" s="431" customFormat="1" ht="25.5" customHeight="1">
      <c r="B275" s="121"/>
      <c r="C275" s="119"/>
      <c r="D275" s="119"/>
      <c r="E275" s="119"/>
      <c r="K275" s="445"/>
      <c r="M275" s="446"/>
      <c r="O275" s="439"/>
    </row>
    <row r="276" spans="2:15" s="431" customFormat="1" ht="25.5" customHeight="1">
      <c r="B276" s="121"/>
      <c r="C276" s="119"/>
      <c r="D276" s="119"/>
      <c r="E276" s="119"/>
      <c r="K276" s="445"/>
      <c r="M276" s="446"/>
      <c r="O276" s="439"/>
    </row>
    <row r="277" spans="2:15" s="431" customFormat="1" ht="25.5" customHeight="1">
      <c r="B277" s="121"/>
      <c r="C277" s="119"/>
      <c r="D277" s="119"/>
      <c r="E277" s="119"/>
      <c r="K277" s="445"/>
      <c r="M277" s="446"/>
      <c r="O277" s="439"/>
    </row>
    <row r="278" spans="2:15" s="431" customFormat="1" ht="25.5" customHeight="1">
      <c r="B278" s="121"/>
      <c r="C278" s="119"/>
      <c r="D278" s="119"/>
      <c r="E278" s="119"/>
      <c r="K278" s="445"/>
      <c r="M278" s="446"/>
      <c r="O278" s="439"/>
    </row>
    <row r="279" spans="2:15" s="431" customFormat="1" ht="25.5" customHeight="1">
      <c r="B279" s="121"/>
      <c r="C279" s="119"/>
      <c r="D279" s="119"/>
      <c r="E279" s="119"/>
      <c r="K279" s="445"/>
      <c r="M279" s="446"/>
      <c r="O279" s="439"/>
    </row>
    <row r="280" spans="2:15" s="431" customFormat="1" ht="25.5" customHeight="1">
      <c r="B280" s="121"/>
      <c r="C280" s="119"/>
      <c r="D280" s="119"/>
      <c r="E280" s="119"/>
      <c r="K280" s="445"/>
      <c r="M280" s="446"/>
      <c r="O280" s="439"/>
    </row>
    <row r="281" spans="2:15" s="431" customFormat="1" ht="25.5" customHeight="1">
      <c r="B281" s="121"/>
      <c r="C281" s="119"/>
      <c r="D281" s="119"/>
      <c r="E281" s="119"/>
      <c r="K281" s="445"/>
      <c r="M281" s="446"/>
      <c r="O281" s="439"/>
    </row>
    <row r="282" spans="2:15" s="431" customFormat="1" ht="25.5" customHeight="1">
      <c r="B282" s="121"/>
      <c r="C282" s="119"/>
      <c r="D282" s="119"/>
      <c r="E282" s="119"/>
      <c r="K282" s="445"/>
      <c r="M282" s="446"/>
      <c r="O282" s="439"/>
    </row>
    <row r="283" spans="2:15" s="431" customFormat="1" ht="25.5" customHeight="1">
      <c r="B283" s="121"/>
      <c r="C283" s="119"/>
      <c r="D283" s="119"/>
      <c r="E283" s="119"/>
      <c r="K283" s="445"/>
      <c r="M283" s="446"/>
      <c r="O283" s="439"/>
    </row>
    <row r="284" spans="2:15" s="431" customFormat="1" ht="25.5" customHeight="1">
      <c r="B284" s="121"/>
      <c r="C284" s="119"/>
      <c r="D284" s="119"/>
      <c r="E284" s="119"/>
      <c r="K284" s="445"/>
      <c r="M284" s="446"/>
      <c r="O284" s="439"/>
    </row>
    <row r="285" spans="2:15" s="431" customFormat="1" ht="25.5" customHeight="1">
      <c r="B285" s="121"/>
      <c r="C285" s="119"/>
      <c r="D285" s="119"/>
      <c r="E285" s="119"/>
      <c r="K285" s="445"/>
      <c r="M285" s="446"/>
      <c r="O285" s="439"/>
    </row>
    <row r="286" spans="2:15" s="431" customFormat="1" ht="25.5" customHeight="1">
      <c r="B286" s="121"/>
      <c r="C286" s="119"/>
      <c r="D286" s="119"/>
      <c r="E286" s="119"/>
      <c r="K286" s="445"/>
      <c r="M286" s="446"/>
      <c r="O286" s="439"/>
    </row>
    <row r="287" spans="2:15" s="431" customFormat="1" ht="25.5" customHeight="1">
      <c r="B287" s="121"/>
      <c r="C287" s="119"/>
      <c r="D287" s="119"/>
      <c r="E287" s="119"/>
      <c r="K287" s="445"/>
      <c r="M287" s="446"/>
      <c r="O287" s="439"/>
    </row>
    <row r="288" spans="2:15" s="431" customFormat="1" ht="25.5" customHeight="1">
      <c r="B288" s="121"/>
      <c r="C288" s="119"/>
      <c r="D288" s="119"/>
      <c r="E288" s="119"/>
      <c r="K288" s="445"/>
      <c r="M288" s="446"/>
      <c r="O288" s="439"/>
    </row>
    <row r="289" spans="2:15" s="431" customFormat="1" ht="25.5" customHeight="1">
      <c r="B289" s="121"/>
      <c r="C289" s="119"/>
      <c r="D289" s="119"/>
      <c r="E289" s="119"/>
      <c r="K289" s="445"/>
      <c r="M289" s="446"/>
      <c r="O289" s="439"/>
    </row>
    <row r="290" spans="2:15" s="431" customFormat="1" ht="25.5" customHeight="1">
      <c r="B290" s="121"/>
      <c r="C290" s="119"/>
      <c r="D290" s="119"/>
      <c r="E290" s="119"/>
      <c r="K290" s="445"/>
      <c r="M290" s="446"/>
      <c r="O290" s="439"/>
    </row>
    <row r="291" spans="2:15" s="431" customFormat="1" ht="25.5" customHeight="1">
      <c r="B291" s="121"/>
      <c r="C291" s="119"/>
      <c r="D291" s="119"/>
      <c r="E291" s="119"/>
      <c r="K291" s="445"/>
      <c r="M291" s="446"/>
      <c r="O291" s="439"/>
    </row>
    <row r="292" spans="2:15" s="431" customFormat="1" ht="25.5" customHeight="1">
      <c r="B292" s="121"/>
      <c r="C292" s="119"/>
      <c r="D292" s="119"/>
      <c r="E292" s="119"/>
      <c r="K292" s="445"/>
      <c r="M292" s="446"/>
      <c r="O292" s="439"/>
    </row>
    <row r="293" spans="2:15" s="431" customFormat="1" ht="25.5" customHeight="1">
      <c r="B293" s="121"/>
      <c r="C293" s="119"/>
      <c r="D293" s="119"/>
      <c r="E293" s="119"/>
      <c r="K293" s="445"/>
      <c r="M293" s="446"/>
      <c r="O293" s="439"/>
    </row>
    <row r="294" spans="2:15" s="431" customFormat="1" ht="25.5" customHeight="1">
      <c r="B294" s="121"/>
      <c r="C294" s="119"/>
      <c r="D294" s="119"/>
      <c r="E294" s="119"/>
      <c r="K294" s="445"/>
      <c r="M294" s="446"/>
      <c r="O294" s="439"/>
    </row>
    <row r="295" spans="2:15" s="431" customFormat="1" ht="25.5" customHeight="1">
      <c r="B295" s="121"/>
      <c r="C295" s="119"/>
      <c r="D295" s="119"/>
      <c r="E295" s="119"/>
      <c r="K295" s="445"/>
      <c r="M295" s="446"/>
      <c r="O295" s="439"/>
    </row>
    <row r="296" spans="2:15" s="431" customFormat="1" ht="25.5" customHeight="1">
      <c r="B296" s="121"/>
      <c r="C296" s="119"/>
      <c r="D296" s="119"/>
      <c r="E296" s="119"/>
      <c r="K296" s="445"/>
      <c r="M296" s="446"/>
      <c r="O296" s="439"/>
    </row>
    <row r="297" spans="2:15" s="431" customFormat="1" ht="25.5" customHeight="1">
      <c r="B297" s="121"/>
      <c r="C297" s="119"/>
      <c r="D297" s="119"/>
      <c r="E297" s="119"/>
      <c r="K297" s="445"/>
      <c r="M297" s="446"/>
      <c r="O297" s="439"/>
    </row>
    <row r="298" spans="2:15" s="431" customFormat="1" ht="25.5" customHeight="1">
      <c r="B298" s="121"/>
      <c r="C298" s="119"/>
      <c r="D298" s="119"/>
      <c r="E298" s="119"/>
      <c r="K298" s="445"/>
      <c r="M298" s="446"/>
      <c r="O298" s="439"/>
    </row>
    <row r="299" spans="2:15" s="431" customFormat="1" ht="25.5" customHeight="1">
      <c r="B299" s="121"/>
      <c r="C299" s="119"/>
      <c r="D299" s="119"/>
      <c r="E299" s="119"/>
      <c r="K299" s="445"/>
      <c r="M299" s="446"/>
      <c r="O299" s="439"/>
    </row>
    <row r="300" spans="2:15" s="431" customFormat="1" ht="25.5" customHeight="1">
      <c r="B300" s="121"/>
      <c r="C300" s="119"/>
      <c r="D300" s="119"/>
      <c r="E300" s="119"/>
      <c r="K300" s="445"/>
      <c r="M300" s="446"/>
      <c r="O300" s="439"/>
    </row>
    <row r="301" spans="2:15" s="431" customFormat="1" ht="25.5" customHeight="1">
      <c r="B301" s="118"/>
      <c r="C301" s="120"/>
      <c r="D301" s="120"/>
      <c r="E301" s="120"/>
      <c r="F301" s="439"/>
      <c r="G301" s="439"/>
      <c r="H301" s="439"/>
      <c r="I301" s="439"/>
      <c r="J301" s="439"/>
      <c r="K301" s="443"/>
      <c r="L301" s="439"/>
      <c r="M301" s="447"/>
      <c r="O301" s="439"/>
    </row>
    <row r="302" spans="2:15" s="431" customFormat="1" ht="25.5" customHeight="1">
      <c r="B302" s="121"/>
      <c r="C302" s="119"/>
      <c r="D302" s="119"/>
      <c r="E302" s="119"/>
      <c r="K302" s="445"/>
      <c r="M302" s="446"/>
      <c r="O302" s="439"/>
    </row>
    <row r="303" spans="2:15" s="431" customFormat="1" ht="25.5" customHeight="1">
      <c r="B303" s="121"/>
      <c r="C303" s="119"/>
      <c r="D303" s="119"/>
      <c r="E303" s="119"/>
      <c r="K303" s="445"/>
      <c r="M303" s="446"/>
      <c r="O303" s="439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8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8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8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8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8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8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8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8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8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8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8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8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8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8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8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8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8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8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8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8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8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8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8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8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8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8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8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8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8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8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8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8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8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8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8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8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8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8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8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8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8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8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8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8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8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8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8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8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8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8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8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8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8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8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8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8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8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8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8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8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8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8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8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8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8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8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8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8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8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8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8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8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8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8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8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8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8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8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8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8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8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8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8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8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8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8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8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8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8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8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8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8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8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8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8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8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8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8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8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8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8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8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8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8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8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8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8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8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8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8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8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8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8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8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8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8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8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8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8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8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8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8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8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8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8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8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8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8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8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8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8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8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8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8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8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8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8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8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8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8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8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8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8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8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8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8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8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8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8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8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8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8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8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8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8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8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8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8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8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8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8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8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8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8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8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8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8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8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8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8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8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8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8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8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8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8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8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8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8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8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8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8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8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8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8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8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8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8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8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8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8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8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8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8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8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8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8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8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8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8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8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8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8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8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8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8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8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8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8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8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8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8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8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8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8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8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8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8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8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8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8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8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8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8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8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8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8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8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8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8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8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8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8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8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8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8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8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8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8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8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8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8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8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8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8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8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8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8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8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8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8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8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8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8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8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8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8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8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8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8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8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8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8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8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8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8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8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8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8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8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8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8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8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8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8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8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8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8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8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8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8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8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8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8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8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8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8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8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8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8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8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8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8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8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8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8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8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8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8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8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8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8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8"/>
    </row>
  </sheetData>
  <sheetProtection selectLockedCells="1"/>
  <mergeCells count="68"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</mergeCells>
  <phoneticPr fontId="2" type="noConversion"/>
  <conditionalFormatting sqref="M25:N35 M61:N63 M39:N39">
    <cfRule type="cellIs" dxfId="52" priority="93" operator="greaterThan">
      <formula>0</formula>
    </cfRule>
  </conditionalFormatting>
  <conditionalFormatting sqref="H117 H104 J82:J83 I25:K35 I65:K68">
    <cfRule type="cellIs" dxfId="51" priority="92" operator="greaterThan">
      <formula>0</formula>
    </cfRule>
  </conditionalFormatting>
  <conditionalFormatting sqref="J83">
    <cfRule type="cellIs" dxfId="50" priority="91" operator="greaterThan">
      <formula>0</formula>
    </cfRule>
  </conditionalFormatting>
  <conditionalFormatting sqref="J82">
    <cfRule type="cellIs" dxfId="49" priority="90" operator="greaterThan">
      <formula>0</formula>
    </cfRule>
  </conditionalFormatting>
  <conditionalFormatting sqref="H104">
    <cfRule type="cellIs" dxfId="48" priority="87" operator="greaterThan">
      <formula>0</formula>
    </cfRule>
  </conditionalFormatting>
  <conditionalFormatting sqref="I25:I35">
    <cfRule type="cellIs" dxfId="47" priority="73" operator="lessThan">
      <formula>$J25</formula>
    </cfRule>
  </conditionalFormatting>
  <conditionalFormatting sqref="H119 J119">
    <cfRule type="cellIs" dxfId="46" priority="65" operator="greaterThan">
      <formula>0</formula>
    </cfRule>
  </conditionalFormatting>
  <conditionalFormatting sqref="J119">
    <cfRule type="cellIs" dxfId="45" priority="64" operator="greaterThan">
      <formula>0</formula>
    </cfRule>
  </conditionalFormatting>
  <conditionalFormatting sqref="H118 J118">
    <cfRule type="cellIs" dxfId="44" priority="63" operator="greaterThan">
      <formula>0</formula>
    </cfRule>
  </conditionalFormatting>
  <conditionalFormatting sqref="J118">
    <cfRule type="cellIs" dxfId="43" priority="62" operator="greaterThan">
      <formula>0</formula>
    </cfRule>
  </conditionalFormatting>
  <conditionalFormatting sqref="M65:N65 M67:N67">
    <cfRule type="cellIs" dxfId="42" priority="31" operator="greaterThan">
      <formula>0</formula>
    </cfRule>
  </conditionalFormatting>
  <conditionalFormatting sqref="I65:K68">
    <cfRule type="cellIs" dxfId="41" priority="42" operator="lessThan">
      <formula>$J65</formula>
    </cfRule>
  </conditionalFormatting>
  <conditionalFormatting sqref="M66:N66 M68:N68">
    <cfRule type="cellIs" dxfId="40" priority="37" operator="greaterThan">
      <formula>0</formula>
    </cfRule>
  </conditionalFormatting>
  <conditionalFormatting sqref="M66:N66 M68:N68">
    <cfRule type="cellIs" dxfId="39" priority="34" operator="greaterThan">
      <formula>0</formula>
    </cfRule>
  </conditionalFormatting>
  <conditionalFormatting sqref="I74:J76">
    <cfRule type="cellIs" dxfId="38" priority="23" operator="greaterThan">
      <formula>0</formula>
    </cfRule>
  </conditionalFormatting>
  <conditionalFormatting sqref="M74:N75">
    <cfRule type="cellIs" dxfId="37" priority="24" operator="greaterThan">
      <formula>0</formula>
    </cfRule>
  </conditionalFormatting>
  <conditionalFormatting sqref="I74:J76">
    <cfRule type="cellIs" dxfId="36" priority="25" operator="lessThan">
      <formula>$J74</formula>
    </cfRule>
  </conditionalFormatting>
  <conditionalFormatting sqref="M76:N76">
    <cfRule type="cellIs" dxfId="35" priority="21" operator="greaterThan">
      <formula>0</formula>
    </cfRule>
  </conditionalFormatting>
  <conditionalFormatting sqref="K74:K76">
    <cfRule type="cellIs" dxfId="34" priority="19" operator="greaterThan">
      <formula>0</formula>
    </cfRule>
  </conditionalFormatting>
  <conditionalFormatting sqref="M42:N42 M44:N44 M46:N46 M48:N48 M50:N50 M52:N52 M54:N54 M56:N56 M58:N58">
    <cfRule type="cellIs" dxfId="33" priority="8" operator="greaterThan">
      <formula>0</formula>
    </cfRule>
  </conditionalFormatting>
  <conditionalFormatting sqref="M65:N65 M67:N67">
    <cfRule type="cellIs" dxfId="32" priority="1" operator="greaterThan">
      <formula>0</formula>
    </cfRule>
  </conditionalFormatting>
  <conditionalFormatting sqref="I41:K59">
    <cfRule type="cellIs" dxfId="31" priority="9" operator="greaterThan">
      <formula>0</formula>
    </cfRule>
  </conditionalFormatting>
  <conditionalFormatting sqref="M41:N41 M43:N43 M45:N45 M47:N47 M49:N49 M51:N51 M53:N53 M55:N55 M57:N57 M59:N59">
    <cfRule type="cellIs" dxfId="30" priority="7" operator="greaterThan">
      <formula>0</formula>
    </cfRule>
  </conditionalFormatting>
  <conditionalFormatting sqref="M42:N42 M44:N44 M46:N46 M48:N48 M50:N50 M52:N52 M54:N54 M56:N56 M58:N58">
    <cfRule type="cellIs" dxfId="29" priority="6" operator="greaterThan">
      <formula>0</formula>
    </cfRule>
  </conditionalFormatting>
  <conditionalFormatting sqref="M41:N41 M43:N43 M45:N45 M47:N47 M49:N49 M51:N51 M53:N53 M55:N55 M57:N57 M59:N59">
    <cfRule type="cellIs" dxfId="28" priority="5" operator="greaterThan">
      <formula>0</formula>
    </cfRule>
  </conditionalFormatting>
  <conditionalFormatting sqref="N41:N59">
    <cfRule type="cellIs" dxfId="27" priority="4" operator="greaterThan">
      <formula>0</formula>
    </cfRule>
  </conditionalFormatting>
  <conditionalFormatting sqref="I41:I59">
    <cfRule type="cellIs" dxfId="26" priority="10" operator="lessThan">
      <formula>$J41</formula>
    </cfRule>
  </conditionalFormatting>
  <conditionalFormatting sqref="M66:N66 M68:N68">
    <cfRule type="cellIs" dxfId="25" priority="3" operator="greaterThan">
      <formula>0</formula>
    </cfRule>
  </conditionalFormatting>
  <conditionalFormatting sqref="M65:N65 M67:N67">
    <cfRule type="cellIs" dxfId="24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6"/>
  <sheetViews>
    <sheetView zoomScale="120" zoomScaleNormal="120" workbookViewId="0">
      <selection activeCell="L18" sqref="L18"/>
    </sheetView>
  </sheetViews>
  <sheetFormatPr baseColWidth="10" defaultColWidth="17.6640625" defaultRowHeight="30" customHeight="1"/>
  <cols>
    <col min="1" max="1" width="10.1640625" style="537" customWidth="1"/>
    <col min="2" max="3" width="17.6640625" style="537"/>
    <col min="4" max="4" width="17.6640625" style="544"/>
    <col min="5" max="6" width="23.1640625" style="537" bestFit="1" customWidth="1"/>
    <col min="7" max="7" width="22.33203125" style="537" bestFit="1" customWidth="1"/>
    <col min="8" max="16384" width="17.6640625" style="537"/>
  </cols>
  <sheetData>
    <row r="1" spans="2:14" s="52" customFormat="1" ht="30" customHeight="1">
      <c r="B1" s="53"/>
      <c r="D1" s="55"/>
      <c r="L1" s="54"/>
      <c r="N1" s="55"/>
    </row>
    <row r="2" spans="2:14" s="157" customFormat="1" ht="30" customHeight="1">
      <c r="B2" s="128" t="s">
        <v>3</v>
      </c>
      <c r="C2" s="126"/>
      <c r="D2" s="127" t="s">
        <v>51</v>
      </c>
      <c r="E2" s="127" t="s">
        <v>111</v>
      </c>
      <c r="F2" s="127" t="s">
        <v>112</v>
      </c>
      <c r="G2" s="127" t="s">
        <v>113</v>
      </c>
      <c r="I2" s="126" t="s">
        <v>56</v>
      </c>
      <c r="J2" s="127"/>
      <c r="K2" s="127"/>
    </row>
    <row r="3" spans="2:14" s="52" customFormat="1" ht="30" customHeight="1">
      <c r="B3" s="140" t="s">
        <v>189</v>
      </c>
      <c r="C3" s="46"/>
      <c r="D3" s="155">
        <v>55</v>
      </c>
      <c r="E3" s="134">
        <f t="shared" ref="E3:E7" si="0">D3*SEK</f>
        <v>55</v>
      </c>
      <c r="F3" s="138">
        <f>D3*EUR</f>
        <v>5.2094899999999997</v>
      </c>
      <c r="G3" s="136">
        <f>ROUNDUP(E3*NOK,2)</f>
        <v>55</v>
      </c>
      <c r="I3" s="90" t="s">
        <v>111</v>
      </c>
      <c r="J3" s="49"/>
      <c r="K3" s="534">
        <v>1</v>
      </c>
    </row>
    <row r="4" spans="2:14" s="52" customFormat="1" ht="30" customHeight="1">
      <c r="B4" s="88" t="s">
        <v>190</v>
      </c>
      <c r="C4" s="87"/>
      <c r="D4" s="155">
        <v>3.6</v>
      </c>
      <c r="E4" s="135">
        <f t="shared" si="0"/>
        <v>3.6</v>
      </c>
      <c r="F4" s="139">
        <f>D4*EUR</f>
        <v>0.34098479999999998</v>
      </c>
      <c r="G4" s="137">
        <f t="shared" ref="G4:G7" si="1">E4*NOK</f>
        <v>3.6</v>
      </c>
      <c r="I4" s="125" t="s">
        <v>112</v>
      </c>
      <c r="K4" s="535">
        <v>9.4717999999999997E-2</v>
      </c>
    </row>
    <row r="5" spans="2:14" s="52" customFormat="1" ht="30" customHeight="1">
      <c r="B5" s="140" t="s">
        <v>191</v>
      </c>
      <c r="C5" s="46"/>
      <c r="D5" s="155">
        <v>80</v>
      </c>
      <c r="E5" s="134">
        <f t="shared" si="0"/>
        <v>80</v>
      </c>
      <c r="F5" s="138">
        <f t="shared" ref="F5:F7" si="2">D5*EUR</f>
        <v>7.5774399999999993</v>
      </c>
      <c r="G5" s="136">
        <f t="shared" si="1"/>
        <v>80</v>
      </c>
      <c r="I5" s="90" t="s">
        <v>113</v>
      </c>
      <c r="J5" s="49"/>
      <c r="K5" s="536">
        <v>1</v>
      </c>
    </row>
    <row r="6" spans="2:14" s="52" customFormat="1" ht="30" customHeight="1">
      <c r="B6" s="88" t="s">
        <v>192</v>
      </c>
      <c r="C6" s="87"/>
      <c r="D6" s="155">
        <v>1</v>
      </c>
      <c r="E6" s="135">
        <f t="shared" si="0"/>
        <v>1</v>
      </c>
      <c r="F6" s="139">
        <f t="shared" si="2"/>
        <v>9.4717999999999997E-2</v>
      </c>
      <c r="G6" s="137">
        <f t="shared" si="1"/>
        <v>1</v>
      </c>
      <c r="I6" s="151"/>
      <c r="J6" s="152"/>
      <c r="K6" s="151"/>
    </row>
    <row r="7" spans="2:14" s="52" customFormat="1" ht="30" customHeight="1">
      <c r="B7" s="140" t="s">
        <v>193</v>
      </c>
      <c r="C7" s="46"/>
      <c r="D7" s="155">
        <v>5500</v>
      </c>
      <c r="E7" s="134">
        <f t="shared" si="0"/>
        <v>5500</v>
      </c>
      <c r="F7" s="138">
        <f t="shared" si="2"/>
        <v>520.94899999999996</v>
      </c>
      <c r="G7" s="136">
        <f t="shared" si="1"/>
        <v>5500</v>
      </c>
      <c r="J7" s="54"/>
    </row>
    <row r="8" spans="2:14" s="52" customFormat="1" ht="30" customHeight="1">
      <c r="B8" s="487" t="s">
        <v>194</v>
      </c>
      <c r="C8" s="488"/>
      <c r="D8" s="155">
        <v>2.66</v>
      </c>
      <c r="E8" s="489">
        <f>D8*IAAS_vcpu_SEK*SEK</f>
        <v>212.8</v>
      </c>
      <c r="F8" s="490">
        <f>D8*IAAS_vcpu_SEK*EUR</f>
        <v>20.1559904</v>
      </c>
      <c r="G8" s="491">
        <f>D8*IAAS_vcpu_SEK*NOK</f>
        <v>212.8</v>
      </c>
      <c r="I8" s="128" t="s">
        <v>29</v>
      </c>
      <c r="J8" s="129" t="s">
        <v>54</v>
      </c>
      <c r="K8" s="127" t="s">
        <v>36</v>
      </c>
    </row>
    <row r="9" spans="2:14" s="52" customFormat="1" ht="30" customHeight="1">
      <c r="B9" s="492"/>
      <c r="C9" s="493"/>
      <c r="D9" s="494"/>
      <c r="E9" s="494"/>
      <c r="F9" s="494"/>
      <c r="G9" s="494"/>
      <c r="I9" s="47" t="s">
        <v>53</v>
      </c>
      <c r="J9" s="150">
        <v>1</v>
      </c>
      <c r="K9" s="17">
        <f>J9*IAAS_vcpu_SEK</f>
        <v>80</v>
      </c>
    </row>
    <row r="10" spans="2:14" s="52" customFormat="1" ht="30" customHeight="1">
      <c r="B10" s="128" t="s">
        <v>260</v>
      </c>
      <c r="C10" s="126"/>
      <c r="D10" s="127" t="s">
        <v>51</v>
      </c>
      <c r="E10" s="127" t="s">
        <v>111</v>
      </c>
      <c r="F10" s="127" t="s">
        <v>112</v>
      </c>
      <c r="G10" s="127" t="s">
        <v>113</v>
      </c>
      <c r="I10" s="130" t="s">
        <v>52</v>
      </c>
      <c r="J10" s="150">
        <v>1</v>
      </c>
      <c r="K10" s="89">
        <f>J10*IAAS_ram_SEK</f>
        <v>55</v>
      </c>
    </row>
    <row r="11" spans="2:14" s="158" customFormat="1" ht="30" customHeight="1">
      <c r="B11" s="140" t="s">
        <v>66</v>
      </c>
      <c r="C11" s="46"/>
      <c r="D11" s="166">
        <f>INSTANCE_p1.4xlarge.16d_SEK/2</f>
        <v>6840</v>
      </c>
      <c r="E11" s="134">
        <f t="shared" ref="E11:E13" si="3">D11*SEK</f>
        <v>6840</v>
      </c>
      <c r="F11" s="138">
        <f t="shared" ref="F11:F13" si="4">D11*EUR</f>
        <v>647.87112000000002</v>
      </c>
      <c r="G11" s="136">
        <f t="shared" ref="G11:G13" si="5">E11*NOK</f>
        <v>6840</v>
      </c>
      <c r="I11" s="131" t="s">
        <v>55</v>
      </c>
      <c r="J11" s="132"/>
      <c r="K11" s="133">
        <f>SUM(K9:K10)</f>
        <v>135</v>
      </c>
    </row>
    <row r="12" spans="2:14" s="52" customFormat="1" ht="30" customHeight="1">
      <c r="B12" s="88" t="s">
        <v>67</v>
      </c>
      <c r="C12" s="87"/>
      <c r="D12" s="165">
        <v>13680</v>
      </c>
      <c r="E12" s="135">
        <f t="shared" si="3"/>
        <v>13680</v>
      </c>
      <c r="F12" s="139">
        <f t="shared" si="4"/>
        <v>1295.74224</v>
      </c>
      <c r="G12" s="137">
        <f t="shared" si="5"/>
        <v>13680</v>
      </c>
      <c r="L12" s="54"/>
      <c r="N12" s="537"/>
    </row>
    <row r="13" spans="2:14" ht="30" customHeight="1">
      <c r="B13" s="140" t="s">
        <v>68</v>
      </c>
      <c r="C13" s="46"/>
      <c r="D13" s="166">
        <f>INSTANCE_p1.4xlarge.16d_SEK*2</f>
        <v>27360</v>
      </c>
      <c r="E13" s="134">
        <f t="shared" si="3"/>
        <v>27360</v>
      </c>
      <c r="F13" s="138">
        <f t="shared" si="4"/>
        <v>2591.4844800000001</v>
      </c>
      <c r="G13" s="136">
        <f t="shared" si="5"/>
        <v>27360</v>
      </c>
      <c r="L13" s="538"/>
    </row>
    <row r="14" spans="2:14" ht="30" customHeight="1">
      <c r="B14" s="151"/>
      <c r="C14" s="151"/>
      <c r="D14" s="159"/>
      <c r="E14" s="151"/>
      <c r="F14" s="151"/>
      <c r="G14" s="151"/>
    </row>
    <row r="15" spans="2:14" s="539" customFormat="1" ht="30" customHeight="1">
      <c r="B15" s="128" t="s">
        <v>3</v>
      </c>
      <c r="C15" s="126"/>
      <c r="D15" s="127" t="s">
        <v>51</v>
      </c>
      <c r="E15" s="127" t="s">
        <v>111</v>
      </c>
      <c r="F15" s="127" t="s">
        <v>112</v>
      </c>
      <c r="G15" s="127" t="s">
        <v>113</v>
      </c>
    </row>
    <row r="16" spans="2:14" ht="30" customHeight="1">
      <c r="B16" s="140" t="s">
        <v>181</v>
      </c>
      <c r="C16" s="46"/>
      <c r="D16" s="155">
        <v>1.2</v>
      </c>
      <c r="E16" s="134">
        <f>D16*SEK</f>
        <v>1.2</v>
      </c>
      <c r="F16" s="138">
        <f>D16*EUR</f>
        <v>0.11366159999999999</v>
      </c>
      <c r="G16" s="136">
        <f>E16*NOK</f>
        <v>1.2</v>
      </c>
    </row>
    <row r="17" spans="2:7" s="539" customFormat="1" ht="30" customHeight="1">
      <c r="B17" s="88" t="s">
        <v>180</v>
      </c>
      <c r="C17" s="87"/>
      <c r="D17" s="155">
        <v>3.6</v>
      </c>
      <c r="E17" s="135">
        <f>D17*SEK</f>
        <v>3.6</v>
      </c>
      <c r="F17" s="139">
        <f>D17*EUR</f>
        <v>0.34098479999999998</v>
      </c>
      <c r="G17" s="137">
        <f>E17*NOK</f>
        <v>3.6</v>
      </c>
    </row>
    <row r="18" spans="2:7" ht="30" customHeight="1">
      <c r="B18" s="540"/>
      <c r="C18" s="540"/>
      <c r="D18" s="541"/>
      <c r="E18" s="540"/>
      <c r="F18" s="540"/>
      <c r="G18" s="540"/>
    </row>
    <row r="19" spans="2:7" s="539" customFormat="1" ht="30" customHeight="1">
      <c r="B19" s="128" t="s">
        <v>32</v>
      </c>
      <c r="C19" s="126"/>
      <c r="D19" s="127" t="s">
        <v>51</v>
      </c>
      <c r="E19" s="127" t="s">
        <v>111</v>
      </c>
      <c r="F19" s="127" t="s">
        <v>112</v>
      </c>
      <c r="G19" s="127" t="s">
        <v>113</v>
      </c>
    </row>
    <row r="20" spans="2:7" ht="30" customHeight="1">
      <c r="B20" s="140" t="s">
        <v>186</v>
      </c>
      <c r="C20" s="46"/>
      <c r="D20" s="155">
        <v>2.4500000000000002</v>
      </c>
      <c r="E20" s="134">
        <f t="shared" ref="E20:E23" si="6">D20*SEK</f>
        <v>2.4500000000000002</v>
      </c>
      <c r="F20" s="138">
        <f t="shared" ref="F20:F23" si="7">D20*EUR</f>
        <v>0.23205910000000002</v>
      </c>
      <c r="G20" s="136">
        <f t="shared" ref="G20:G23" si="8">E20*NOK</f>
        <v>2.4500000000000002</v>
      </c>
    </row>
    <row r="21" spans="2:7" s="539" customFormat="1" ht="30" customHeight="1">
      <c r="B21" s="88" t="s">
        <v>213</v>
      </c>
      <c r="C21" s="87"/>
      <c r="D21" s="156">
        <v>5500</v>
      </c>
      <c r="E21" s="135">
        <f t="shared" ref="E21:E22" si="9">D21*SEK</f>
        <v>5500</v>
      </c>
      <c r="F21" s="139">
        <f t="shared" ref="F21:F22" si="10">D21*EUR</f>
        <v>520.94899999999996</v>
      </c>
      <c r="G21" s="137">
        <f t="shared" ref="G21:G22" si="11">E21*NOK</f>
        <v>5500</v>
      </c>
    </row>
    <row r="22" spans="2:7" ht="30" customHeight="1">
      <c r="B22" s="140" t="s">
        <v>214</v>
      </c>
      <c r="C22" s="46"/>
      <c r="D22" s="155">
        <v>9500</v>
      </c>
      <c r="E22" s="134">
        <f t="shared" si="9"/>
        <v>9500</v>
      </c>
      <c r="F22" s="138">
        <f t="shared" si="10"/>
        <v>899.82099999999991</v>
      </c>
      <c r="G22" s="136">
        <f t="shared" si="11"/>
        <v>9500</v>
      </c>
    </row>
    <row r="23" spans="2:7" ht="30" customHeight="1">
      <c r="B23" s="88" t="s">
        <v>187</v>
      </c>
      <c r="C23" s="87"/>
      <c r="D23" s="156">
        <v>1.75</v>
      </c>
      <c r="E23" s="135">
        <f t="shared" si="6"/>
        <v>1.75</v>
      </c>
      <c r="F23" s="139">
        <f t="shared" si="7"/>
        <v>0.1657565</v>
      </c>
      <c r="G23" s="137">
        <f t="shared" si="8"/>
        <v>1.75</v>
      </c>
    </row>
    <row r="24" spans="2:7" ht="30" customHeight="1">
      <c r="B24" s="140" t="s">
        <v>188</v>
      </c>
      <c r="C24" s="46"/>
      <c r="D24" s="155">
        <v>0.92</v>
      </c>
      <c r="E24" s="134">
        <f t="shared" ref="E24" si="12">D24*SEK</f>
        <v>0.92</v>
      </c>
      <c r="F24" s="138">
        <f t="shared" ref="F24" si="13">D24*EUR</f>
        <v>8.7140560000000006E-2</v>
      </c>
      <c r="G24" s="136">
        <f t="shared" ref="G24" si="14">E24*NOK</f>
        <v>0.92</v>
      </c>
    </row>
    <row r="25" spans="2:7" ht="30" customHeight="1">
      <c r="B25" s="542"/>
      <c r="C25" s="542"/>
      <c r="D25" s="542"/>
      <c r="E25" s="542"/>
      <c r="F25" s="542"/>
      <c r="G25" s="542"/>
    </row>
    <row r="26" spans="2:7" ht="30" customHeight="1">
      <c r="B26" s="128" t="s">
        <v>27</v>
      </c>
      <c r="C26" s="126"/>
      <c r="D26" s="127" t="s">
        <v>51</v>
      </c>
      <c r="E26" s="127" t="s">
        <v>111</v>
      </c>
      <c r="F26" s="127" t="s">
        <v>112</v>
      </c>
      <c r="G26" s="127" t="s">
        <v>113</v>
      </c>
    </row>
    <row r="27" spans="2:7" ht="30" customHeight="1">
      <c r="B27" s="76" t="s">
        <v>199</v>
      </c>
      <c r="C27" s="46"/>
      <c r="D27" s="454">
        <v>350</v>
      </c>
      <c r="E27" s="134">
        <f t="shared" ref="E27:E30" si="15">D27*SEK</f>
        <v>350</v>
      </c>
      <c r="F27" s="138">
        <f t="shared" ref="F27:F30" si="16">D27*EUR</f>
        <v>33.151299999999999</v>
      </c>
      <c r="G27" s="136">
        <f t="shared" ref="G27:G31" si="17">E27*NOK</f>
        <v>350</v>
      </c>
    </row>
    <row r="28" spans="2:7" ht="30" customHeight="1">
      <c r="B28" s="77" t="s">
        <v>198</v>
      </c>
      <c r="C28" s="87"/>
      <c r="D28" s="454">
        <v>270</v>
      </c>
      <c r="E28" s="135">
        <f t="shared" si="15"/>
        <v>270</v>
      </c>
      <c r="F28" s="139">
        <f t="shared" si="16"/>
        <v>25.57386</v>
      </c>
      <c r="G28" s="137">
        <f t="shared" si="17"/>
        <v>270</v>
      </c>
    </row>
    <row r="29" spans="2:7" ht="30" customHeight="1">
      <c r="B29" s="76" t="s">
        <v>197</v>
      </c>
      <c r="C29" s="46"/>
      <c r="D29" s="454">
        <v>200</v>
      </c>
      <c r="E29" s="134">
        <f t="shared" si="15"/>
        <v>200</v>
      </c>
      <c r="F29" s="138">
        <f t="shared" si="16"/>
        <v>18.9436</v>
      </c>
      <c r="G29" s="136">
        <f t="shared" si="17"/>
        <v>200</v>
      </c>
    </row>
    <row r="30" spans="2:7" ht="30" customHeight="1">
      <c r="B30" s="77" t="s">
        <v>196</v>
      </c>
      <c r="C30" s="87"/>
      <c r="D30" s="454">
        <v>185</v>
      </c>
      <c r="E30" s="135">
        <f t="shared" si="15"/>
        <v>185</v>
      </c>
      <c r="F30" s="139">
        <f t="shared" si="16"/>
        <v>17.522829999999999</v>
      </c>
      <c r="G30" s="137">
        <f t="shared" si="17"/>
        <v>185</v>
      </c>
    </row>
    <row r="31" spans="2:7" ht="30" customHeight="1">
      <c r="B31" s="76" t="s">
        <v>200</v>
      </c>
      <c r="C31" s="46"/>
      <c r="D31" s="454" t="s">
        <v>74</v>
      </c>
      <c r="E31" s="163" t="str">
        <f>D31</f>
        <v>Be om offert</v>
      </c>
      <c r="F31" s="138" t="s">
        <v>212</v>
      </c>
      <c r="G31" s="136" t="e">
        <f t="shared" si="17"/>
        <v>#VALUE!</v>
      </c>
    </row>
    <row r="32" spans="2:7" ht="30" customHeight="1">
      <c r="B32" s="542"/>
      <c r="C32" s="542"/>
      <c r="D32" s="542"/>
      <c r="E32" s="542"/>
      <c r="F32" s="542"/>
      <c r="G32" s="542"/>
    </row>
    <row r="33" spans="2:7" ht="30" customHeight="1">
      <c r="B33" s="128" t="s">
        <v>130</v>
      </c>
      <c r="C33" s="126"/>
      <c r="D33" s="127" t="s">
        <v>51</v>
      </c>
      <c r="E33" s="127" t="s">
        <v>111</v>
      </c>
      <c r="F33" s="127" t="s">
        <v>112</v>
      </c>
      <c r="G33" s="127" t="s">
        <v>113</v>
      </c>
    </row>
    <row r="34" spans="2:7" ht="30" customHeight="1">
      <c r="B34" s="140" t="s">
        <v>167</v>
      </c>
      <c r="C34" s="46"/>
      <c r="D34" s="155">
        <v>20</v>
      </c>
      <c r="E34" s="134">
        <f t="shared" ref="E34:E40" si="18">D34*SEK</f>
        <v>20</v>
      </c>
      <c r="F34" s="138">
        <f>D34*EUR</f>
        <v>1.8943599999999998</v>
      </c>
      <c r="G34" s="136">
        <f t="shared" ref="G34:G40" si="19">E34*NOK</f>
        <v>20</v>
      </c>
    </row>
    <row r="35" spans="2:7" ht="30" customHeight="1">
      <c r="B35" s="88" t="s">
        <v>168</v>
      </c>
      <c r="C35" s="87"/>
      <c r="D35" s="155">
        <v>0</v>
      </c>
      <c r="E35" s="135">
        <f t="shared" si="18"/>
        <v>0</v>
      </c>
      <c r="F35" s="139">
        <f t="shared" ref="F35:F40" si="20">D35*EUR</f>
        <v>0</v>
      </c>
      <c r="G35" s="137">
        <f t="shared" si="19"/>
        <v>0</v>
      </c>
    </row>
    <row r="36" spans="2:7" ht="30" customHeight="1">
      <c r="B36" s="140" t="s">
        <v>173</v>
      </c>
      <c r="C36" s="46"/>
      <c r="D36" s="155">
        <v>0</v>
      </c>
      <c r="E36" s="134">
        <f t="shared" si="18"/>
        <v>0</v>
      </c>
      <c r="F36" s="138">
        <f t="shared" si="20"/>
        <v>0</v>
      </c>
      <c r="G36" s="136">
        <f t="shared" si="19"/>
        <v>0</v>
      </c>
    </row>
    <row r="37" spans="2:7" ht="30" customHeight="1">
      <c r="B37" s="88" t="s">
        <v>174</v>
      </c>
      <c r="C37" s="87"/>
      <c r="D37" s="155">
        <v>0.25</v>
      </c>
      <c r="E37" s="135">
        <f t="shared" si="18"/>
        <v>0.25</v>
      </c>
      <c r="F37" s="139">
        <f>D37*EUR</f>
        <v>2.3679499999999999E-2</v>
      </c>
      <c r="G37" s="137">
        <f t="shared" si="19"/>
        <v>0.25</v>
      </c>
    </row>
    <row r="38" spans="2:7" ht="30" customHeight="1">
      <c r="B38" s="140" t="s">
        <v>170</v>
      </c>
      <c r="C38" s="46"/>
      <c r="D38" s="155">
        <v>300</v>
      </c>
      <c r="E38" s="134">
        <f t="shared" si="18"/>
        <v>300</v>
      </c>
      <c r="F38" s="505">
        <f>D38*EUR</f>
        <v>28.415399999999998</v>
      </c>
      <c r="G38" s="136">
        <f t="shared" si="19"/>
        <v>300</v>
      </c>
    </row>
    <row r="39" spans="2:7" ht="30" customHeight="1">
      <c r="B39" s="88" t="s">
        <v>172</v>
      </c>
      <c r="C39" s="87"/>
      <c r="D39" s="155">
        <v>0</v>
      </c>
      <c r="E39" s="135">
        <f t="shared" si="18"/>
        <v>0</v>
      </c>
      <c r="F39" s="139">
        <f t="shared" si="20"/>
        <v>0</v>
      </c>
      <c r="G39" s="137">
        <f t="shared" si="19"/>
        <v>0</v>
      </c>
    </row>
    <row r="40" spans="2:7" ht="30" customHeight="1">
      <c r="B40" s="140" t="s">
        <v>171</v>
      </c>
      <c r="C40" s="46"/>
      <c r="D40" s="155">
        <v>0</v>
      </c>
      <c r="E40" s="134">
        <f t="shared" si="18"/>
        <v>0</v>
      </c>
      <c r="F40" s="138">
        <f t="shared" si="20"/>
        <v>0</v>
      </c>
      <c r="G40" s="136">
        <f t="shared" si="19"/>
        <v>0</v>
      </c>
    </row>
    <row r="41" spans="2:7" ht="30" customHeight="1">
      <c r="B41" s="88" t="s">
        <v>169</v>
      </c>
      <c r="C41" s="87"/>
      <c r="D41" s="156">
        <v>0</v>
      </c>
      <c r="E41" s="135">
        <f t="shared" ref="E41" si="21">D41*SEK</f>
        <v>0</v>
      </c>
      <c r="F41" s="139">
        <f t="shared" ref="F41" si="22">D41*EUR</f>
        <v>0</v>
      </c>
      <c r="G41" s="137">
        <f t="shared" ref="G41" si="23">E41*NOK</f>
        <v>0</v>
      </c>
    </row>
    <row r="42" spans="2:7" ht="30" customHeight="1">
      <c r="B42" s="540"/>
      <c r="C42" s="540"/>
      <c r="D42" s="541"/>
      <c r="E42" s="540"/>
      <c r="F42" s="540"/>
      <c r="G42" s="540"/>
    </row>
    <row r="43" spans="2:7" ht="30" customHeight="1">
      <c r="B43" s="128" t="s">
        <v>129</v>
      </c>
      <c r="C43" s="126"/>
      <c r="D43" s="127" t="s">
        <v>51</v>
      </c>
      <c r="E43" s="127" t="s">
        <v>111</v>
      </c>
      <c r="F43" s="127" t="s">
        <v>112</v>
      </c>
      <c r="G43" s="127" t="s">
        <v>113</v>
      </c>
    </row>
    <row r="44" spans="2:7" ht="30" customHeight="1">
      <c r="B44" s="140" t="s">
        <v>136</v>
      </c>
      <c r="C44" s="46"/>
      <c r="D44" s="155">
        <v>78</v>
      </c>
      <c r="E44" s="134">
        <f t="shared" ref="E44:E50" si="24">D44*SEK</f>
        <v>78</v>
      </c>
      <c r="F44" s="138">
        <f>D44*EUR</f>
        <v>7.3880039999999996</v>
      </c>
      <c r="G44" s="136">
        <f t="shared" ref="G44:G50" si="25">E44*NOK</f>
        <v>78</v>
      </c>
    </row>
    <row r="45" spans="2:7" ht="30" customHeight="1">
      <c r="B45" s="88" t="s">
        <v>86</v>
      </c>
      <c r="C45" s="87"/>
      <c r="D45" s="155">
        <v>940</v>
      </c>
      <c r="E45" s="135">
        <f t="shared" si="24"/>
        <v>940</v>
      </c>
      <c r="F45" s="139">
        <f>D45*EUR</f>
        <v>89.03492</v>
      </c>
      <c r="G45" s="137">
        <f t="shared" si="25"/>
        <v>940</v>
      </c>
    </row>
    <row r="46" spans="2:7" ht="30" customHeight="1">
      <c r="B46" s="140" t="s">
        <v>133</v>
      </c>
      <c r="C46" s="46"/>
      <c r="D46" s="155">
        <v>9800</v>
      </c>
      <c r="E46" s="134">
        <f t="shared" si="24"/>
        <v>9800</v>
      </c>
      <c r="F46" s="138">
        <f>D46*EUR</f>
        <v>928.2364</v>
      </c>
      <c r="G46" s="136">
        <f t="shared" si="25"/>
        <v>9800</v>
      </c>
    </row>
    <row r="47" spans="2:7" ht="30" customHeight="1">
      <c r="B47" s="88" t="s">
        <v>132</v>
      </c>
      <c r="C47" s="87"/>
      <c r="D47" s="155"/>
      <c r="E47" s="161" t="s">
        <v>121</v>
      </c>
      <c r="F47" s="162" t="s">
        <v>179</v>
      </c>
      <c r="G47" s="137"/>
    </row>
    <row r="48" spans="2:7" ht="30" customHeight="1">
      <c r="B48" s="140" t="s">
        <v>135</v>
      </c>
      <c r="C48" s="46"/>
      <c r="D48" s="155"/>
      <c r="E48" s="163" t="s">
        <v>121</v>
      </c>
      <c r="F48" s="164" t="s">
        <v>179</v>
      </c>
      <c r="G48" s="136"/>
    </row>
    <row r="49" spans="2:9" ht="30" customHeight="1">
      <c r="B49" s="88" t="s">
        <v>134</v>
      </c>
      <c r="C49" s="87"/>
      <c r="D49" s="155"/>
      <c r="E49" s="161" t="s">
        <v>289</v>
      </c>
      <c r="F49" s="162" t="s">
        <v>290</v>
      </c>
      <c r="G49" s="137"/>
    </row>
    <row r="50" spans="2:9" ht="30" customHeight="1">
      <c r="B50" s="140" t="s">
        <v>84</v>
      </c>
      <c r="C50" s="46"/>
      <c r="D50" s="155">
        <v>400</v>
      </c>
      <c r="E50" s="134">
        <f t="shared" si="24"/>
        <v>400</v>
      </c>
      <c r="F50" s="138">
        <f>D50*EUR</f>
        <v>37.8872</v>
      </c>
      <c r="G50" s="136">
        <f t="shared" si="25"/>
        <v>400</v>
      </c>
    </row>
    <row r="51" spans="2:9" ht="30" customHeight="1">
      <c r="B51" s="540"/>
      <c r="C51" s="540"/>
      <c r="D51" s="541"/>
      <c r="E51" s="540"/>
      <c r="F51" s="540"/>
      <c r="G51" s="540"/>
    </row>
    <row r="52" spans="2:9" ht="30" customHeight="1">
      <c r="B52" s="128" t="s">
        <v>87</v>
      </c>
      <c r="C52" s="126"/>
      <c r="D52" s="127" t="s">
        <v>51</v>
      </c>
      <c r="E52" s="127" t="s">
        <v>111</v>
      </c>
      <c r="F52" s="127" t="s">
        <v>112</v>
      </c>
      <c r="G52" s="127" t="s">
        <v>113</v>
      </c>
    </row>
    <row r="53" spans="2:9" ht="30" customHeight="1">
      <c r="B53" s="140" t="s">
        <v>92</v>
      </c>
      <c r="C53" s="46"/>
      <c r="D53" s="155">
        <f>PAAS_man.kubernetes_EUR*10</f>
        <v>49000</v>
      </c>
      <c r="E53" s="134">
        <f t="shared" ref="E53:E58" si="26">D53*SEK</f>
        <v>49000</v>
      </c>
      <c r="F53" s="138">
        <v>4900</v>
      </c>
      <c r="G53" s="136">
        <f t="shared" ref="G53:G58" si="27">E53*NOK</f>
        <v>49000</v>
      </c>
      <c r="I53" s="543"/>
    </row>
    <row r="54" spans="2:9" ht="30" customHeight="1">
      <c r="B54" s="88" t="s">
        <v>93</v>
      </c>
      <c r="C54" s="87"/>
      <c r="D54" s="155">
        <f>PAAS_man.postgres.sql_EUR*10</f>
        <v>19500</v>
      </c>
      <c r="E54" s="135">
        <f t="shared" si="26"/>
        <v>19500</v>
      </c>
      <c r="F54" s="139">
        <v>1950</v>
      </c>
      <c r="G54" s="137">
        <f t="shared" si="27"/>
        <v>19500</v>
      </c>
      <c r="I54" s="543"/>
    </row>
    <row r="55" spans="2:9" ht="30" customHeight="1">
      <c r="B55" s="140" t="s">
        <v>94</v>
      </c>
      <c r="C55" s="46"/>
      <c r="D55" s="155">
        <f>PAAS_man.elasticsearch_EUR*10</f>
        <v>19500</v>
      </c>
      <c r="E55" s="134">
        <f t="shared" si="26"/>
        <v>19500</v>
      </c>
      <c r="F55" s="138">
        <v>1950</v>
      </c>
      <c r="G55" s="136">
        <f t="shared" si="27"/>
        <v>19500</v>
      </c>
      <c r="I55" s="543"/>
    </row>
    <row r="56" spans="2:9" ht="30" customHeight="1">
      <c r="B56" s="88" t="s">
        <v>95</v>
      </c>
      <c r="C56" s="87"/>
      <c r="D56" s="155">
        <f>PAAS_man.redis_EUR*10</f>
        <v>19000</v>
      </c>
      <c r="E56" s="135">
        <f t="shared" si="26"/>
        <v>19000</v>
      </c>
      <c r="F56" s="139">
        <v>1900</v>
      </c>
      <c r="G56" s="137">
        <f t="shared" si="27"/>
        <v>19000</v>
      </c>
      <c r="I56" s="543"/>
    </row>
    <row r="57" spans="2:9" ht="30" customHeight="1">
      <c r="B57" s="140" t="s">
        <v>96</v>
      </c>
      <c r="C57" s="46"/>
      <c r="D57" s="155">
        <f>PAAS_man.nats_EUR*10</f>
        <v>19500</v>
      </c>
      <c r="E57" s="134">
        <f t="shared" si="26"/>
        <v>19500</v>
      </c>
      <c r="F57" s="138">
        <v>1950</v>
      </c>
      <c r="G57" s="136">
        <f t="shared" si="27"/>
        <v>19500</v>
      </c>
      <c r="I57" s="543"/>
    </row>
    <row r="58" spans="2:9" ht="30" customHeight="1">
      <c r="B58" s="88" t="s">
        <v>139</v>
      </c>
      <c r="C58" s="87"/>
      <c r="D58" s="155">
        <f>PAAS_man.mariadb_EUR*10</f>
        <v>19500</v>
      </c>
      <c r="E58" s="135">
        <f t="shared" si="26"/>
        <v>19500</v>
      </c>
      <c r="F58" s="139">
        <v>1950</v>
      </c>
      <c r="G58" s="137">
        <f t="shared" si="27"/>
        <v>19500</v>
      </c>
      <c r="I58" s="543"/>
    </row>
    <row r="59" spans="2:9" ht="30" customHeight="1">
      <c r="B59" s="540"/>
      <c r="C59" s="540"/>
      <c r="D59" s="541"/>
      <c r="E59" s="540"/>
      <c r="F59" s="540"/>
      <c r="G59" s="540"/>
      <c r="I59" s="543"/>
    </row>
    <row r="60" spans="2:9" ht="30" customHeight="1">
      <c r="B60" s="128" t="s">
        <v>148</v>
      </c>
      <c r="C60" s="126"/>
      <c r="D60" s="127" t="s">
        <v>51</v>
      </c>
      <c r="E60" s="127" t="s">
        <v>111</v>
      </c>
      <c r="F60" s="127" t="s">
        <v>112</v>
      </c>
      <c r="G60" s="127" t="s">
        <v>113</v>
      </c>
    </row>
    <row r="61" spans="2:9" ht="30" customHeight="1">
      <c r="B61" s="140" t="s">
        <v>205</v>
      </c>
      <c r="C61" s="46"/>
      <c r="D61" s="155">
        <v>1127</v>
      </c>
      <c r="E61" s="503">
        <f>D61*SEK</f>
        <v>1127</v>
      </c>
      <c r="F61" s="511">
        <f t="shared" ref="F61:F66" si="28">D61*EUR</f>
        <v>106.747186</v>
      </c>
      <c r="G61" s="136">
        <f t="shared" ref="G61:G66" si="29">E61*NOK</f>
        <v>1127</v>
      </c>
    </row>
    <row r="62" spans="2:9" ht="30" customHeight="1">
      <c r="B62" s="88" t="s">
        <v>206</v>
      </c>
      <c r="C62" s="87"/>
      <c r="D62" s="155">
        <v>1374</v>
      </c>
      <c r="E62" s="135">
        <f t="shared" ref="E62:E66" si="30">D62*SEK</f>
        <v>1374</v>
      </c>
      <c r="F62" s="512">
        <f t="shared" si="28"/>
        <v>130.14253199999999</v>
      </c>
      <c r="G62" s="137">
        <f t="shared" si="29"/>
        <v>1374</v>
      </c>
    </row>
    <row r="63" spans="2:9" ht="30" customHeight="1">
      <c r="B63" s="140" t="s">
        <v>207</v>
      </c>
      <c r="C63" s="46"/>
      <c r="D63" s="155">
        <v>1277</v>
      </c>
      <c r="E63" s="134">
        <f t="shared" si="30"/>
        <v>1277</v>
      </c>
      <c r="F63" s="513">
        <f t="shared" si="28"/>
        <v>120.954886</v>
      </c>
      <c r="G63" s="136">
        <f t="shared" si="29"/>
        <v>1277</v>
      </c>
    </row>
    <row r="64" spans="2:9" ht="30" customHeight="1">
      <c r="B64" s="88" t="s">
        <v>208</v>
      </c>
      <c r="C64" s="87"/>
      <c r="D64" s="155">
        <v>1374</v>
      </c>
      <c r="E64" s="135">
        <f t="shared" si="30"/>
        <v>1374</v>
      </c>
      <c r="F64" s="512">
        <f t="shared" si="28"/>
        <v>130.14253199999999</v>
      </c>
      <c r="G64" s="137">
        <f t="shared" si="29"/>
        <v>1374</v>
      </c>
    </row>
    <row r="65" spans="2:7" ht="30" customHeight="1">
      <c r="B65" s="140" t="s">
        <v>209</v>
      </c>
      <c r="C65" s="46"/>
      <c r="D65" s="155">
        <v>1139</v>
      </c>
      <c r="E65" s="134">
        <f t="shared" si="30"/>
        <v>1139</v>
      </c>
      <c r="F65" s="513">
        <f t="shared" si="28"/>
        <v>107.883802</v>
      </c>
      <c r="G65" s="136">
        <f t="shared" si="29"/>
        <v>1139</v>
      </c>
    </row>
    <row r="66" spans="2:7" ht="30" customHeight="1">
      <c r="B66" s="88" t="s">
        <v>210</v>
      </c>
      <c r="C66" s="87"/>
      <c r="D66" s="155">
        <v>1374</v>
      </c>
      <c r="E66" s="135">
        <f t="shared" si="30"/>
        <v>1374</v>
      </c>
      <c r="F66" s="512">
        <f t="shared" si="28"/>
        <v>130.14253199999999</v>
      </c>
      <c r="G66" s="137">
        <f t="shared" si="29"/>
        <v>1374</v>
      </c>
    </row>
  </sheetData>
  <phoneticPr fontId="2" type="noConversion"/>
  <conditionalFormatting sqref="J9">
    <cfRule type="cellIs" dxfId="23" priority="35" operator="greaterThan">
      <formula>0</formula>
    </cfRule>
  </conditionalFormatting>
  <conditionalFormatting sqref="J10">
    <cfRule type="cellIs" dxfId="22" priority="36" operator="greaterThan">
      <formula>0</formula>
    </cfRule>
  </conditionalFormatting>
  <conditionalFormatting sqref="D34 D36 D38 D40">
    <cfRule type="cellIs" dxfId="21" priority="34" operator="greaterThan">
      <formula>0</formula>
    </cfRule>
  </conditionalFormatting>
  <conditionalFormatting sqref="D35 D37 D39">
    <cfRule type="cellIs" dxfId="20" priority="33" operator="greaterThan">
      <formula>0</formula>
    </cfRule>
  </conditionalFormatting>
  <conditionalFormatting sqref="D41">
    <cfRule type="cellIs" dxfId="19" priority="32" operator="greaterThan">
      <formula>0</formula>
    </cfRule>
  </conditionalFormatting>
  <conditionalFormatting sqref="D16">
    <cfRule type="cellIs" dxfId="18" priority="23" operator="greaterThan">
      <formula>0</formula>
    </cfRule>
  </conditionalFormatting>
  <conditionalFormatting sqref="D17">
    <cfRule type="cellIs" dxfId="17" priority="22" operator="greaterThan">
      <formula>0</formula>
    </cfRule>
  </conditionalFormatting>
  <conditionalFormatting sqref="D3 D5 D7:D8">
    <cfRule type="cellIs" dxfId="16" priority="27" operator="greaterThan">
      <formula>0</formula>
    </cfRule>
  </conditionalFormatting>
  <conditionalFormatting sqref="D4 D6">
    <cfRule type="cellIs" dxfId="15" priority="26" operator="greaterThan">
      <formula>0</formula>
    </cfRule>
  </conditionalFormatting>
  <conditionalFormatting sqref="D56 D58">
    <cfRule type="cellIs" dxfId="14" priority="16" operator="greaterThan">
      <formula>0</formula>
    </cfRule>
  </conditionalFormatting>
  <conditionalFormatting sqref="D24">
    <cfRule type="cellIs" dxfId="13" priority="15" operator="greaterThan">
      <formula>0</formula>
    </cfRule>
  </conditionalFormatting>
  <conditionalFormatting sqref="D53 D55 D57">
    <cfRule type="cellIs" dxfId="12" priority="17" operator="greaterThan">
      <formula>0</formula>
    </cfRule>
  </conditionalFormatting>
  <conditionalFormatting sqref="D12">
    <cfRule type="cellIs" dxfId="11" priority="13" operator="greaterThan">
      <formula>0</formula>
    </cfRule>
  </conditionalFormatting>
  <conditionalFormatting sqref="D20">
    <cfRule type="cellIs" dxfId="10" priority="21" operator="greaterThan">
      <formula>0</formula>
    </cfRule>
  </conditionalFormatting>
  <conditionalFormatting sqref="D23">
    <cfRule type="cellIs" dxfId="9" priority="20" operator="greaterThan">
      <formula>0</formula>
    </cfRule>
  </conditionalFormatting>
  <conditionalFormatting sqref="D44 D46 D48 D50">
    <cfRule type="cellIs" dxfId="8" priority="19" operator="greaterThan">
      <formula>0</formula>
    </cfRule>
  </conditionalFormatting>
  <conditionalFormatting sqref="D45 D47 D49">
    <cfRule type="cellIs" dxfId="7" priority="18" operator="greaterThan">
      <formula>0</formula>
    </cfRule>
  </conditionalFormatting>
  <conditionalFormatting sqref="D27 D29 D31">
    <cfRule type="cellIs" dxfId="6" priority="12" operator="greaterThan">
      <formula>0</formula>
    </cfRule>
  </conditionalFormatting>
  <conditionalFormatting sqref="D28 D30">
    <cfRule type="cellIs" dxfId="5" priority="11" operator="greaterThan">
      <formula>0</formula>
    </cfRule>
  </conditionalFormatting>
  <conditionalFormatting sqref="D22">
    <cfRule type="cellIs" dxfId="4" priority="6" operator="greaterThan">
      <formula>0</formula>
    </cfRule>
  </conditionalFormatting>
  <conditionalFormatting sqref="D21">
    <cfRule type="cellIs" dxfId="3" priority="7" operator="greaterThan">
      <formula>0</formula>
    </cfRule>
  </conditionalFormatting>
  <conditionalFormatting sqref="D62 D64 D66">
    <cfRule type="cellIs" dxfId="2" priority="4" operator="greaterThan">
      <formula>0</formula>
    </cfRule>
  </conditionalFormatting>
  <conditionalFormatting sqref="D61 D63 D65">
    <cfRule type="cellIs" dxfId="1" priority="5" operator="greaterThan">
      <formula>0</formula>
    </cfRule>
  </conditionalFormatting>
  <conditionalFormatting sqref="D54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DA55C-3E04-43BC-9C10-F76F453885EF}">
  <ds:schemaRefs>
    <ds:schemaRef ds:uri="b02d781b-7fa0-453e-8cce-8f68a10659e7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c4dd6bfd-0b07-4feb-8f84-e45213ea2541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103</vt:i4>
      </vt:variant>
    </vt:vector>
  </HeadingPairs>
  <TitlesOfParts>
    <vt:vector size="106" baseType="lpstr">
      <vt:lpstr>EUR - Safespring priser 2020</vt:lpstr>
      <vt:lpstr>SEK - Safespring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IAAS_nvme_EUR</vt:lpstr>
      <vt:lpstr>IAAS_nvme_SEK</vt:lpstr>
      <vt:lpstr>IAAS_pcpu_EUR</vt:lpstr>
      <vt:lpstr>IAAS_pcpu_SEK</vt:lpstr>
      <vt:lpstr>IAAS_ram_EUR</vt:lpstr>
      <vt:lpstr>IAAS_ram_SEK</vt:lpstr>
      <vt:lpstr>IAAS_ssd_EUR</vt:lpstr>
      <vt:lpstr>IAAS_ssd_SEK</vt:lpstr>
      <vt:lpstr>IAAS_vcpu_EUR</vt:lpstr>
      <vt:lpstr>IAAS_vcpu_SEK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S3_storage.1000_EUR</vt:lpstr>
      <vt:lpstr>S3_storage.1000_SEK</vt:lpstr>
      <vt:lpstr>S3_storage.50_EUR</vt:lpstr>
      <vt:lpstr>S3_storage.50_SEK</vt:lpstr>
      <vt:lpstr>S3_storage.500_EUR</vt:lpstr>
      <vt:lpstr>S3_storage.500_SEK</vt:lpstr>
      <vt:lpstr>S3_storage.quote_EUR</vt:lpstr>
      <vt:lpstr>S3_storage.quote_SEK</vt:lpstr>
      <vt:lpstr>SEK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VOLUME_fast_EUR</vt:lpstr>
      <vt:lpstr>VOLUME_fast_SEK</vt:lpstr>
      <vt:lpstr>VOLUME_large_EUR</vt:lpstr>
      <vt:lpstr>VOLUME_large_SEK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cp:lastPrinted>2020-06-23T08:06:54Z</cp:lastPrinted>
  <dcterms:created xsi:type="dcterms:W3CDTF">2015-05-31T16:02:08Z</dcterms:created>
  <dcterms:modified xsi:type="dcterms:W3CDTF">2020-06-25T08:15:20Z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