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EAF1800E-A64B-774A-BF28-19E32C494AB3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20" yWindow="500" windowWidth="51200" windowHeight="28300" tabRatio="530" activeTab="1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3" i="13" l="1"/>
  <c r="K174" i="13"/>
  <c r="K175" i="13"/>
  <c r="K176" i="13"/>
  <c r="K177" i="13"/>
  <c r="K173" i="3"/>
  <c r="K174" i="3"/>
  <c r="K175" i="3"/>
  <c r="K176" i="3"/>
  <c r="C229" i="3" a="1"/>
  <c r="C229" i="3" s="1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<sst xmlns="http://schemas.openxmlformats.org/spreadsheetml/2006/main" count="2406" uniqueCount="739">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</sst>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582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395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5" t="s">
        <v>631</v>
      </c>
      <c r="C24" s="995"/>
      <c r="D24" s="995"/>
      <c r="E24" s="9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95" t="s">
        <v>631</v>
      </c>
      <c r="C45" s="995"/>
      <c r="D45" s="995"/>
      <c r="E45" s="995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8" t="s">
        <v>583</v>
      </c>
      <c r="C87" s="978"/>
      <c r="D87" s="978"/>
      <c r="E87" s="978"/>
      <c r="F87" s="978"/>
      <c r="G87" s="978"/>
      <c r="H87" s="978"/>
      <c r="I87" s="978"/>
      <c r="J87" s="978"/>
      <c r="K87" s="978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978"/>
      <c r="I89" s="978"/>
      <c r="J89" s="978"/>
      <c r="K89" s="978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589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430</v>
      </c>
      <c r="D132" s="979"/>
      <c r="E132" s="979" t="s">
        <v>431</v>
      </c>
      <c r="F132" s="979"/>
      <c r="G132" s="979" t="s">
        <v>228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429</v>
      </c>
      <c r="F133" s="987"/>
      <c r="G133" s="981">
        <v>15000</v>
      </c>
      <c r="H133" s="982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428</v>
      </c>
      <c r="D134" s="986"/>
      <c r="E134" s="988" t="s">
        <v>432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639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868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868" t="str">
        <f>PAAS_man.nats_SEK</f>
        <v>Begär offert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867" t="str">
        <f>PAAS_man.mariadb_SEK</f>
        <v>Begär offert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868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8" t="s">
        <v>241</v>
      </c>
      <c r="C181" s="978"/>
      <c r="D181" s="978"/>
      <c r="E181" s="978"/>
      <c r="F181" s="978"/>
      <c r="G181" s="978"/>
      <c r="H181" s="780"/>
      <c r="J181" s="674"/>
      <c r="K181" s="833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99" t="s">
        <v>493</v>
      </c>
      <c r="C184" s="999"/>
      <c r="D184" s="999"/>
      <c r="E184" s="999"/>
      <c r="F184" s="999"/>
      <c r="H184" s="780"/>
      <c r="J184" s="674"/>
      <c r="K184" s="833"/>
      <c r="M184" s="664"/>
    </row>
    <row r="185" spans="2:20" s="4" customFormat="1" ht="25" customHeight="1">
      <c r="B185" s="994" t="s">
        <v>406</v>
      </c>
      <c r="C185" s="994"/>
      <c r="D185" s="994"/>
      <c r="E185" s="994"/>
      <c r="F185" s="994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97" t="s">
        <v>255</v>
      </c>
      <c r="C219" s="997"/>
      <c r="D219" s="997"/>
      <c r="E219" s="997"/>
      <c r="F219" s="997"/>
      <c r="G219" s="99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8" t="s">
        <v>406</v>
      </c>
      <c r="C222" s="998"/>
      <c r="D222" s="998"/>
      <c r="E222" s="998"/>
      <c r="F222" s="998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ny71qrfhJcsuiyKqD76ty4xFZns8TiKwA34Q7NtG9U3lYqxw/dqvo4v7WOxum856CSWP6Zz09vjZeoRVgtTPUA==" saltValue="+mz5k6pWSr/x0hS/6+9CJA==" spinCount="100000" sheet="1" deleteRows="0" selectLockedCells="1"/>
  <mergeCells count="43">
    <mergeCell ref="B219:G221"/>
    <mergeCell ref="B222:F222"/>
    <mergeCell ref="B139:G141"/>
    <mergeCell ref="B181:G183"/>
    <mergeCell ref="B184:F184"/>
    <mergeCell ref="B185:F18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543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0" t="s">
        <v>719</v>
      </c>
      <c r="C24" s="1000"/>
      <c r="D24" s="1000"/>
      <c r="E24" s="1000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0" t="s">
        <v>719</v>
      </c>
      <c r="C45" s="1000"/>
      <c r="D45" s="1000"/>
      <c r="E45" s="1000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578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578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833"/>
      <c r="M87" s="664"/>
    </row>
    <row r="88" spans="2:26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833"/>
      <c r="M88" s="664"/>
    </row>
    <row r="89" spans="2:26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94" t="s">
        <v>543</v>
      </c>
      <c r="C114" s="994"/>
      <c r="D114" s="994"/>
      <c r="E114" s="994"/>
      <c r="F114" s="994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94" t="s">
        <v>587</v>
      </c>
      <c r="C129" s="994"/>
      <c r="D129" s="994"/>
      <c r="E129" s="994"/>
      <c r="F129" s="994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559</v>
      </c>
      <c r="D132" s="979"/>
      <c r="E132" s="979" t="s">
        <v>560</v>
      </c>
      <c r="F132" s="979"/>
      <c r="G132" s="979" t="s">
        <v>281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575</v>
      </c>
      <c r="F133" s="987"/>
      <c r="G133" s="981">
        <v>15000</v>
      </c>
      <c r="H133" s="982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561</v>
      </c>
      <c r="D134" s="986"/>
      <c r="E134" s="988" t="s">
        <v>562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287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994" t="s">
        <v>543</v>
      </c>
      <c r="C142" s="994"/>
      <c r="D142" s="994"/>
      <c r="E142" s="994"/>
      <c r="F142" s="994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868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4" t="s">
        <v>471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68" t="s">
        <v>567</v>
      </c>
      <c r="M176" s="664"/>
      <c r="N176" s="742"/>
      <c r="O176" s="8"/>
    </row>
    <row r="177" spans="2:20" ht="25" customHeight="1">
      <c r="B177" s="137" t="s">
        <v>472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867" t="s">
        <v>567</v>
      </c>
      <c r="M177" s="664"/>
      <c r="N177" s="742"/>
      <c r="O177" s="8"/>
    </row>
    <row r="178" spans="2:20" ht="25" customHeight="1">
      <c r="B178" s="134" t="s">
        <v>435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68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78" t="s">
        <v>295</v>
      </c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833"/>
      <c r="M184" s="664"/>
    </row>
    <row r="185" spans="2:20" s="4" customFormat="1" ht="25" customHeight="1">
      <c r="B185" s="999" t="s">
        <v>570</v>
      </c>
      <c r="C185" s="999"/>
      <c r="D185" s="999"/>
      <c r="E185" s="999"/>
      <c r="F185" s="999"/>
      <c r="H185" s="780"/>
      <c r="J185" s="674"/>
      <c r="K185" s="833"/>
      <c r="M185" s="664"/>
    </row>
    <row r="186" spans="2:20" s="4" customFormat="1" ht="25" customHeight="1">
      <c r="B186" s="994" t="s">
        <v>543</v>
      </c>
      <c r="C186" s="994"/>
      <c r="D186" s="994"/>
      <c r="E186" s="994"/>
      <c r="F186" s="994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97" t="s">
        <v>308</v>
      </c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7"/>
      <c r="C222" s="997"/>
      <c r="D222" s="997"/>
      <c r="E222" s="997"/>
      <c r="F222" s="997"/>
      <c r="G222" s="99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98" t="s">
        <v>543</v>
      </c>
      <c r="C223" s="998"/>
      <c r="D223" s="998"/>
      <c r="E223" s="998"/>
      <c r="F223" s="99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TeXO5i3iHzhpfVzSOyXKBANhqT7AYANW51Cx392gchMmlG1inruMe1RjWN4PiZb5VNWOu00GXhYVOJZSNNvCsw==" saltValue="neJfbEgMMFNOobwXJZ70wg==" spinCount="100000" sheet="1" selectLockedCells="1"/>
  <mergeCells count="47"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  <mergeCell ref="B110:G112"/>
    <mergeCell ref="B125:G127"/>
    <mergeCell ref="C132:D132"/>
    <mergeCell ref="E132:F132"/>
    <mergeCell ref="G132:H132"/>
    <mergeCell ref="D105:E105"/>
    <mergeCell ref="F105:G105"/>
    <mergeCell ref="H105:I105"/>
    <mergeCell ref="D106:E106"/>
    <mergeCell ref="F106:G106"/>
    <mergeCell ref="H106:I106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33" t="str">
        <f>"1 SEK = "&amp;EUR&amp;" EUR"</f>
        <v>1 SEK = 0,089 EUR</v>
      </c>
      <c r="E11" s="1033"/>
      <c r="F11" s="1033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05"/>
      <c r="C16" s="1005"/>
      <c r="D16" s="1005"/>
      <c r="E16" s="1005"/>
      <c r="F16" s="1005"/>
      <c r="G16" s="100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05"/>
      <c r="C17" s="1005"/>
      <c r="D17" s="1005"/>
      <c r="E17" s="1005"/>
      <c r="F17" s="1005"/>
      <c r="G17" s="100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32" t="s">
        <v>6</v>
      </c>
      <c r="C19" s="1032"/>
      <c r="D19" s="1032"/>
      <c r="E19" s="1032"/>
      <c r="F19" s="103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24" t="s">
        <v>65</v>
      </c>
      <c r="G88" s="102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37">
        <f>VOLUME_large_EUR</f>
        <v>0.10679999999999999</v>
      </c>
      <c r="G89" s="1037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3">
        <f>VOLUME_fast_EUR</f>
        <v>0.32040000000000002</v>
      </c>
      <c r="G90" s="1053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565"/>
      <c r="O95" s="168"/>
    </row>
    <row r="96" spans="2:23" s="169" customFormat="1" ht="2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565"/>
      <c r="O96" s="168"/>
    </row>
    <row r="97" spans="2:22" s="169" customFormat="1" ht="2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565"/>
      <c r="O97" s="168"/>
    </row>
    <row r="98" spans="2:22" s="169" customFormat="1" ht="25" customHeight="1">
      <c r="B98" s="1054" t="s">
        <v>73</v>
      </c>
      <c r="C98" s="1054"/>
      <c r="D98" s="1054"/>
      <c r="E98" s="1054"/>
      <c r="F98" s="1054"/>
      <c r="H98" s="177"/>
      <c r="J98" s="178"/>
      <c r="K98" s="178"/>
      <c r="M98" s="565"/>
      <c r="N98" s="182"/>
      <c r="O98" s="187"/>
    </row>
    <row r="99" spans="2:22" s="291" customFormat="1" ht="25" customHeight="1">
      <c r="B99" s="1032" t="s">
        <v>74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24" t="s">
        <v>76</v>
      </c>
      <c r="E102" s="1024"/>
      <c r="F102" s="1024"/>
      <c r="G102" s="1024"/>
      <c r="H102" s="266" t="s">
        <v>75</v>
      </c>
      <c r="I102" s="265"/>
      <c r="J102" s="1024"/>
      <c r="K102" s="102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35">
        <f>S3_storage.50_EUR</f>
        <v>31.15</v>
      </c>
      <c r="E104" s="1035"/>
      <c r="F104" s="1036"/>
      <c r="G104" s="1036"/>
      <c r="H104" s="1036"/>
      <c r="I104" s="1036"/>
      <c r="J104" s="1036"/>
      <c r="K104" s="103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23">
        <f>S3_storage.100_EUR</f>
        <v>24.029999999999998</v>
      </c>
      <c r="E105" s="1023"/>
      <c r="F105" s="1028"/>
      <c r="G105" s="1028"/>
      <c r="H105" s="1028"/>
      <c r="I105" s="1028"/>
      <c r="J105" s="1028"/>
      <c r="K105" s="1028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27">
        <f>S3_storage.500_EUR</f>
        <v>17.8</v>
      </c>
      <c r="E106" s="1027"/>
      <c r="F106" s="1022"/>
      <c r="G106" s="1022"/>
      <c r="H106" s="1022"/>
      <c r="I106" s="1022"/>
      <c r="J106" s="1022"/>
      <c r="K106" s="102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23">
        <f>S3_storage.1000_EUR</f>
        <v>16.465</v>
      </c>
      <c r="E107" s="1023"/>
      <c r="F107" s="1028"/>
      <c r="G107" s="1028"/>
      <c r="H107" s="1028"/>
      <c r="I107" s="1028"/>
      <c r="J107" s="1028"/>
      <c r="K107" s="1028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29" t="str">
        <f>S3_storage.quote_EUR</f>
        <v>Request a quote</v>
      </c>
      <c r="E108" s="1029"/>
      <c r="F108" s="1030"/>
      <c r="G108" s="1030"/>
      <c r="H108" s="1030"/>
      <c r="I108" s="1030"/>
      <c r="J108" s="1030"/>
      <c r="K108" s="1030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34" t="s">
        <v>76</v>
      </c>
      <c r="E111" s="1034"/>
      <c r="F111" s="1024"/>
      <c r="G111" s="1024"/>
      <c r="H111" s="266" t="s">
        <v>75</v>
      </c>
      <c r="I111" s="266"/>
      <c r="J111" s="1024"/>
      <c r="K111" s="102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35">
        <f>S3_archive.50_EUR</f>
        <v>31.15</v>
      </c>
      <c r="E113" s="1035"/>
      <c r="F113" s="1036"/>
      <c r="G113" s="1036"/>
      <c r="H113" s="1036"/>
      <c r="I113" s="1036"/>
      <c r="J113" s="1036"/>
      <c r="K113" s="103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23">
        <f>S3_archive.100_EUR</f>
        <v>24.029999999999998</v>
      </c>
      <c r="E114" s="1023"/>
      <c r="F114" s="1028"/>
      <c r="G114" s="1028"/>
      <c r="H114" s="1028"/>
      <c r="I114" s="1028"/>
      <c r="J114" s="1028"/>
      <c r="K114" s="1028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27">
        <f>S3_archive.500_EUR</f>
        <v>17.8</v>
      </c>
      <c r="E115" s="1027"/>
      <c r="F115" s="1022"/>
      <c r="G115" s="1022"/>
      <c r="H115" s="1022"/>
      <c r="I115" s="1022"/>
      <c r="J115" s="1022"/>
      <c r="K115" s="102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23">
        <f>S3_archive.1000_EUR</f>
        <v>16.465</v>
      </c>
      <c r="E116" s="1023"/>
      <c r="F116" s="1028"/>
      <c r="G116" s="1028"/>
      <c r="H116" s="1028"/>
      <c r="I116" s="1028"/>
      <c r="J116" s="1028"/>
      <c r="K116" s="1028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29" t="str">
        <f>S3_archive.quote_EUR</f>
        <v>Request a quote</v>
      </c>
      <c r="E117" s="1029"/>
      <c r="F117" s="1030"/>
      <c r="G117" s="1030"/>
      <c r="H117" s="1030"/>
      <c r="I117" s="1030"/>
      <c r="J117" s="1030"/>
      <c r="K117" s="1030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05" t="s">
        <v>86</v>
      </c>
      <c r="C122" s="1005"/>
      <c r="D122" s="1005"/>
      <c r="E122" s="1005"/>
      <c r="F122" s="1005"/>
      <c r="G122" s="100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05"/>
      <c r="C123" s="1005"/>
      <c r="D123" s="1005"/>
      <c r="E123" s="1005"/>
      <c r="F123" s="1005"/>
      <c r="G123" s="100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05"/>
      <c r="C124" s="1005"/>
      <c r="D124" s="1005"/>
      <c r="E124" s="1005"/>
      <c r="F124" s="1005"/>
      <c r="G124" s="100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26" t="s">
        <v>87</v>
      </c>
      <c r="C125" s="1026"/>
      <c r="D125" s="1026"/>
      <c r="E125" s="1026"/>
      <c r="F125" s="102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06" t="s">
        <v>6</v>
      </c>
      <c r="C126" s="1006"/>
      <c r="D126" s="1006"/>
      <c r="E126" s="1006"/>
      <c r="F126" s="100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24" t="s">
        <v>89</v>
      </c>
      <c r="G129" s="1024"/>
      <c r="H129" s="266" t="s">
        <v>90</v>
      </c>
      <c r="I129" s="265"/>
      <c r="J129" s="1038" t="s">
        <v>91</v>
      </c>
      <c r="K129" s="1038"/>
      <c r="L129" s="533"/>
      <c r="M129" s="575" t="s">
        <v>92</v>
      </c>
      <c r="N129" s="252"/>
      <c r="O129" s="160"/>
    </row>
    <row r="130" spans="2:34" ht="25" customHeight="1">
      <c r="B130" s="1039" t="s">
        <v>93</v>
      </c>
      <c r="C130" s="1039"/>
      <c r="D130" s="467" t="s">
        <v>94</v>
      </c>
      <c r="E130" s="29"/>
      <c r="F130" s="1040">
        <f>BAAS_on.demand_EUR</f>
        <v>0.21804999999999999</v>
      </c>
      <c r="G130" s="1041"/>
      <c r="H130" s="307">
        <v>0</v>
      </c>
      <c r="I130" s="272" t="s">
        <v>69</v>
      </c>
      <c r="J130" s="1042" t="s">
        <v>94</v>
      </c>
      <c r="K130" s="1042"/>
      <c r="L130" s="308"/>
      <c r="M130" s="576">
        <f>ROUNDUP(H130*F130,2)</f>
        <v>0</v>
      </c>
      <c r="N130" s="252"/>
      <c r="O130" s="160"/>
    </row>
    <row r="131" spans="2:34" ht="25" customHeight="1">
      <c r="B131" s="1043" t="s">
        <v>95</v>
      </c>
      <c r="C131" s="1043"/>
      <c r="D131" s="468">
        <f>BAAS_small.fee_EUR</f>
        <v>489.5</v>
      </c>
      <c r="E131" s="32"/>
      <c r="F131" s="1044">
        <f>BAAS_small_EUR</f>
        <v>0.15575</v>
      </c>
      <c r="G131" s="1045"/>
      <c r="H131" s="309">
        <v>0</v>
      </c>
      <c r="I131" s="276" t="s">
        <v>69</v>
      </c>
      <c r="J131" s="1046">
        <v>0.75</v>
      </c>
      <c r="K131" s="1047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8" t="s">
        <v>96</v>
      </c>
      <c r="C132" s="1048"/>
      <c r="D132" s="469">
        <f>BAAS_large.fee_EUR</f>
        <v>845.5</v>
      </c>
      <c r="E132" s="35"/>
      <c r="F132" s="1049">
        <f>BAAS_large_EUR</f>
        <v>8.1879999999999994E-2</v>
      </c>
      <c r="G132" s="1050"/>
      <c r="H132" s="298">
        <v>0</v>
      </c>
      <c r="I132" s="299" t="s">
        <v>69</v>
      </c>
      <c r="J132" s="1051">
        <v>0.75</v>
      </c>
      <c r="K132" s="1052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25" t="s">
        <v>97</v>
      </c>
      <c r="C135" s="1025"/>
      <c r="D135" s="1025"/>
      <c r="E135" s="1025"/>
      <c r="F135" s="1025"/>
      <c r="G135" s="1025"/>
      <c r="H135" s="1025"/>
      <c r="I135" s="1025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25" t="s">
        <v>98</v>
      </c>
      <c r="C136" s="1025"/>
      <c r="D136" s="1025"/>
      <c r="E136" s="1025"/>
      <c r="F136" s="1025"/>
      <c r="G136" s="1025"/>
      <c r="H136" s="1025"/>
      <c r="I136" s="1025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25" t="s">
        <v>99</v>
      </c>
      <c r="C137" s="1025"/>
      <c r="D137" s="1025"/>
      <c r="E137" s="1025"/>
      <c r="F137" s="1025"/>
      <c r="G137" s="1025"/>
      <c r="H137" s="1025"/>
      <c r="I137" s="1025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25" t="s">
        <v>404</v>
      </c>
      <c r="C138" s="1025"/>
      <c r="D138" s="1025"/>
      <c r="E138" s="1025"/>
      <c r="F138" s="1025"/>
      <c r="G138" s="1025"/>
      <c r="H138" s="1025"/>
      <c r="I138" s="1025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05" t="s">
        <v>100</v>
      </c>
      <c r="C143" s="1005"/>
      <c r="D143" s="1005"/>
      <c r="E143" s="1005"/>
      <c r="F143" s="1005"/>
      <c r="G143" s="100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05"/>
      <c r="C144" s="1005"/>
      <c r="D144" s="1005"/>
      <c r="E144" s="1005"/>
      <c r="F144" s="1005"/>
      <c r="G144" s="100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05"/>
      <c r="C145" s="1005"/>
      <c r="D145" s="1005"/>
      <c r="E145" s="1005"/>
      <c r="F145" s="1005"/>
      <c r="G145" s="100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06" t="s">
        <v>6</v>
      </c>
      <c r="C146" s="1006"/>
      <c r="D146" s="1006"/>
      <c r="E146" s="1006"/>
      <c r="F146" s="100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07"/>
      <c r="C147" s="1007"/>
      <c r="D147" s="1007"/>
      <c r="E147" s="1007"/>
      <c r="F147" s="100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03" t="s">
        <v>14</v>
      </c>
      <c r="M150" s="100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04">
        <f>NET_publicv4_EUR</f>
        <v>2.2250000000000001</v>
      </c>
      <c r="M151" s="100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56">
        <f>NET_publicv6_EUR</f>
        <v>0</v>
      </c>
      <c r="M152" s="105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57">
        <f>NET_ingress_EUR</f>
        <v>0</v>
      </c>
      <c r="M153" s="105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56">
        <f>NET_egress_EUR</f>
        <v>0</v>
      </c>
      <c r="M154" s="105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18" t="str">
        <f>NET_mgn.slb_EUR</f>
        <v>Request a quote</v>
      </c>
      <c r="M155" s="101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56">
        <f>NET_rdns_EUR</f>
        <v>0</v>
      </c>
      <c r="M156" s="105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18">
        <f>NET_byoip_EUR</f>
        <v>0</v>
      </c>
      <c r="M157" s="101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55"/>
      <c r="M158" s="105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2"/>
      <c r="M159" s="100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03" t="s">
        <v>14</v>
      </c>
      <c r="M160" s="100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04">
        <f>SW_win.ser.201X_EUR</f>
        <v>15.574999999999999</v>
      </c>
      <c r="M161" s="100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61">
        <f>SW_win.ser.201X_EUR</f>
        <v>15.574999999999999</v>
      </c>
      <c r="M162" s="106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18">
        <f>SW_ms.sql.ser_EUR</f>
        <v>109.381</v>
      </c>
      <c r="M163" s="101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62" t="str">
        <f>SW_stackn_EUR</f>
        <v>Request a quote</v>
      </c>
      <c r="M164" s="106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63" t="str">
        <f>SW_nextcloud_EUR</f>
        <v>Request a quote</v>
      </c>
      <c r="M165" s="106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62" t="str">
        <f>SW_suse_EUR</f>
        <v>Request a quote</v>
      </c>
      <c r="M166" s="106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63" t="str">
        <f>SW_cluster.control_EUR</f>
        <v>3x instance price</v>
      </c>
      <c r="M167" s="106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9">
        <f>SW_backup.ninja_EUR</f>
        <v>35.6</v>
      </c>
      <c r="M168" s="101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20"/>
      <c r="M169" s="1020"/>
      <c r="O169" s="205"/>
      <c r="P169" s="190"/>
      <c r="R169" s="284"/>
      <c r="S169" s="189"/>
    </row>
    <row r="170" spans="2:22" ht="25" customHeight="1">
      <c r="B170" s="471"/>
      <c r="K170" s="334"/>
      <c r="L170" s="1058"/>
      <c r="M170" s="105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2"/>
      <c r="M171" s="100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03" t="s">
        <v>14</v>
      </c>
      <c r="M172" s="1003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68" t="str">
        <f>PAAS_man.kubernetes24_EUR</f>
        <v>Request a quote</v>
      </c>
      <c r="M173" s="1068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69" t="str">
        <f>PAAS_man.kubernetes8_EUR</f>
        <v>Request a quote</v>
      </c>
      <c r="M174" s="106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59" t="str">
        <f>PAAS_man.elasticsearch_EUR</f>
        <v>Request a quote</v>
      </c>
      <c r="M175" s="105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69" t="str">
        <f>PAAS_man.redis_EUR</f>
        <v>Request a quote</v>
      </c>
      <c r="M176" s="106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59" t="str">
        <f>PAAS_man.nats_EUR</f>
        <v>Request a quote</v>
      </c>
      <c r="M177" s="105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60" t="str">
        <f>PAAS_man.mariadb_EUR</f>
        <v>Request a quote</v>
      </c>
      <c r="M178" s="106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20"/>
      <c r="M179" s="102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66"/>
      <c r="M180" s="106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67"/>
      <c r="M181" s="1067"/>
      <c r="N181" s="189"/>
      <c r="O181" s="205"/>
      <c r="P181" s="180"/>
      <c r="Q181" s="180"/>
    </row>
    <row r="182" spans="2:19" s="169" customFormat="1" ht="25" customHeight="1">
      <c r="B182" s="1005" t="s">
        <v>151</v>
      </c>
      <c r="C182" s="1005"/>
      <c r="D182" s="1005"/>
      <c r="E182" s="1005"/>
      <c r="F182" s="1005"/>
      <c r="G182" s="1005"/>
      <c r="H182" s="335"/>
      <c r="J182" s="178"/>
      <c r="L182" s="1011"/>
      <c r="M182" s="1011"/>
      <c r="N182" s="189"/>
      <c r="O182" s="205"/>
    </row>
    <row r="183" spans="2:19" s="169" customFormat="1" ht="25" customHeight="1">
      <c r="B183" s="1005"/>
      <c r="C183" s="1005"/>
      <c r="D183" s="1005"/>
      <c r="E183" s="1005"/>
      <c r="F183" s="1005"/>
      <c r="G183" s="1005"/>
      <c r="H183" s="335"/>
      <c r="J183" s="178"/>
      <c r="L183" s="1011"/>
      <c r="M183" s="1011"/>
      <c r="N183" s="189"/>
      <c r="O183" s="205"/>
    </row>
    <row r="184" spans="2:19" s="169" customFormat="1" ht="25" customHeight="1">
      <c r="B184" s="1005"/>
      <c r="C184" s="1005"/>
      <c r="D184" s="1005"/>
      <c r="E184" s="1005"/>
      <c r="F184" s="1005"/>
      <c r="G184" s="1005"/>
      <c r="H184" s="335"/>
      <c r="J184" s="178"/>
      <c r="L184" s="1011"/>
      <c r="M184" s="1011"/>
      <c r="N184" s="189"/>
      <c r="O184" s="205"/>
    </row>
    <row r="185" spans="2:19" s="169" customFormat="1" ht="25" customHeight="1">
      <c r="B185" s="1006" t="s">
        <v>6</v>
      </c>
      <c r="C185" s="1006"/>
      <c r="D185" s="1006"/>
      <c r="E185" s="1006"/>
      <c r="F185" s="1006"/>
      <c r="H185" s="335"/>
      <c r="J185" s="178"/>
      <c r="L185" s="1011"/>
      <c r="M185" s="1011"/>
      <c r="N185" s="189"/>
      <c r="O185" s="205"/>
    </row>
    <row r="186" spans="2:19" s="169" customFormat="1" ht="25" customHeight="1">
      <c r="B186" s="1007"/>
      <c r="C186" s="1007"/>
      <c r="D186" s="1007"/>
      <c r="E186" s="1007"/>
      <c r="F186" s="1007"/>
      <c r="G186" s="182"/>
      <c r="H186" s="183"/>
      <c r="I186" s="182"/>
      <c r="J186" s="184"/>
      <c r="K186" s="182"/>
      <c r="L186" s="1012"/>
      <c r="M186" s="101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12"/>
      <c r="M187" s="101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13"/>
      <c r="M188" s="101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03" t="s">
        <v>14</v>
      </c>
      <c r="M189" s="100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14">
        <v>0</v>
      </c>
      <c r="M190" s="101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64" t="s">
        <v>158</v>
      </c>
      <c r="M191" s="106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65" t="s">
        <v>162</v>
      </c>
      <c r="M192" s="106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20"/>
      <c r="M193" s="102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21"/>
      <c r="M194" s="102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2"/>
      <c r="M195" s="100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03" t="s">
        <v>14</v>
      </c>
      <c r="M196" s="100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04">
        <f>PS_consult.jun_EUR</f>
        <v>100.303</v>
      </c>
      <c r="M197" s="100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61">
        <f>PS_consult.sen_EUR</f>
        <v>122.28599999999999</v>
      </c>
      <c r="M198" s="106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18">
        <f>PS_cloudarch.jun_EUR</f>
        <v>113.65299999999999</v>
      </c>
      <c r="M199" s="101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61">
        <f>PS_cloudarch.sen_EUR</f>
        <v>122.28599999999999</v>
      </c>
      <c r="M200" s="106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18">
        <f>PS_pm.jun_EUR</f>
        <v>101.371</v>
      </c>
      <c r="M201" s="101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9">
        <f>PS_pm.sen_EUR</f>
        <v>122.28599999999999</v>
      </c>
      <c r="M202" s="101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20"/>
      <c r="M203" s="102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21"/>
      <c r="M204" s="102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2"/>
      <c r="M205" s="100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03" t="s">
        <v>179</v>
      </c>
      <c r="M206" s="100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14" t="s">
        <v>162</v>
      </c>
      <c r="M207" s="101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15" t="s">
        <v>162</v>
      </c>
      <c r="M208" s="101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16" t="s">
        <v>162</v>
      </c>
      <c r="M209" s="101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17" t="s">
        <v>162</v>
      </c>
      <c r="M210" s="101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08" t="s">
        <v>191</v>
      </c>
      <c r="C217" s="1008"/>
      <c r="D217" s="1008"/>
      <c r="E217" s="1008"/>
      <c r="F217" s="1008"/>
      <c r="G217" s="1008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08"/>
      <c r="C218" s="1008"/>
      <c r="D218" s="1008"/>
      <c r="E218" s="1008"/>
      <c r="F218" s="1008"/>
      <c r="G218" s="1008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08"/>
      <c r="C219" s="1008"/>
      <c r="D219" s="1008"/>
      <c r="E219" s="1008"/>
      <c r="F219" s="1008"/>
      <c r="G219" s="1008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09" t="s">
        <v>6</v>
      </c>
      <c r="C220" s="1009"/>
      <c r="D220" s="1009"/>
      <c r="E220" s="1009"/>
      <c r="F220" s="1009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10" t="str">
        <f>SUM(E67)&amp;" GB NVME-Disk"</f>
        <v>0 GB NVME-Disk</v>
      </c>
      <c r="G227" s="1010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33" t="str">
        <f>"1 SEK = "&amp;NOK&amp;" NOK"</f>
        <v>1 SEK = 1 NOK</v>
      </c>
      <c r="E11" s="1033"/>
      <c r="F11" s="103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32" t="s">
        <v>261</v>
      </c>
      <c r="C19" s="1032"/>
      <c r="D19" s="1032"/>
      <c r="E19" s="1032"/>
      <c r="F19" s="103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24" t="s">
        <v>272</v>
      </c>
      <c r="G88" s="102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84">
        <f>VOLUME_large_SEK</f>
        <v>1.2</v>
      </c>
      <c r="G89" s="108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82">
        <f>VOLUME_fast_SEK</f>
        <v>3.6</v>
      </c>
      <c r="G90" s="108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179"/>
      <c r="O95" s="168"/>
    </row>
    <row r="96" spans="2:23" s="169" customFormat="1" ht="25.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179"/>
      <c r="O96" s="168"/>
    </row>
    <row r="97" spans="2:23" s="169" customFormat="1" ht="25.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179"/>
      <c r="O97" s="168"/>
    </row>
    <row r="98" spans="2:23" s="169" customFormat="1" ht="25.5" customHeight="1">
      <c r="B98" s="1080" t="s">
        <v>274</v>
      </c>
      <c r="C98" s="1080"/>
      <c r="D98" s="1080"/>
      <c r="E98" s="1080"/>
      <c r="F98" s="108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32" t="s">
        <v>275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24" t="s">
        <v>278</v>
      </c>
      <c r="E102" s="1024"/>
      <c r="F102" s="1024"/>
      <c r="G102" s="1024"/>
      <c r="H102" s="1024"/>
      <c r="I102" s="1024"/>
      <c r="J102" s="1024"/>
      <c r="K102" s="102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83">
        <f>S3_storage.50_SEK</f>
        <v>350</v>
      </c>
      <c r="E103" s="1083"/>
      <c r="F103" s="1083"/>
      <c r="G103" s="1083"/>
      <c r="H103" s="1083"/>
      <c r="I103" s="1083"/>
      <c r="J103" s="1083"/>
      <c r="K103" s="108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8">
        <f>S3_storage.100_SEK</f>
        <v>270</v>
      </c>
      <c r="E104" s="1078"/>
      <c r="F104" s="1078"/>
      <c r="G104" s="1078"/>
      <c r="H104" s="1078"/>
      <c r="I104" s="1078"/>
      <c r="J104" s="1078"/>
      <c r="K104" s="107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81">
        <f>S3_storage.500_SEK</f>
        <v>200</v>
      </c>
      <c r="E105" s="1081"/>
      <c r="F105" s="1081"/>
      <c r="G105" s="1081"/>
      <c r="H105" s="1081"/>
      <c r="I105" s="1081"/>
      <c r="J105" s="1081"/>
      <c r="K105" s="108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8">
        <f>S3_storage.1000_SEK</f>
        <v>185</v>
      </c>
      <c r="E106" s="1078"/>
      <c r="F106" s="1078"/>
      <c r="G106" s="1078"/>
      <c r="H106" s="1078"/>
      <c r="I106" s="1078"/>
      <c r="J106" s="1078"/>
      <c r="K106" s="107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9" t="str">
        <f>S3_storage.quote_SEK</f>
        <v>Be om offert</v>
      </c>
      <c r="E107" s="1079"/>
      <c r="F107" s="1079"/>
      <c r="G107" s="1079"/>
      <c r="H107" s="1079"/>
      <c r="I107" s="1079"/>
      <c r="J107" s="1079"/>
      <c r="K107" s="107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05" t="s">
        <v>86</v>
      </c>
      <c r="C116" s="1005"/>
      <c r="D116" s="1005"/>
      <c r="E116" s="1005"/>
      <c r="F116" s="1005"/>
      <c r="G116" s="100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05"/>
      <c r="C117" s="1005"/>
      <c r="D117" s="1005"/>
      <c r="E117" s="1005"/>
      <c r="F117" s="1005"/>
      <c r="G117" s="100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05"/>
      <c r="C118" s="1005"/>
      <c r="D118" s="1005"/>
      <c r="E118" s="1005"/>
      <c r="F118" s="1005"/>
      <c r="G118" s="100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80" t="s">
        <v>279</v>
      </c>
      <c r="C119" s="1080"/>
      <c r="D119" s="1080"/>
      <c r="E119" s="1080"/>
      <c r="F119" s="108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32" t="s">
        <v>280</v>
      </c>
      <c r="C120" s="1032"/>
      <c r="D120" s="1032"/>
      <c r="E120" s="1032"/>
      <c r="F120" s="103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24" t="s">
        <v>281</v>
      </c>
      <c r="D123" s="1024"/>
      <c r="E123" s="131" t="s">
        <v>263</v>
      </c>
      <c r="F123" s="1024" t="s">
        <v>272</v>
      </c>
      <c r="G123" s="1024"/>
      <c r="H123" s="266" t="s">
        <v>90</v>
      </c>
      <c r="I123" s="265"/>
      <c r="J123" s="1038" t="s">
        <v>282</v>
      </c>
      <c r="K123" s="1038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2">
        <f>BAAS_on.demand_SEK</f>
        <v>2.4500000000000002</v>
      </c>
      <c r="G124" s="1073"/>
      <c r="H124" s="307"/>
      <c r="I124" s="472" t="s">
        <v>69</v>
      </c>
      <c r="J124" s="1042" t="s">
        <v>94</v>
      </c>
      <c r="K124" s="1042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4">
        <f>BAAS_small_SEK</f>
        <v>1.75</v>
      </c>
      <c r="G125" s="1075"/>
      <c r="H125" s="309"/>
      <c r="I125" s="473" t="s">
        <v>69</v>
      </c>
      <c r="J125" s="1046">
        <v>0.75</v>
      </c>
      <c r="K125" s="104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6">
        <f>BAAS_large_SEK</f>
        <v>0.92</v>
      </c>
      <c r="G126" s="1077"/>
      <c r="H126" s="298"/>
      <c r="I126" s="474" t="s">
        <v>69</v>
      </c>
      <c r="J126" s="1051">
        <v>0.75</v>
      </c>
      <c r="K126" s="105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05" t="s">
        <v>287</v>
      </c>
      <c r="C137" s="1005"/>
      <c r="D137" s="1005"/>
      <c r="E137" s="1005"/>
      <c r="F137" s="1005"/>
      <c r="G137" s="100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05"/>
      <c r="C138" s="1005"/>
      <c r="D138" s="1005"/>
      <c r="E138" s="1005"/>
      <c r="F138" s="1005"/>
      <c r="G138" s="100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05"/>
      <c r="C139" s="1005"/>
      <c r="D139" s="1005"/>
      <c r="E139" s="1005"/>
      <c r="F139" s="1005"/>
      <c r="G139" s="100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32" t="s">
        <v>280</v>
      </c>
      <c r="C140" s="1032"/>
      <c r="D140" s="1032"/>
      <c r="E140" s="1032"/>
      <c r="F140" s="103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07"/>
      <c r="C141" s="1007"/>
      <c r="D141" s="1007"/>
      <c r="E141" s="1007"/>
      <c r="F141" s="100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05" t="s">
        <v>295</v>
      </c>
      <c r="C176" s="1005"/>
      <c r="D176" s="1005"/>
      <c r="E176" s="1005"/>
      <c r="F176" s="1005"/>
      <c r="G176" s="100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05"/>
      <c r="C177" s="1005"/>
      <c r="D177" s="1005"/>
      <c r="E177" s="1005"/>
      <c r="F177" s="1005"/>
      <c r="G177" s="100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05"/>
      <c r="C178" s="1005"/>
      <c r="D178" s="1005"/>
      <c r="E178" s="1005"/>
      <c r="F178" s="1005"/>
      <c r="G178" s="100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32" t="s">
        <v>280</v>
      </c>
      <c r="C179" s="1032"/>
      <c r="D179" s="1032"/>
      <c r="E179" s="1032"/>
      <c r="F179" s="103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07"/>
      <c r="C180" s="1007"/>
      <c r="D180" s="1007"/>
      <c r="E180" s="1007"/>
      <c r="F180" s="100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08" t="s">
        <v>308</v>
      </c>
      <c r="C211" s="1008"/>
      <c r="D211" s="1008"/>
      <c r="E211" s="1008"/>
      <c r="F211" s="1008"/>
      <c r="G211" s="100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08"/>
      <c r="C212" s="1008"/>
      <c r="D212" s="1008"/>
      <c r="E212" s="1008"/>
      <c r="F212" s="1008"/>
      <c r="G212" s="100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08"/>
      <c r="C213" s="1008"/>
      <c r="D213" s="1008"/>
      <c r="E213" s="1008"/>
      <c r="F213" s="1008"/>
      <c r="G213" s="100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0" t="s">
        <v>309</v>
      </c>
      <c r="C214" s="1070"/>
      <c r="D214" s="1070"/>
      <c r="E214" s="1070"/>
      <c r="F214" s="107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71" t="str">
        <f>SUM(E67)&amp;" GB NVME-Disk"</f>
        <v>0 GB NVME-Disk</v>
      </c>
      <c r="G221" s="107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07" t="s">
        <v>205</v>
      </c>
      <c r="C19" s="1007"/>
      <c r="D19" s="1007"/>
      <c r="E19" s="1007"/>
      <c r="F19" s="100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24" t="s">
        <v>221</v>
      </c>
      <c r="G98" s="1024"/>
      <c r="H98" s="1038"/>
      <c r="I98" s="1038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84">
        <f>VOLUME_large_SEK</f>
        <v>1.2</v>
      </c>
      <c r="G99" s="1084"/>
      <c r="H99" s="1087"/>
      <c r="I99" s="108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82">
        <f>VOLUME_fast_SEK</f>
        <v>3.6</v>
      </c>
      <c r="G100" s="1082"/>
      <c r="H100" s="1089"/>
      <c r="I100" s="108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05" t="s">
        <v>339</v>
      </c>
      <c r="C105" s="1005"/>
      <c r="D105" s="1005"/>
      <c r="E105" s="1005"/>
      <c r="F105" s="1005"/>
      <c r="G105" s="100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05"/>
      <c r="C106" s="1005"/>
      <c r="D106" s="1005"/>
      <c r="E106" s="1005"/>
      <c r="F106" s="1005"/>
      <c r="G106" s="100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05"/>
      <c r="C107" s="1005"/>
      <c r="D107" s="1005"/>
      <c r="E107" s="1005"/>
      <c r="F107" s="1005"/>
      <c r="G107" s="100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4" t="s">
        <v>223</v>
      </c>
      <c r="C108" s="1054"/>
      <c r="D108" s="1054"/>
      <c r="E108" s="1054"/>
      <c r="F108" s="105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32" t="s">
        <v>340</v>
      </c>
      <c r="C109" s="1032"/>
      <c r="D109" s="1032"/>
      <c r="E109" s="1032"/>
      <c r="F109" s="103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24" t="s">
        <v>341</v>
      </c>
      <c r="E112" s="1024"/>
      <c r="F112" s="1024"/>
      <c r="G112" s="1024"/>
      <c r="H112" s="1024"/>
      <c r="I112" s="1024"/>
      <c r="J112" s="1024"/>
      <c r="K112" s="102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0">
        <f>S3_storage.50_SUNET</f>
        <v>0.35</v>
      </c>
      <c r="E113" s="1090"/>
      <c r="F113" s="1083"/>
      <c r="G113" s="1083"/>
      <c r="H113" s="1083"/>
      <c r="I113" s="1083"/>
      <c r="J113" s="1083"/>
      <c r="K113" s="108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88">
        <f>S3_storage.100_SUNET</f>
        <v>0.19</v>
      </c>
      <c r="E114" s="1088"/>
      <c r="F114" s="1078"/>
      <c r="G114" s="1078"/>
      <c r="H114" s="1078"/>
      <c r="I114" s="1078"/>
      <c r="J114" s="1078"/>
      <c r="K114" s="107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1">
        <f>S3_storage.500_SUNET</f>
        <v>0.1</v>
      </c>
      <c r="E115" s="1091"/>
      <c r="F115" s="1081"/>
      <c r="G115" s="1081"/>
      <c r="H115" s="1081"/>
      <c r="I115" s="1081"/>
      <c r="J115" s="1081"/>
      <c r="K115" s="108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88">
        <f>S3_storage.1000_SUNET</f>
        <v>0.06</v>
      </c>
      <c r="E116" s="1088"/>
      <c r="F116" s="1078"/>
      <c r="G116" s="1078"/>
      <c r="H116" s="1078"/>
      <c r="I116" s="1078"/>
      <c r="J116" s="1078"/>
      <c r="K116" s="107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2" t="str">
        <f>S3_storage.quote_SUNET</f>
        <v>Be om offert</v>
      </c>
      <c r="E117" s="1092"/>
      <c r="F117" s="1079"/>
      <c r="G117" s="1079"/>
      <c r="H117" s="1079"/>
      <c r="I117" s="1079"/>
      <c r="J117" s="1079"/>
      <c r="K117" s="107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24" t="s">
        <v>221</v>
      </c>
      <c r="G120" s="102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3" cm="1">
        <f t="array" ref="F121">_xlfn.IFS(H121&lt;=299,D113,H121&lt;1000,D114,H121&lt;2000,D115,H121&gt;=2000,D116)</f>
        <v>0.35</v>
      </c>
      <c r="G121" s="109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85">
        <f>ROUNDUP((H121*1000)*F121,2)</f>
        <v>0</v>
      </c>
      <c r="N121" s="108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86">
        <f>SUM(M121)</f>
        <v>0</v>
      </c>
      <c r="N122" s="108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05" t="s">
        <v>86</v>
      </c>
      <c r="C126" s="1005"/>
      <c r="D126" s="1005"/>
      <c r="E126" s="1005"/>
      <c r="F126" s="1005"/>
      <c r="G126" s="100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05"/>
      <c r="C127" s="1005"/>
      <c r="D127" s="1005"/>
      <c r="E127" s="1005"/>
      <c r="F127" s="1005"/>
      <c r="G127" s="100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05"/>
      <c r="C128" s="1005"/>
      <c r="D128" s="1005"/>
      <c r="E128" s="1005"/>
      <c r="F128" s="1005"/>
      <c r="G128" s="100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26" t="s">
        <v>87</v>
      </c>
      <c r="C129" s="1026"/>
      <c r="D129" s="1026"/>
      <c r="E129" s="1026"/>
      <c r="F129" s="102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07" t="s">
        <v>226</v>
      </c>
      <c r="C130" s="1007"/>
      <c r="D130" s="1007"/>
      <c r="E130" s="1007"/>
      <c r="F130" s="100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24" t="s">
        <v>228</v>
      </c>
      <c r="D133" s="1024"/>
      <c r="E133" s="131" t="s">
        <v>210</v>
      </c>
      <c r="F133" s="1024" t="s">
        <v>221</v>
      </c>
      <c r="G133" s="1024"/>
      <c r="H133" s="266" t="s">
        <v>90</v>
      </c>
      <c r="I133" s="265"/>
      <c r="J133" s="1038" t="s">
        <v>229</v>
      </c>
      <c r="K133" s="1038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2">
        <f>BAAS_on.demand_SEK</f>
        <v>2.4500000000000002</v>
      </c>
      <c r="G134" s="1073"/>
      <c r="H134" s="307">
        <v>0</v>
      </c>
      <c r="I134" s="472" t="s">
        <v>69</v>
      </c>
      <c r="J134" s="1042" t="s">
        <v>94</v>
      </c>
      <c r="K134" s="104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4">
        <f>BAAS_small_SEK</f>
        <v>1.75</v>
      </c>
      <c r="G135" s="1075"/>
      <c r="H135" s="309">
        <v>0</v>
      </c>
      <c r="I135" s="473" t="s">
        <v>69</v>
      </c>
      <c r="J135" s="1046">
        <v>0.75</v>
      </c>
      <c r="K135" s="104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6">
        <f>BAAS_large_SEK</f>
        <v>0.92</v>
      </c>
      <c r="G136" s="1077"/>
      <c r="H136" s="298">
        <v>0</v>
      </c>
      <c r="I136" s="474" t="s">
        <v>69</v>
      </c>
      <c r="J136" s="1051">
        <v>0.75</v>
      </c>
      <c r="K136" s="105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08" t="s">
        <v>255</v>
      </c>
      <c r="C150" s="1008"/>
      <c r="D150" s="1008"/>
      <c r="E150" s="1008"/>
      <c r="F150" s="1008"/>
      <c r="G150" s="100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08"/>
      <c r="C151" s="1008"/>
      <c r="D151" s="1008"/>
      <c r="E151" s="1008"/>
      <c r="F151" s="1008"/>
      <c r="G151" s="100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08"/>
      <c r="C152" s="1008"/>
      <c r="D152" s="1008"/>
      <c r="E152" s="1008"/>
      <c r="F152" s="1008"/>
      <c r="G152" s="100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0" t="s">
        <v>226</v>
      </c>
      <c r="C153" s="1070"/>
      <c r="D153" s="1070"/>
      <c r="E153" s="1070"/>
      <c r="F153" s="107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96" t="s">
        <v>196</v>
      </c>
      <c r="C160" s="109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97" t="s">
        <v>197</v>
      </c>
      <c r="C161" s="109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98" t="s">
        <v>199</v>
      </c>
      <c r="C163" s="109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95">
        <f>SUM(M160:M163)</f>
        <v>0</v>
      </c>
      <c r="K164" s="1095"/>
      <c r="L164" s="1095"/>
      <c r="M164" s="109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690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56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">
        <v>683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">
        <v>683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295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695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685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vBlm8+x20N7neGXfPW+6gPboyYZIeZ1g0qnTeJUgWwZhPOD5tlmlLv1xcD6zuYsx9YHW1jkmKYTw/P/ZUWakIg==" saltValue="lK1EdqQDkAZu6eUYQv5eNA==" spinCount="100000" sheet="1" selectLockedCells="1"/>
  <mergeCells count="36">
    <mergeCell ref="B184:F184"/>
    <mergeCell ref="B219:G221"/>
    <mergeCell ref="C134:D134"/>
    <mergeCell ref="E134:F134"/>
    <mergeCell ref="B139:G141"/>
    <mergeCell ref="B181:G183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100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56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tr">
        <f>PAAS_man.nats_EUR</f>
        <v>Request a quote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tr">
        <f>PAAS_man.mariadb_EUR</f>
        <v>Request a quote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525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526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994" t="s">
        <v>527</v>
      </c>
      <c r="C185" s="994"/>
      <c r="D185" s="994"/>
      <c r="E185" s="994"/>
      <c r="F185" s="994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538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98" t="s">
        <v>527</v>
      </c>
      <c r="C222" s="998"/>
      <c r="D222" s="998"/>
      <c r="E222" s="998"/>
      <c r="F222" s="998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ipgUkE/3UaUdh5BHXPzsvdC1lgHxPFAMXwlpQTT0EOK3PFB9ssmUWtKAaP1RwpbQbkYLJTEgCxnyrTgaMo0Dhg==" saltValue="Uvoo4yxIA4bm2D+2eh8sxA==" spinCount="100000" sheet="1" selectLockedCells="1"/>
  <mergeCells count="38">
    <mergeCell ref="B219:G221"/>
    <mergeCell ref="B222:F222"/>
    <mergeCell ref="C134:D134"/>
    <mergeCell ref="E134:F134"/>
    <mergeCell ref="B139:G141"/>
    <mergeCell ref="B181:G183"/>
    <mergeCell ref="B184:F184"/>
    <mergeCell ref="B185:F185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0:E100"/>
    <mergeCell ref="F100:G100"/>
    <mergeCell ref="H100:I100"/>
    <mergeCell ref="D102:E102"/>
    <mergeCell ref="F102:G102"/>
    <mergeCell ref="H102:I102"/>
    <mergeCell ref="B70:E70"/>
    <mergeCell ref="B4:C4"/>
    <mergeCell ref="B15:G17"/>
    <mergeCell ref="B60:E60"/>
    <mergeCell ref="B87:G89"/>
  </mergeCells>
  <phoneticPr fontId="2" type="noConversion"/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2024-05-06T07:44:22Z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