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19B65E79-BAD7-6744-8E6D-159A307A264E}" xr6:coauthVersionLast="47" xr6:coauthVersionMax="47" xr10:uidLastSave="{00000000-0000-0000-0000-000000000000}"/>
  <workbookProtection workbookAlgorithmName="SHA-512" workbookHashValue="Xb07t0USgf8srcbMrord74wOLX6hN1lL44nHlEamJxZME09o0FbeKv+VuD2RyQP/IObx9r49RiTkrZoWqaVHhA==" workbookSaltValue="wMi/GZUi5eITM2OoOUqu9g==" workbookSpinCount="100000" lockStructure="1"/>
  <bookViews>
    <workbookView xWindow="20" yWindow="500" windowWidth="51200" windowHeight="28300" tabRatio="530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2024'!$A$3:$L$241</definedName>
    <definedName name="_xlnm.Print_Area" localSheetId="2">'EUR - Safespring services 2021'!$I$43:$I$65</definedName>
    <definedName name="_xlnm.Print_Area" localSheetId="6">'EUR - Safespring services 2024'!$A$3:$L$241</definedName>
    <definedName name="_xlnm.Print_Area" localSheetId="1">'NOK - Safespring tjenester 2024'!$A$1:$L$242</definedName>
    <definedName name="_xlnm.Print_Area" localSheetId="3">'NOK - Safesprings tjeneste 2021'!$A$1:$N$305</definedName>
    <definedName name="_xlnm.Print_Area" localSheetId="0">'SEK - Safesprings tjänster 2024'!$A$1:$L$241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3" i="13" l="1"/>
  <c r="K174" i="13"/>
  <c r="K175" i="13"/>
  <c r="K176" i="13"/>
  <c r="K177" i="13"/>
  <c r="K173" i="3"/>
  <c r="K174" i="3"/>
  <c r="K175" i="3"/>
  <c r="K176" i="3"/>
  <c r="C229" i="3" a="1"/>
  <c r="C229" i="3" s="1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 a="1"/>
  <c r="F66" i="13" s="1"/>
  <c r="E66" i="13" a="1"/>
  <c r="E66" i="13" s="1"/>
  <c r="D66" i="13" a="1"/>
  <c r="D66" i="13" s="1"/>
  <c r="C66" i="13" a="1"/>
  <c r="C66" i="13" s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C47" i="13"/>
  <c r="B47" i="13"/>
  <c r="I40" i="13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C230" i="12" s="1" a="1"/>
  <c r="C230" i="12" s="1"/>
  <c r="D26" i="12"/>
  <c r="E26" i="12"/>
  <c r="C26" i="11"/>
  <c r="D26" i="11"/>
  <c r="E26" i="11"/>
  <c r="C229" i="13" l="1" a="1"/>
  <c r="C229" i="13" s="1"/>
  <c r="E40" i="13" a="1"/>
  <c r="E40" i="13" s="1"/>
  <c r="C40" i="13" a="1"/>
  <c r="C40" i="13" s="1"/>
  <c r="D40" i="13" a="1"/>
  <c r="D40" i="13" s="1"/>
  <c r="C57" i="13" a="1"/>
  <c r="C57" i="13" s="1"/>
  <c r="D57" i="13" a="1"/>
  <c r="D57" i="13" s="1"/>
  <c r="C229" i="11" a="1"/>
  <c r="C229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0" i="13" s="1"/>
  <c r="D114" i="8"/>
  <c r="C230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0" i="13" s="1"/>
  <c r="C231" i="12"/>
  <c r="K97" i="11"/>
  <c r="J230" i="11" s="1"/>
  <c r="C230" i="11"/>
  <c r="L174" i="8"/>
  <c r="G134" i="11"/>
  <c r="L173" i="8"/>
  <c r="G133" i="11"/>
  <c r="K133" i="11" s="1"/>
  <c r="K135" i="11" s="1"/>
  <c r="K97" i="12"/>
  <c r="J231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199" i="13" s="1"/>
  <c r="F73" i="4"/>
  <c r="K200" i="13" s="1"/>
  <c r="F74" i="4"/>
  <c r="K201" i="13" s="1"/>
  <c r="F75" i="4"/>
  <c r="K202" i="13" s="1"/>
  <c r="F76" i="4"/>
  <c r="K203" i="13" s="1"/>
  <c r="F71" i="4"/>
  <c r="K198" i="13" s="1"/>
  <c r="F45" i="4"/>
  <c r="F42" i="4"/>
  <c r="L167" i="8"/>
  <c r="E71" i="4"/>
  <c r="K199" i="12" s="1"/>
  <c r="E76" i="4"/>
  <c r="K204" i="12" s="1"/>
  <c r="E75" i="4"/>
  <c r="K203" i="12" s="1"/>
  <c r="E74" i="4"/>
  <c r="K202" i="12" s="1"/>
  <c r="E73" i="4"/>
  <c r="K201" i="12" s="1"/>
  <c r="E72" i="4"/>
  <c r="K200" i="12" s="1"/>
  <c r="K147" i="11" l="1"/>
  <c r="K147" i="13"/>
  <c r="K150" i="11"/>
  <c r="K150" i="13"/>
  <c r="L198" i="8"/>
  <c r="K199" i="11"/>
  <c r="L202" i="8"/>
  <c r="K203" i="11"/>
  <c r="L201" i="8"/>
  <c r="K202" i="11"/>
  <c r="L197" i="8"/>
  <c r="K198" i="11"/>
  <c r="L200" i="8"/>
  <c r="K201" i="11"/>
  <c r="L199" i="8"/>
  <c r="K200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1" i="13" s="1"/>
  <c r="E23" i="4"/>
  <c r="G118" i="12" s="1"/>
  <c r="K118" i="12" s="1"/>
  <c r="K121" i="12" s="1"/>
  <c r="J232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1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0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29" i="13" s="1"/>
  <c r="J232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0" i="12" s="1"/>
  <c r="J233" i="12" s="1"/>
  <c r="K84" i="11"/>
  <c r="J229" i="11" s="1"/>
  <c r="J232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1" i="3" s="1"/>
  <c r="K82" i="3"/>
  <c r="K81" i="3"/>
  <c r="F82" i="3"/>
  <c r="F81" i="3"/>
  <c r="K84" i="3" l="1"/>
  <c r="J229" i="3" s="1"/>
  <c r="J2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<sst xmlns="http://schemas.openxmlformats.org/spreadsheetml/2006/main" count="2406" uniqueCount="739">
  <si>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</si>
  <si>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</si>
  <si>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</si>
  <si>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</si>
  <si>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</si>
  <si>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</si>
  <si>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</si>
  <si>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</si>
  <si>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</si>
  <si>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</si>
  <si>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</si>
  <si>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</si>
  <si>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</si>
  <si>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</si>
  <si>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</si>
  <si>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</si>
  <si>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</si>
  <si>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</si>
  <si>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</si>
  <si>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</si>
  <si>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</si>
  <si>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</si>
  <si>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</si>
  <si>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</si>
  <si>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</si>
  <si>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</si>
  <si>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</si>
  <si>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</si>
  <si>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</si>
  <si>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</si>
  <si>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</si>
  <si>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</si>
  <si>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</si>
  <si>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</si>
  <si>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</si>
  <si>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</si>
  <si>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</si>
  <si>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</si>
  <si>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</si>
  <si>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</si>
  <si>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</si>
  <si>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</si>
  <si>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</si>
  <si>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</si>
  <si>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</si>
  <si>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</si>
  <si>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</si>
  <si>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</si>
  <si>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</si>
  <si>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</si>
  <si>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</si>
  <si>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</si>
  <si>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</si>
  <si>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</si>
  <si>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</si>
  <si>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</si>
  <si>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</si>
  <si>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</si>
  <si>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</si>
  <si>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</si>
  <si>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</si>
  <si>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</si>
  <si>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</si>
  <si>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</si>
  <si>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</si>
  <si>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</si>
  <si>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</si>
  <si>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</si>
  <si>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</si>
  <si>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</si>
  <si>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</si>
  <si>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</si>
  <si>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</si>
  <si>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</si>
  <si>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</si>
  <si>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</si>
  <si>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</si>
  <si>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</si>
  <si>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</si>
  <si>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</si>
  <si>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</si>
  <si>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</si>
  <si>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</si>
  <si>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</si>
  <si>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</si>
  <si>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</si>
  <si>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</si>
  <si>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</si>
  <si>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</si>
  <si>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</si>
  <si>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</si>
  <si>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</si>
  <si>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</si>
  <si>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</si>
  <si>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</si>
  <si>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</si>
  <si>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</si>
  <si>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</si>
  <si>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</si>
  <si>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</si>
  <si>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</si>
  <si>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</si>
  <si>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</si>
  <si>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</si>
  <si>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</si>
  <si>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</si>
  <si>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</si>
  <si>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</si>
  <si>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</si>
  <si>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</si>
  <si>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</si>
  <si>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</si>
  <si>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</si>
  <si>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</si>
  <si>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</si>
  <si>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</si>
  <si>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</si>
  <si>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</si>
  <si>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</si>
  <si>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</si>
  <si>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</si>
  <si>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</si>
  <si>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</si>
  <si>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</si>
  <si>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</si>
  <si>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</si>
  <si>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</si>
  <si>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</si>
  <si>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</si>
  <si>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</si>
  <si>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</si>
  <si>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</si>
  <si>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</si>
  <si>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</si>
  <si>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</si>
  <si>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</si>
  <si>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</si>
  <si>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</si>
  <si>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</si>
  <si>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</si>
  <si>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</si>
  <si>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</si>
  <si>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</si>
  <si>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</si>
  <si>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</si>
  <si>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</si>
  <si>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</si>
  <si>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</si>
  <si>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</si>
  <si>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</si>
  <si>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</si>
  <si>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</si>
  <si>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</si>
  <si>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</si>
  <si>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</si>
  <si>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</si>
  <si>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</si>
  <si>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</si>
  <si>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</si>
  <si>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</si>
  <si>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</si>
  <si>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</si>
  <si>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</si>
  <si>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</si>
  <si>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</si>
  <si>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</si>
  <si>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</si>
  <si>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</si>
  <si>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</si>
  <si>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</si>
  <si>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</si>
  <si>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</si>
  <si>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</si>
  <si>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</si>
  <si>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</si>
  <si>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</si>
  <si>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</si>
  <si>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</si>
  <si>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</si>
  <si>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</si>
  <si>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</si>
  <si>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</si>
  <si>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</si>
  <si>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</si>
  <si>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</si>
  <si>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</si>
  <si>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</si>
  <si>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</si>
  <si>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</si>
  <si>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</si>
  <si>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</si>
  <si>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</si>
  <si>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</si>
  <si>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</si>
  <si>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</si>
  <si>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</si>
  <si>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</si>
  <si>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</si>
  <si>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</si>
  <si>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</si>
  <si>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</si>
  <si>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</si>
  <si>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</si>
  <si>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</si>
  <si>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</si>
  <si>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</si>
  <si>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</si>
  <si>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</si>
  <si>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</si>
  <si>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</si>
  <si>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</si>
  <si>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</si>
  <si>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</si>
  <si>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</si>
  <si>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</si>
  <si>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</si>
  <si>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</si>
  <si>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</si>
  <si>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</si>
  <si>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</si>
  <si>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</si>
  <si>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</si>
  <si>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</si>
  <si>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</si>
  <si>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</si>
  <si>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</si>
  <si>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</si>
  <si>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</si>
  <si>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</si>
  <si>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</si>
  <si>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</si>
  <si>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</si>
  <si>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</si>
  <si>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</si>
  <si>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</si>
  <si>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</si>
  <si>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</si>
  <si>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</si>
  <si>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</si>
  <si>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</si>
  <si>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</si>
  <si>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</si>
  <si>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</si>
  <si>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</si>
  <si>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</si>
  <si>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</si>
  <si>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</si>
  <si>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</si>
  <si>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</si>
  <si>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</si>
  <si>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</si>
  <si>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</si>
  <si>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</si>
  <si>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</si>
  <si>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</si>
  <si>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</si>
  <si>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</si>
  <si>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</si>
  <si>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</si>
  <si>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</si>
  <si>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</si>
  <si>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</si>
  <si>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</si>
  <si>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</si>
  <si>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</si>
  <si>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</si>
  <si>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</si>
  <si>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</si>
  <si>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</si>
  <si>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</si>
  <si>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</si>
  <si>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</si>
  <si>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</si>
  <si>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</si>
  <si>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</si>
  <si>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</si>
  <si>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</si>
  <si>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</si>
  <si>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</si>
  <si>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</si>
  <si>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</si>
  <si>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</si>
  <si>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</si>
  <si>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</si>
  <si>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</si>
  <si>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</si>
  <si>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</si>
  <si>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</si>
  <si>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</si>
  <si>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</si>
  <si>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</si>
  <si>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</si>
  <si>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</si>
  <si>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</si>
  <si>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</si>
  <si>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</si>
  <si>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</si>
  <si>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</si>
  <si>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</si>
  <si>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</si>
  <si>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</si>
  <si>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</si>
  <si>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</si>
  <si>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</si>
  <si>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</si>
  <si>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</si>
  <si>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</si>
  <si>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</si>
  <si>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</si>
  <si>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</si>
  <si>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</si>
  <si>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</si>
  <si>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</si>
  <si>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</si>
  <si>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</si>
  <si>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</si>
  <si>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</si>
  <si>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</si>
  <si>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</si>
  <si>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</si>
  <si>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</si>
  <si>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</si>
  <si>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</si>
  <si>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</si>
  <si>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</si>
  <si>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</si>
  <si>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</si>
  <si>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</si>
  <si>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</si>
  <si>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</si>
  <si>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</si>
  <si>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</si>
  <si>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</si>
  <si>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</si>
  <si>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</si>
  <si>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</si>
  <si>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</si>
  <si>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</si>
  <si>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</si>
  <si>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</si>
  <si>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</si>
  <si>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</si>
  <si>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</si>
  <si>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</si>
  <si>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</si>
  <si>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</si>
  <si>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</si>
  <si>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</si>
  <si>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</si>
  <si>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</si>
  <si>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</si>
  <si>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</si>
  <si>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</si>
  <si>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</si>
  <si>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</si>
  <si>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</si>
  <si>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</si>
  <si>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</si>
  <si>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</si>
  <si>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</si>
  <si>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</si>
  <si>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</si>
  <si>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</si>
  <si>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</si>
  <si>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</si>
  <si>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</si>
  <si>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</si>
  <si>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</si>
  <si>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</si>
  <si>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</si>
  <si>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</si>
  <si>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</si>
  <si>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</si>
  <si>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</si>
  <si>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</si>
  <si>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</si>
  <si>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</si>
  <si>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</si>
  <si>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</si>
  <si>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</si>
  <si>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</si>
  <si>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</si>
  <si>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</si>
  <si>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</si>
  <si>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</si>
  <si>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</si>
  <si>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</si>
  <si>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</si>
  <si>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</si>
  <si>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</si>
  <si>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</si>
  <si>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</si>
  <si>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</si>
  <si>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</si>
  <si>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</si>
  <si>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</si>
  <si>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</si>
  <si>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</si>
  <si>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</si>
  <si>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</si>
  <si>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</si>
  <si>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</si>
  <si>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</si>
  <si>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</si>
  <si>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</si>
  <si>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</si>
  <si>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</si>
  <si>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</si>
  <si>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</si>
  <si>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</si>
  <si>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</si>
  <si>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</si>
  <si>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</si>
  <si>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</si>
  <si>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</si>
  <si>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</si>
  <si>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</si>
  <si>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</si>
  <si>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</si>
  <si>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</si>
  <si>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</si>
  <si>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</si>
  <si>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</si>
  <si>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</si>
  <si>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</si>
  <si>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</si>
  <si>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</si>
  <si>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</si>
  <si>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</si>
  <si>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</si>
  <si>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</si>
  <si>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</si>
  <si>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</si>
  <si>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</si>
  <si>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</si>
  <si>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</si>
  <si>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</si>
  <si>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</si>
  <si>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</si>
  <si>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</si>
  <si>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</si>
  <si>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</si>
  <si>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</si>
  <si>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</si>
  <si>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</si>
  <si>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</si>
  <si>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</si>
  <si>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</si>
  <si>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</si>
  <si>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</si>
  <si>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</si>
  <si>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</si>
  <si>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</si>
  <si>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</si>
  <si>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</si>
  <si>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</si>
  <si>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</si>
  <si>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</si>
  <si>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</si>
  <si>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</si>
  <si>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</si>
  <si>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</si>
  <si>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</si>
  <si>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</si>
  <si>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</si>
  <si>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</si>
  <si>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</si>
  <si>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</si>
  <si>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</si>
  <si>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</si>
  <si>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</si>
  <si>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</si>
  <si>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</si>
  <si>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</si>
  <si>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</si>
  <si>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</si>
  <si>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</si>
  <si>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</si>
  <si>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</si>
  <si>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</si>
  <si>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</si>
  <si>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</si>
  <si>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</si>
  <si>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</si>
  <si>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</si>
  <si>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</si>
  <si>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</si>
  <si>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</si>
  <si>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</si>
  <si>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</si>
  <si>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</si>
  <si>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</si>
  <si>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</si>
  <si>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</si>
  <si>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</si>
  <si>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</si>
  <si>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</si>
  <si>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</si>
  <si>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</si>
  <si>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</si>
  <si>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</si>
  <si>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</si>
  <si>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</si>
  <si>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</si>
  <si>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</si>
  <si>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</si>
  <si>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</si>
  <si>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</si>
  <si>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</si>
  <si>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</si>
  <si>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</si>
  <si>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</si>
  <si>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</si>
  <si>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</si>
  <si>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</si>
  <si>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</si>
  <si>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</si>
  <si>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</si>
  <si>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</si>
  <si>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</si>
  <si>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</si>
  <si>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</si>
  <si>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</si>
  <si>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</si>
  <si>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</si>
  <si>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</si>
  <si>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</si>
  <si>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</si>
  <si>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</si>
  <si>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</si>
  <si>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</si>
  <si>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</si>
  <si>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</si>
  <si>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</si>
  <si>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</si>
  <si>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</si>
  <si>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</si>
  <si>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</si>
  <si>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</si>
  <si>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</si>
  <si>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</si>
  <si>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</si>
  <si>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</si>
  <si>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</si>
  <si>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</si>
  <si>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</si>
  <si>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</si>
  <si>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</si>
  <si>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</si>
  <si>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</si>
  <si>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</si>
  <si>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</si>
  <si>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</si>
  <si>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</si>
  <si>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</si>
  <si>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</si>
  <si>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</si>
  <si>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</si>
  <si>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</si>
  <si>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</si>
  <si>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</si>
  <si>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</si>
  <si>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</si>
  <si>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</si>
  <si>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</si>
  <si>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</si>
  <si>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</si>
  <si>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</si>
  <si>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</si>
  <si>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</si>
  <si>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</si>
  <si>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</si>
  <si>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</si>
  <si>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</si>
  <si>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</si>
  <si>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</si>
  <si>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</si>
  <si>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</si>
  <si>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</si>
  <si>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</si>
  <si>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</si>
  <si>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</si>
  <si>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</si>
  <si>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</si>
  <si>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</si>
  <si>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</si>
  <si>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</si>
  <si>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</si>
  <si>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</si>
  <si>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</si>
  <si>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</si>
  <si>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</si>
  <si>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</si>
  <si>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</si>
  <si>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</si>
  <si>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</si>
  <si>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</si>
  <si>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</si>
  <si>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</si>
  <si>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</si>
  <si>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</si>
  <si>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</si>
  <si>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</si>
  <si>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</si>
  <si>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</si>
  <si>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</si>
  <si>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</si>
  <si>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</si>
  <si>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</si>
  <si>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</si>
  <si>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</si>
  <si>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</si>
  <si>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</si>
  <si>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</si>
  <si>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</si>
  <si>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</si>
  <si>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</si>
  <si>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</si>
  <si>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</si>
  <si>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</si>
  <si>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</si>
  <si>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</si>
  <si>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</si>
  <si>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</si>
  <si>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</si>
  <si>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</si>
  <si>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</si>
  <si>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</si>
  <si>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</si>
  <si>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</si>
  <si>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</si>
  <si>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</si>
  <si>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</si>
  <si>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</si>
  <si>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</si>
  <si>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</si>
  <si>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</si>
  <si>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</si>
  <si>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</si>
  <si>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</si>
  <si>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</si>
  <si>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</si>
  <si>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</si>
  <si>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</si>
  <si>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</si>
  <si>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</si>
  <si>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</si>
  <si>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</si>
  <si>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</si>
  <si>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</si>
  <si>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</si>
  <si>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</si>
  <si>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</si>
  <si>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</si>
  <si>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</si>
  <si>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</si>
  <si>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</si>
  <si>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</si>
  <si>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</si>
  <si>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</si>
  <si>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</si>
  <si>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</si>
  <si>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</si>
  <si>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</si>
  <si>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</si>
  <si>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</si>
  <si>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</si>
  <si>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</si>
  <si>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</si>
  <si>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</si>
  <si>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</si>
  <si>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</si>
  <si>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</si>
  <si>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</si>
  <si>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</si>
  <si>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</si>
  <si>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</si>
  <si>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</si>
  <si>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</si>
  <si>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</si>
  <si>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</si>
  <si>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</si>
  <si>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</si>
  <si>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</si>
  <si>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</si>
  <si>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</si>
  <si>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</si>
  <si>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</si>
  <si>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</si>
  <si>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</si>
  <si>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</si>
  <si>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</si>
  <si>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</si>
  <si>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</si>
  <si>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</si>
  <si>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</si>
  <si>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</si>
  <si>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</si>
  <si>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</si>
  <si>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</si>
  <si>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</si>
  <si>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</si>
  <si>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</si>
  <si>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</si>
  <si>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</si>
  <si>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</si>
  <si>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</si>
  <si>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</si>
  <si>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</si>
  <si>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</si>
  <si>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</si>
  <si>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</si>
  <si>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</si>
  <si>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</si>
  <si>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</si>
  <si>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</si>
  <si>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</si>
  <si>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</si>
  <si>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</si>
  <si>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</si>
  <si>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</si>
  <si>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</si>
  <si>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</si>
  <si>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</si>
  <si>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</si>
  <si>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Managed Opensearch (ingår i Compliant Kubernetes)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</si>
  <si>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man.opensearch</t>
    </r>
  </si>
  <si>
    <t>Managed Opensearch (inkludert i Compliant Kubernetes)</t>
  </si>
  <si>
    <t>Managed Opensearch (inkluderet i Compliant Kubernetes)</t>
  </si>
  <si>
    <t>Managed Opensearch (included in Compliant Kubernetes)</t>
  </si>
  <si>
    <t>Microsoft Windows Server</t>
  </si>
  <si>
    <t>Microsoft SQL Server standard</t>
  </si>
  <si>
    <t>Microsoft SQL Server Enterprise</t>
  </si>
  <si>
    <t>Nextcloud Hub</t>
  </si>
  <si>
    <t>SUSE Linux Enterprise Server</t>
  </si>
  <si>
    <t>Priskalkylator 2024-05-06</t>
  </si>
  <si>
    <t>Priskalkulator 2024-05-06</t>
  </si>
  <si>
    <t>Prisberegner 2024-05-06</t>
  </si>
  <si>
    <t>Price calculator 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</si>
</sst>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8"/>
  <sheetViews>
    <sheetView showGridLines="0" tabSelected="1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582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636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94" t="s">
        <v>395</v>
      </c>
      <c r="C19" s="994"/>
      <c r="D19" s="994"/>
      <c r="E19" s="994"/>
      <c r="F19" s="994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5" t="s">
        <v>631</v>
      </c>
      <c r="C24" s="995"/>
      <c r="D24" s="995"/>
      <c r="E24" s="995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603</v>
      </c>
      <c r="E25" s="131" t="s">
        <v>602</v>
      </c>
      <c r="F25" s="131" t="s">
        <v>210</v>
      </c>
      <c r="G25" s="131" t="s">
        <v>422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604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605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606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607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608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609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610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611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612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613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614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615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632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616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630</v>
      </c>
      <c r="C44" s="650"/>
      <c r="D44" s="650"/>
      <c r="K44" s="842"/>
      <c r="M44" s="664"/>
    </row>
    <row r="45" spans="2:19" ht="25" customHeight="1">
      <c r="B45" s="995" t="s">
        <v>631</v>
      </c>
      <c r="C45" s="995"/>
      <c r="D45" s="995"/>
      <c r="E45" s="995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433</v>
      </c>
      <c r="F46" s="12" t="s">
        <v>210</v>
      </c>
      <c r="G46" s="131" t="s">
        <v>422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617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618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619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620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621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622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623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624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625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626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96" t="s">
        <v>577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577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436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494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422</v>
      </c>
      <c r="H80" s="24"/>
      <c r="I80" s="728" t="s">
        <v>66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78" t="s">
        <v>583</v>
      </c>
      <c r="C87" s="978"/>
      <c r="D87" s="978"/>
      <c r="E87" s="978"/>
      <c r="F87" s="978"/>
      <c r="G87" s="978"/>
      <c r="H87" s="978"/>
      <c r="I87" s="978"/>
      <c r="J87" s="978"/>
      <c r="K87" s="978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978"/>
      <c r="I88" s="978"/>
      <c r="J88" s="978"/>
      <c r="K88" s="978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978"/>
      <c r="I89" s="978"/>
      <c r="J89" s="978"/>
      <c r="K89" s="978"/>
      <c r="M89" s="664"/>
    </row>
    <row r="90" spans="2:20" s="4" customFormat="1" ht="25" customHeight="1">
      <c r="B90" s="549" t="s">
        <v>594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488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912" t="s">
        <v>580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 t="s">
        <v>581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8" t="s">
        <v>589</v>
      </c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833"/>
      <c r="L112" s="674"/>
      <c r="M112" s="664"/>
    </row>
    <row r="113" spans="2:32" s="4" customFormat="1" ht="25" customHeight="1">
      <c r="B113" s="549" t="s">
        <v>637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406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434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552</v>
      </c>
      <c r="H117" s="24"/>
      <c r="I117" s="728" t="s">
        <v>90</v>
      </c>
      <c r="J117" s="728" t="s">
        <v>440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584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585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79" t="s">
        <v>430</v>
      </c>
      <c r="D132" s="979"/>
      <c r="E132" s="979" t="s">
        <v>431</v>
      </c>
      <c r="F132" s="979"/>
      <c r="G132" s="979" t="s">
        <v>228</v>
      </c>
      <c r="H132" s="979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429</v>
      </c>
      <c r="F133" s="987"/>
      <c r="G133" s="981">
        <v>15000</v>
      </c>
      <c r="H133" s="982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86" t="s">
        <v>428</v>
      </c>
      <c r="D134" s="986"/>
      <c r="E134" s="988" t="s">
        <v>432</v>
      </c>
      <c r="F134" s="988"/>
      <c r="G134" s="983">
        <v>24000</v>
      </c>
      <c r="H134" s="984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639</v>
      </c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833"/>
      <c r="M141" s="664"/>
    </row>
    <row r="142" spans="2:32" s="4" customFormat="1" ht="25" customHeight="1">
      <c r="B142" s="465" t="s">
        <v>406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492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638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718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441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725</v>
      </c>
      <c r="F173" s="30"/>
      <c r="G173" s="30"/>
      <c r="H173" s="30"/>
      <c r="I173" s="30"/>
      <c r="J173" s="40"/>
      <c r="K173" s="868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868" t="str">
        <f>PAAS_man.nats_SEK</f>
        <v>Begär offert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867" t="str">
        <f>PAAS_man.mariadb_SEK</f>
        <v>Begär offert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868" t="s">
        <v>245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857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K180" s="846"/>
      <c r="L180" s="742"/>
      <c r="M180" s="664"/>
      <c r="N180" s="675"/>
      <c r="O180" s="675"/>
    </row>
    <row r="181" spans="2:20" s="4" customFormat="1" ht="25" customHeight="1">
      <c r="B181" s="978" t="s">
        <v>241</v>
      </c>
      <c r="C181" s="978"/>
      <c r="D181" s="978"/>
      <c r="E181" s="978"/>
      <c r="F181" s="978"/>
      <c r="G181" s="978"/>
      <c r="H181" s="780"/>
      <c r="J181" s="674"/>
      <c r="K181" s="833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833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833"/>
      <c r="M183" s="664"/>
    </row>
    <row r="184" spans="2:20" s="4" customFormat="1" ht="25" customHeight="1">
      <c r="B184" s="999" t="s">
        <v>493</v>
      </c>
      <c r="C184" s="999"/>
      <c r="D184" s="999"/>
      <c r="E184" s="999"/>
      <c r="F184" s="999"/>
      <c r="H184" s="780"/>
      <c r="J184" s="674"/>
      <c r="K184" s="833"/>
      <c r="M184" s="664"/>
    </row>
    <row r="185" spans="2:20" s="4" customFormat="1" ht="25" customHeight="1">
      <c r="B185" s="994" t="s">
        <v>406</v>
      </c>
      <c r="C185" s="994"/>
      <c r="D185" s="994"/>
      <c r="E185" s="994"/>
      <c r="F185" s="994"/>
      <c r="G185" s="677"/>
      <c r="H185" s="678"/>
      <c r="I185" s="677"/>
      <c r="J185" s="679"/>
      <c r="K185" s="834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834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858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489</v>
      </c>
      <c r="M188" s="664"/>
    </row>
    <row r="189" spans="2:20" ht="25" customHeight="1">
      <c r="B189" s="470" t="s">
        <v>208</v>
      </c>
      <c r="C189" s="23"/>
      <c r="D189" s="23" t="s">
        <v>220</v>
      </c>
      <c r="E189" s="132"/>
      <c r="F189" s="24"/>
      <c r="G189" s="131"/>
      <c r="H189" s="131"/>
      <c r="I189" s="23" t="s">
        <v>235</v>
      </c>
      <c r="J189" s="23"/>
      <c r="K189" s="612" t="s">
        <v>92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407</v>
      </c>
      <c r="E190" s="40"/>
      <c r="F190" s="30"/>
      <c r="G190" s="40"/>
      <c r="H190" s="40"/>
      <c r="I190" s="775" t="s">
        <v>94</v>
      </c>
      <c r="J190" s="775"/>
      <c r="K190" s="555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640</v>
      </c>
      <c r="E191" s="31"/>
      <c r="F191" s="771"/>
      <c r="G191" s="779"/>
      <c r="H191" s="779"/>
      <c r="I191" s="773" t="s">
        <v>242</v>
      </c>
      <c r="J191" s="773"/>
      <c r="K191" s="554" t="s">
        <v>486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641</v>
      </c>
      <c r="E192" s="129"/>
      <c r="F192" s="129"/>
      <c r="G192" s="129"/>
      <c r="H192" s="40"/>
      <c r="I192" s="770" t="s">
        <v>244</v>
      </c>
      <c r="J192" s="770"/>
      <c r="K192" s="555" t="s">
        <v>245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857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554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247</v>
      </c>
      <c r="C195" s="878"/>
      <c r="D195" s="878"/>
      <c r="F195" s="878"/>
      <c r="G195" s="878"/>
      <c r="H195" s="878"/>
      <c r="I195" s="879"/>
      <c r="J195" s="879"/>
      <c r="K195" s="704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490</v>
      </c>
      <c r="M196" s="664"/>
    </row>
    <row r="197" spans="2:18" ht="25" customHeight="1">
      <c r="B197" s="470" t="s">
        <v>208</v>
      </c>
      <c r="C197" s="23"/>
      <c r="D197" s="23" t="s">
        <v>220</v>
      </c>
      <c r="E197" s="132"/>
      <c r="F197" s="24"/>
      <c r="G197" s="131"/>
      <c r="H197" s="131"/>
      <c r="I197" s="23" t="s">
        <v>235</v>
      </c>
      <c r="J197" s="23"/>
      <c r="K197" s="612" t="s">
        <v>92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244</v>
      </c>
      <c r="J198" s="770"/>
      <c r="K198" s="629">
        <f>PS_consult.jun_SEK</f>
        <v>1127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244</v>
      </c>
      <c r="J199" s="773"/>
      <c r="K199" s="867">
        <f>PS_consult.sen_SEK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244</v>
      </c>
      <c r="J200" s="770"/>
      <c r="K200" s="629">
        <f>PS_cloudarch.jun_SEK</f>
        <v>1277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244</v>
      </c>
      <c r="J201" s="773"/>
      <c r="K201" s="867">
        <f>PS_cloudarch.sen_SEK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244</v>
      </c>
      <c r="J202" s="770"/>
      <c r="K202" s="629">
        <f>PS_pm.jun_SEK</f>
        <v>1139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244</v>
      </c>
      <c r="J203" s="773"/>
      <c r="K203" s="867">
        <f>PS_pm.sen_SEK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857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554"/>
      <c r="M205" s="664"/>
      <c r="N205" s="742"/>
      <c r="O205" s="8"/>
    </row>
    <row r="206" spans="2:18" ht="25" customHeight="1">
      <c r="B206" s="649" t="s">
        <v>248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491</v>
      </c>
      <c r="M207" s="664"/>
    </row>
    <row r="208" spans="2:18" ht="25" customHeight="1">
      <c r="B208" s="470" t="s">
        <v>208</v>
      </c>
      <c r="C208" s="23"/>
      <c r="D208" s="23" t="s">
        <v>220</v>
      </c>
      <c r="E208" s="132"/>
      <c r="F208" s="24"/>
      <c r="G208" s="23" t="s">
        <v>249</v>
      </c>
      <c r="H208" s="23"/>
      <c r="I208" s="23" t="s">
        <v>235</v>
      </c>
      <c r="J208" s="23"/>
      <c r="K208" s="612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250</v>
      </c>
      <c r="E209" s="40"/>
      <c r="F209" s="30"/>
      <c r="G209" s="770" t="s">
        <v>251</v>
      </c>
      <c r="H209" s="770"/>
      <c r="I209" s="770" t="s">
        <v>252</v>
      </c>
      <c r="J209" s="770"/>
      <c r="K209" s="555" t="s">
        <v>245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642</v>
      </c>
      <c r="E210" s="31"/>
      <c r="F210" s="771"/>
      <c r="G210" s="773" t="s">
        <v>251</v>
      </c>
      <c r="H210" s="773"/>
      <c r="I210" s="773" t="s">
        <v>252</v>
      </c>
      <c r="J210" s="773"/>
      <c r="K210" s="554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643</v>
      </c>
      <c r="E211" s="40"/>
      <c r="F211" s="30"/>
      <c r="G211" s="770" t="s">
        <v>253</v>
      </c>
      <c r="H211" s="770"/>
      <c r="I211" s="770" t="s">
        <v>252</v>
      </c>
      <c r="J211" s="770"/>
      <c r="K211" s="555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254</v>
      </c>
      <c r="E212" s="31"/>
      <c r="F212" s="771"/>
      <c r="G212" s="773" t="s">
        <v>253</v>
      </c>
      <c r="H212" s="773"/>
      <c r="I212" s="773" t="s">
        <v>252</v>
      </c>
      <c r="J212" s="773"/>
      <c r="K212" s="554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857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847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8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997" t="s">
        <v>255</v>
      </c>
      <c r="C219" s="997"/>
      <c r="D219" s="997"/>
      <c r="E219" s="997"/>
      <c r="F219" s="997"/>
      <c r="G219" s="997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98" t="s">
        <v>406</v>
      </c>
      <c r="C222" s="998"/>
      <c r="D222" s="998"/>
      <c r="E222" s="998"/>
      <c r="F222" s="998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22" t="s">
        <v>644</v>
      </c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18" t="s">
        <v>202</v>
      </c>
      <c r="C225" s="62"/>
      <c r="D225" s="62"/>
      <c r="E225" s="62"/>
      <c r="F225" s="62"/>
      <c r="G225" s="3"/>
      <c r="H225" s="666"/>
      <c r="I225" s="3"/>
      <c r="J225" s="667"/>
      <c r="K225" s="831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8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8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255</v>
      </c>
      <c r="K228" s="8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660">
        <f>K66+K75+K57+K40+K84</f>
        <v>0</v>
      </c>
      <c r="K229" s="828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Storage"&amp;"     /     "&amp;K95&amp;" TB - Archive"</f>
        <v>0 TB - Storage     /     0 TB - Archive</v>
      </c>
      <c r="D230" s="658"/>
      <c r="E230" s="658"/>
      <c r="F230" s="802"/>
      <c r="G230" s="803"/>
      <c r="H230" s="803"/>
      <c r="I230" s="804"/>
      <c r="J230" s="661">
        <f>K97</f>
        <v>0</v>
      </c>
      <c r="K230" s="828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661">
        <f>K121</f>
        <v>0</v>
      </c>
      <c r="K231" s="828"/>
      <c r="L231" s="2"/>
      <c r="M231" s="664"/>
      <c r="N231" s="28"/>
    </row>
    <row r="232" spans="1:20" s="808" customFormat="1" ht="25" customHeight="1">
      <c r="A232" s="806"/>
      <c r="B232" s="972" t="s">
        <v>222</v>
      </c>
      <c r="C232" s="807"/>
      <c r="D232" s="807"/>
      <c r="E232" s="807"/>
      <c r="F232" s="807"/>
      <c r="G232" s="807"/>
      <c r="H232" s="807"/>
      <c r="I232" s="807"/>
      <c r="J232" s="662">
        <f>SUM(J229:J231)</f>
        <v>0</v>
      </c>
      <c r="K232" s="8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8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828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594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865"/>
    </row>
    <row r="237" spans="1:20" s="112" customFormat="1" ht="25" customHeight="1">
      <c r="B237" s="913" t="s">
        <v>645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3" t="s">
        <v>437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646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28" spans="2:4" ht="25" customHeight="1">
      <c r="B328" s="647"/>
      <c r="C328" s="38"/>
      <c r="D328" s="96"/>
    </row>
  </sheetData>
  <sheetProtection algorithmName="SHA-512" hashValue="ny71qrfhJcsuiyKqD76ty4xFZns8TiKwA34Q7NtG9U3lYqxw/dqvo4v7WOxum856CSWP6Zz09vjZeoRVgtTPUA==" saltValue="+mz5k6pWSr/x0hS/6+9CJA==" spinCount="100000" sheet="1" deleteRows="0" selectLockedCells="1"/>
  <mergeCells count="43">
    <mergeCell ref="B219:G221"/>
    <mergeCell ref="B222:F222"/>
    <mergeCell ref="B139:G141"/>
    <mergeCell ref="B181:G183"/>
    <mergeCell ref="B184:F184"/>
    <mergeCell ref="B185:F18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425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647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94" t="s">
        <v>543</v>
      </c>
      <c r="C19" s="994"/>
      <c r="D19" s="994"/>
      <c r="E19" s="994"/>
      <c r="F19" s="994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0" t="s">
        <v>719</v>
      </c>
      <c r="C24" s="1000"/>
      <c r="D24" s="1000"/>
      <c r="E24" s="1000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433</v>
      </c>
      <c r="F25" s="131" t="s">
        <v>263</v>
      </c>
      <c r="G25" s="131" t="s">
        <v>546</v>
      </c>
      <c r="H25" s="686"/>
      <c r="I25" s="687" t="s">
        <v>548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842"/>
      <c r="M44" s="664"/>
    </row>
    <row r="45" spans="2:18" ht="25" customHeight="1">
      <c r="B45" s="1000" t="s">
        <v>719</v>
      </c>
      <c r="C45" s="1000"/>
      <c r="D45" s="1000"/>
      <c r="E45" s="1000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433</v>
      </c>
      <c r="F46" s="131" t="s">
        <v>263</v>
      </c>
      <c r="G46" s="131" t="s">
        <v>546</v>
      </c>
      <c r="H46" s="686"/>
      <c r="I46" s="687" t="s">
        <v>548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96" t="s">
        <v>578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578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545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544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422</v>
      </c>
      <c r="H80" s="24"/>
      <c r="I80" s="728" t="s">
        <v>547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833"/>
      <c r="M87" s="664"/>
    </row>
    <row r="88" spans="2:26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833"/>
      <c r="M88" s="664"/>
    </row>
    <row r="89" spans="2:26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833"/>
      <c r="M89" s="664"/>
    </row>
    <row r="90" spans="2:26" s="4" customFormat="1" ht="25" customHeight="1">
      <c r="B90" s="549" t="s">
        <v>595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648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549</v>
      </c>
      <c r="H94" s="24"/>
      <c r="I94" s="728" t="s">
        <v>550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484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453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551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94" t="s">
        <v>543</v>
      </c>
      <c r="C114" s="994"/>
      <c r="D114" s="994"/>
      <c r="E114" s="994"/>
      <c r="F114" s="994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553</v>
      </c>
      <c r="H117" s="24"/>
      <c r="I117" s="728" t="s">
        <v>547</v>
      </c>
      <c r="J117" s="728" t="s">
        <v>554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558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94" t="s">
        <v>587</v>
      </c>
      <c r="C129" s="994"/>
      <c r="D129" s="994"/>
      <c r="E129" s="994"/>
      <c r="F129" s="994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576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79" t="s">
        <v>559</v>
      </c>
      <c r="D132" s="979"/>
      <c r="E132" s="979" t="s">
        <v>560</v>
      </c>
      <c r="F132" s="979"/>
      <c r="G132" s="979" t="s">
        <v>281</v>
      </c>
      <c r="H132" s="979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575</v>
      </c>
      <c r="F133" s="987"/>
      <c r="G133" s="981">
        <v>15000</v>
      </c>
      <c r="H133" s="982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86" t="s">
        <v>561</v>
      </c>
      <c r="D134" s="986"/>
      <c r="E134" s="988" t="s">
        <v>562</v>
      </c>
      <c r="F134" s="988"/>
      <c r="G134" s="983">
        <v>24000</v>
      </c>
      <c r="H134" s="984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287</v>
      </c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833"/>
      <c r="M141" s="664"/>
    </row>
    <row r="142" spans="2:32" s="4" customFormat="1" ht="25" customHeight="1">
      <c r="B142" s="994" t="s">
        <v>543</v>
      </c>
      <c r="C142" s="994"/>
      <c r="D142" s="994"/>
      <c r="E142" s="994"/>
      <c r="F142" s="994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1"/>
      <c r="C143" s="1001"/>
      <c r="D143" s="1001"/>
      <c r="E143" s="1001"/>
      <c r="F143" s="1001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563</v>
      </c>
      <c r="M146" s="664"/>
    </row>
    <row r="147" spans="2:19" ht="25" customHeight="1">
      <c r="B147" s="470" t="s">
        <v>208</v>
      </c>
      <c r="C147" s="23" t="s">
        <v>564</v>
      </c>
      <c r="D147" s="23"/>
      <c r="E147" s="24" t="s">
        <v>271</v>
      </c>
      <c r="F147" s="24"/>
      <c r="G147" s="24"/>
      <c r="H147" s="24"/>
      <c r="I147" s="24"/>
      <c r="J147" s="23" t="s">
        <v>566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459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460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461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462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463</v>
      </c>
      <c r="C152" s="129" t="s">
        <v>115</v>
      </c>
      <c r="D152" s="129"/>
      <c r="E152" s="30" t="s">
        <v>565</v>
      </c>
      <c r="F152" s="37"/>
      <c r="G152" s="37"/>
      <c r="H152" s="37"/>
      <c r="I152" s="37"/>
      <c r="J152" s="770" t="s">
        <v>238</v>
      </c>
      <c r="K152" s="555" t="s">
        <v>567</v>
      </c>
      <c r="M152" s="664"/>
    </row>
    <row r="153" spans="2:19" ht="25" customHeight="1">
      <c r="B153" s="137" t="s">
        <v>464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465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649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566</v>
      </c>
      <c r="K160" s="612" t="s">
        <v>264</v>
      </c>
      <c r="M160" s="664"/>
      <c r="N160" s="742"/>
      <c r="O160" s="8"/>
    </row>
    <row r="161" spans="2:18" ht="25" customHeight="1">
      <c r="B161" s="134" t="s">
        <v>588</v>
      </c>
      <c r="C161" s="129"/>
      <c r="D161" s="30"/>
      <c r="E161" s="30" t="s">
        <v>730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466</v>
      </c>
      <c r="C162" s="130"/>
      <c r="D162" s="38"/>
      <c r="E162" s="38" t="s">
        <v>731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634</v>
      </c>
      <c r="C163" s="129"/>
      <c r="D163" s="30"/>
      <c r="E163" s="30" t="s">
        <v>732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467</v>
      </c>
      <c r="C164" s="130"/>
      <c r="D164" s="38"/>
      <c r="E164" s="38" t="s">
        <v>733</v>
      </c>
      <c r="F164" s="771"/>
      <c r="G164" s="771"/>
      <c r="H164" s="771"/>
      <c r="I164" s="771"/>
      <c r="J164" s="773" t="s">
        <v>94</v>
      </c>
      <c r="K164" s="829" t="s">
        <v>635</v>
      </c>
      <c r="M164" s="664"/>
      <c r="N164" s="742"/>
      <c r="O164" s="8"/>
    </row>
    <row r="165" spans="2:18" ht="25" customHeight="1">
      <c r="B165" s="134" t="s">
        <v>468</v>
      </c>
      <c r="C165" s="129"/>
      <c r="D165" s="30"/>
      <c r="E165" s="30" t="s">
        <v>734</v>
      </c>
      <c r="F165" s="30"/>
      <c r="G165" s="30"/>
      <c r="H165" s="30"/>
      <c r="I165" s="30"/>
      <c r="J165" s="770" t="s">
        <v>94</v>
      </c>
      <c r="K165" s="828" t="s">
        <v>635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568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569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458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567</v>
      </c>
      <c r="M172" s="664"/>
      <c r="N172" s="742"/>
      <c r="O172" s="8"/>
    </row>
    <row r="173" spans="2:18" ht="25" customHeight="1">
      <c r="B173" s="137" t="s">
        <v>469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567</v>
      </c>
      <c r="M173" s="664"/>
      <c r="N173" s="742"/>
      <c r="O173" s="8"/>
    </row>
    <row r="174" spans="2:18" ht="25" customHeight="1">
      <c r="B174" s="134" t="s">
        <v>726</v>
      </c>
      <c r="C174" s="129"/>
      <c r="D174" s="30"/>
      <c r="E174" s="30" t="s">
        <v>727</v>
      </c>
      <c r="F174" s="30"/>
      <c r="G174" s="30"/>
      <c r="H174" s="30"/>
      <c r="I174" s="30"/>
      <c r="J174" s="40"/>
      <c r="K174" s="868" t="s">
        <v>567</v>
      </c>
      <c r="M174" s="664"/>
      <c r="N174" s="742"/>
      <c r="O174" s="8"/>
    </row>
    <row r="175" spans="2:18" ht="25" customHeight="1">
      <c r="B175" s="137" t="s">
        <v>470</v>
      </c>
      <c r="C175" s="130"/>
      <c r="D175" s="38"/>
      <c r="E175" s="38" t="s">
        <v>650</v>
      </c>
      <c r="F175" s="771"/>
      <c r="G175" s="771"/>
      <c r="H175" s="771"/>
      <c r="I175" s="771"/>
      <c r="J175" s="779"/>
      <c r="K175" s="867" t="s">
        <v>567</v>
      </c>
      <c r="M175" s="664"/>
      <c r="N175" s="742"/>
      <c r="O175" s="8"/>
    </row>
    <row r="176" spans="2:18" ht="25" customHeight="1">
      <c r="B176" s="134" t="s">
        <v>471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868" t="s">
        <v>567</v>
      </c>
      <c r="M176" s="664"/>
      <c r="N176" s="742"/>
      <c r="O176" s="8"/>
    </row>
    <row r="177" spans="2:20" ht="25" customHeight="1">
      <c r="B177" s="137" t="s">
        <v>472</v>
      </c>
      <c r="C177" s="130"/>
      <c r="D177" s="38"/>
      <c r="E177" s="38" t="s">
        <v>150</v>
      </c>
      <c r="F177" s="771"/>
      <c r="G177" s="771"/>
      <c r="H177" s="771"/>
      <c r="I177" s="771"/>
      <c r="J177" s="779"/>
      <c r="K177" s="867" t="s">
        <v>567</v>
      </c>
      <c r="M177" s="664"/>
      <c r="N177" s="742"/>
      <c r="O177" s="8"/>
    </row>
    <row r="178" spans="2:20" ht="25" customHeight="1">
      <c r="B178" s="134" t="s">
        <v>435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868" t="s">
        <v>567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846"/>
      <c r="L181" s="742"/>
      <c r="M181" s="664"/>
      <c r="N181" s="675"/>
      <c r="O181" s="675"/>
    </row>
    <row r="182" spans="2:20" s="4" customFormat="1" ht="25" customHeight="1">
      <c r="B182" s="978" t="s">
        <v>295</v>
      </c>
      <c r="C182" s="978"/>
      <c r="D182" s="978"/>
      <c r="E182" s="978"/>
      <c r="F182" s="978"/>
      <c r="G182" s="978"/>
      <c r="H182" s="780"/>
      <c r="J182" s="674"/>
      <c r="K182" s="833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833"/>
      <c r="M183" s="664"/>
    </row>
    <row r="184" spans="2:20" s="4" customFormat="1" ht="25" customHeight="1">
      <c r="B184" s="978"/>
      <c r="C184" s="978"/>
      <c r="D184" s="978"/>
      <c r="E184" s="978"/>
      <c r="F184" s="978"/>
      <c r="G184" s="978"/>
      <c r="H184" s="780"/>
      <c r="J184" s="674"/>
      <c r="K184" s="833"/>
      <c r="M184" s="664"/>
    </row>
    <row r="185" spans="2:20" s="4" customFormat="1" ht="25" customHeight="1">
      <c r="B185" s="999" t="s">
        <v>570</v>
      </c>
      <c r="C185" s="999"/>
      <c r="D185" s="999"/>
      <c r="E185" s="999"/>
      <c r="F185" s="999"/>
      <c r="H185" s="780"/>
      <c r="J185" s="674"/>
      <c r="K185" s="833"/>
      <c r="M185" s="664"/>
    </row>
    <row r="186" spans="2:20" s="4" customFormat="1" ht="25" customHeight="1">
      <c r="B186" s="994" t="s">
        <v>543</v>
      </c>
      <c r="C186" s="994"/>
      <c r="D186" s="994"/>
      <c r="E186" s="994"/>
      <c r="F186" s="994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651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132"/>
      <c r="F190" s="24"/>
      <c r="G190" s="131"/>
      <c r="H190" s="131"/>
      <c r="I190" s="23" t="s">
        <v>566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473</v>
      </c>
      <c r="C191" s="129"/>
      <c r="D191" s="30" t="s">
        <v>652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474</v>
      </c>
      <c r="C192" s="130"/>
      <c r="D192" s="38" t="s">
        <v>653</v>
      </c>
      <c r="E192" s="31"/>
      <c r="F192" s="771"/>
      <c r="G192" s="779"/>
      <c r="H192" s="779"/>
      <c r="I192" s="773" t="s">
        <v>655</v>
      </c>
      <c r="J192" s="773"/>
      <c r="K192" s="554" t="s">
        <v>656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475</v>
      </c>
      <c r="C193" s="129"/>
      <c r="D193" s="30" t="s">
        <v>654</v>
      </c>
      <c r="E193" s="129"/>
      <c r="F193" s="129"/>
      <c r="G193" s="129"/>
      <c r="H193" s="40"/>
      <c r="I193" s="770" t="s">
        <v>244</v>
      </c>
      <c r="J193" s="770"/>
      <c r="K193" s="555" t="s">
        <v>567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571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572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132"/>
      <c r="F198" s="24"/>
      <c r="G198" s="131"/>
      <c r="H198" s="131"/>
      <c r="I198" s="23" t="s">
        <v>566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476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477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478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479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480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481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300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657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24"/>
      <c r="H209" s="23" t="s">
        <v>658</v>
      </c>
      <c r="I209" s="23" t="s">
        <v>566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598</v>
      </c>
      <c r="C210" s="129"/>
      <c r="D210" s="30" t="s">
        <v>661</v>
      </c>
      <c r="E210" s="40"/>
      <c r="F210" s="30"/>
      <c r="G210" s="30"/>
      <c r="H210" s="770" t="s">
        <v>251</v>
      </c>
      <c r="I210" s="770" t="s">
        <v>662</v>
      </c>
      <c r="J210" s="770"/>
      <c r="K210" s="555" t="s">
        <v>567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599</v>
      </c>
      <c r="C211" s="130"/>
      <c r="D211" s="38" t="s">
        <v>660</v>
      </c>
      <c r="E211" s="31"/>
      <c r="F211" s="771"/>
      <c r="G211" s="771"/>
      <c r="H211" s="773" t="s">
        <v>251</v>
      </c>
      <c r="I211" s="773" t="s">
        <v>662</v>
      </c>
      <c r="J211" s="773"/>
      <c r="K211" s="554" t="s">
        <v>567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600</v>
      </c>
      <c r="C212" s="129"/>
      <c r="D212" s="30" t="s">
        <v>659</v>
      </c>
      <c r="E212" s="40"/>
      <c r="F212" s="30"/>
      <c r="G212" s="30"/>
      <c r="H212" s="770" t="s">
        <v>573</v>
      </c>
      <c r="I212" s="770" t="s">
        <v>662</v>
      </c>
      <c r="J212" s="770"/>
      <c r="K212" s="555" t="s">
        <v>567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601</v>
      </c>
      <c r="C213" s="130"/>
      <c r="D213" s="38" t="s">
        <v>307</v>
      </c>
      <c r="E213" s="31"/>
      <c r="F213" s="771"/>
      <c r="G213" s="771"/>
      <c r="H213" s="773" t="s">
        <v>573</v>
      </c>
      <c r="I213" s="773" t="s">
        <v>662</v>
      </c>
      <c r="J213" s="773"/>
      <c r="K213" s="554" t="s">
        <v>567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97" t="s">
        <v>308</v>
      </c>
      <c r="C220" s="997"/>
      <c r="D220" s="997"/>
      <c r="E220" s="997"/>
      <c r="F220" s="997"/>
      <c r="G220" s="997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97"/>
      <c r="C222" s="997"/>
      <c r="D222" s="997"/>
      <c r="E222" s="997"/>
      <c r="F222" s="997"/>
      <c r="G222" s="997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98" t="s">
        <v>543</v>
      </c>
      <c r="C223" s="998"/>
      <c r="D223" s="998"/>
      <c r="E223" s="998"/>
      <c r="F223" s="998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574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426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1" t="s">
        <v>596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482</v>
      </c>
      <c r="C229" s="56"/>
      <c r="D229" s="57"/>
      <c r="E229" s="56"/>
      <c r="F229" s="659"/>
      <c r="G229" s="659"/>
      <c r="H229" s="659"/>
      <c r="I229" s="56"/>
      <c r="J229" s="659" t="s">
        <v>308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17" t="s">
        <v>222</v>
      </c>
      <c r="C233" s="662"/>
      <c r="D233" s="662"/>
      <c r="E233" s="662"/>
      <c r="F233" s="662"/>
      <c r="G233" s="662"/>
      <c r="H233" s="662"/>
      <c r="I233" s="662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663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555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556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557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664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TeXO5i3iHzhpfVzSOyXKBANhqT7AYANW51Cx392gchMmlG1inruMe1RjWN4PiZb5VNWOu00GXhYVOJZSNNvCsw==" saltValue="neJfbEgMMFNOobwXJZ70wg==" spinCount="100000" sheet="1" selectLockedCells="1"/>
  <mergeCells count="47">
    <mergeCell ref="B185:F185"/>
    <mergeCell ref="B186:F186"/>
    <mergeCell ref="B220:G222"/>
    <mergeCell ref="B223:F223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2:G184"/>
    <mergeCell ref="C133:D133"/>
    <mergeCell ref="E133:F133"/>
    <mergeCell ref="G133:H133"/>
    <mergeCell ref="B110:G112"/>
    <mergeCell ref="B125:G127"/>
    <mergeCell ref="C132:D132"/>
    <mergeCell ref="E132:F132"/>
    <mergeCell ref="G132:H132"/>
    <mergeCell ref="D105:E105"/>
    <mergeCell ref="F105:G105"/>
    <mergeCell ref="H105:I105"/>
    <mergeCell ref="D106:E106"/>
    <mergeCell ref="F106:G106"/>
    <mergeCell ref="H106:I106"/>
    <mergeCell ref="D103:E103"/>
    <mergeCell ref="F103:G103"/>
    <mergeCell ref="H103:I103"/>
    <mergeCell ref="D104:E104"/>
    <mergeCell ref="F104:G104"/>
    <mergeCell ref="H104:I104"/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423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33" t="str">
        <f>"1 SEK = "&amp;EUR&amp;" EUR"</f>
        <v>1 SEK = 0,089 EUR</v>
      </c>
      <c r="E11" s="1033"/>
      <c r="F11" s="1033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05"/>
      <c r="C16" s="1005"/>
      <c r="D16" s="1005"/>
      <c r="E16" s="1005"/>
      <c r="F16" s="1005"/>
      <c r="G16" s="1005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05"/>
      <c r="C17" s="1005"/>
      <c r="D17" s="1005"/>
      <c r="E17" s="1005"/>
      <c r="F17" s="1005"/>
      <c r="G17" s="1005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32" t="s">
        <v>6</v>
      </c>
      <c r="C19" s="1032"/>
      <c r="D19" s="1032"/>
      <c r="E19" s="1032"/>
      <c r="F19" s="1032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405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405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24" t="s">
        <v>65</v>
      </c>
      <c r="G88" s="1024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37">
        <f>VOLUME_large_EUR</f>
        <v>0.10679999999999999</v>
      </c>
      <c r="G89" s="1037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3">
        <f>VOLUME_fast_EUR</f>
        <v>0.32040000000000002</v>
      </c>
      <c r="G90" s="1053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05" t="s">
        <v>72</v>
      </c>
      <c r="C95" s="1005"/>
      <c r="D95" s="1005"/>
      <c r="E95" s="1005"/>
      <c r="F95" s="1005"/>
      <c r="G95" s="1005"/>
      <c r="H95" s="177"/>
      <c r="J95" s="178"/>
      <c r="K95" s="178"/>
      <c r="M95" s="565"/>
      <c r="O95" s="168"/>
    </row>
    <row r="96" spans="2:23" s="169" customFormat="1" ht="25" customHeight="1">
      <c r="B96" s="1005"/>
      <c r="C96" s="1005"/>
      <c r="D96" s="1005"/>
      <c r="E96" s="1005"/>
      <c r="F96" s="1005"/>
      <c r="G96" s="1005"/>
      <c r="H96" s="177"/>
      <c r="J96" s="178"/>
      <c r="K96" s="178"/>
      <c r="M96" s="565"/>
      <c r="O96" s="168"/>
    </row>
    <row r="97" spans="2:22" s="169" customFormat="1" ht="25" customHeight="1">
      <c r="B97" s="1005"/>
      <c r="C97" s="1005"/>
      <c r="D97" s="1005"/>
      <c r="E97" s="1005"/>
      <c r="F97" s="1005"/>
      <c r="G97" s="1005"/>
      <c r="H97" s="177"/>
      <c r="J97" s="178"/>
      <c r="K97" s="178"/>
      <c r="M97" s="565"/>
      <c r="O97" s="168"/>
    </row>
    <row r="98" spans="2:22" s="169" customFormat="1" ht="25" customHeight="1">
      <c r="B98" s="1054" t="s">
        <v>73</v>
      </c>
      <c r="C98" s="1054"/>
      <c r="D98" s="1054"/>
      <c r="E98" s="1054"/>
      <c r="F98" s="1054"/>
      <c r="H98" s="177"/>
      <c r="J98" s="178"/>
      <c r="K98" s="178"/>
      <c r="M98" s="565"/>
      <c r="N98" s="182"/>
      <c r="O98" s="187"/>
    </row>
    <row r="99" spans="2:22" s="291" customFormat="1" ht="25" customHeight="1">
      <c r="B99" s="1032" t="s">
        <v>74</v>
      </c>
      <c r="C99" s="1032"/>
      <c r="D99" s="1032"/>
      <c r="E99" s="1032"/>
      <c r="F99" s="1032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24" t="s">
        <v>76</v>
      </c>
      <c r="E102" s="1024"/>
      <c r="F102" s="1024"/>
      <c r="G102" s="1024"/>
      <c r="H102" s="266" t="s">
        <v>75</v>
      </c>
      <c r="I102" s="265"/>
      <c r="J102" s="1024"/>
      <c r="K102" s="1024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415</v>
      </c>
      <c r="D104" s="1035">
        <f>S3_storage.50_EUR</f>
        <v>31.15</v>
      </c>
      <c r="E104" s="1035"/>
      <c r="F104" s="1036"/>
      <c r="G104" s="1036"/>
      <c r="H104" s="1036"/>
      <c r="I104" s="1036"/>
      <c r="J104" s="1036"/>
      <c r="K104" s="1036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416</v>
      </c>
      <c r="D105" s="1023">
        <f>S3_storage.100_EUR</f>
        <v>24.029999999999998</v>
      </c>
      <c r="E105" s="1023"/>
      <c r="F105" s="1028"/>
      <c r="G105" s="1028"/>
      <c r="H105" s="1028"/>
      <c r="I105" s="1028"/>
      <c r="J105" s="1028"/>
      <c r="K105" s="1028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417</v>
      </c>
      <c r="D106" s="1027">
        <f>S3_storage.500_EUR</f>
        <v>17.8</v>
      </c>
      <c r="E106" s="1027"/>
      <c r="F106" s="1022"/>
      <c r="G106" s="1022"/>
      <c r="H106" s="1022"/>
      <c r="I106" s="1022"/>
      <c r="J106" s="1022"/>
      <c r="K106" s="1022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418</v>
      </c>
      <c r="D107" s="1023">
        <f>S3_storage.1000_EUR</f>
        <v>16.465</v>
      </c>
      <c r="E107" s="1023"/>
      <c r="F107" s="1028"/>
      <c r="G107" s="1028"/>
      <c r="H107" s="1028"/>
      <c r="I107" s="1028"/>
      <c r="J107" s="1028"/>
      <c r="K107" s="1028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419</v>
      </c>
      <c r="D108" s="1029" t="str">
        <f>S3_storage.quote_EUR</f>
        <v>Request a quote</v>
      </c>
      <c r="E108" s="1029"/>
      <c r="F108" s="1030"/>
      <c r="G108" s="1030"/>
      <c r="H108" s="1030"/>
      <c r="I108" s="1030"/>
      <c r="J108" s="1030"/>
      <c r="K108" s="1030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34" t="s">
        <v>76</v>
      </c>
      <c r="E111" s="1034"/>
      <c r="F111" s="1024"/>
      <c r="G111" s="1024"/>
      <c r="H111" s="266" t="s">
        <v>75</v>
      </c>
      <c r="I111" s="266"/>
      <c r="J111" s="1024"/>
      <c r="K111" s="1024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409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409</v>
      </c>
      <c r="C113" s="604" t="s">
        <v>415</v>
      </c>
      <c r="D113" s="1035">
        <f>S3_archive.50_EUR</f>
        <v>31.15</v>
      </c>
      <c r="E113" s="1035"/>
      <c r="F113" s="1036"/>
      <c r="G113" s="1036"/>
      <c r="H113" s="1036"/>
      <c r="I113" s="1036"/>
      <c r="J113" s="1036"/>
      <c r="K113" s="1036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409</v>
      </c>
      <c r="C114" s="616" t="s">
        <v>416</v>
      </c>
      <c r="D114" s="1023">
        <f>S3_archive.100_EUR</f>
        <v>24.029999999999998</v>
      </c>
      <c r="E114" s="1023"/>
      <c r="F114" s="1028"/>
      <c r="G114" s="1028"/>
      <c r="H114" s="1028"/>
      <c r="I114" s="1028"/>
      <c r="J114" s="1028"/>
      <c r="K114" s="1028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409</v>
      </c>
      <c r="C115" s="604" t="s">
        <v>417</v>
      </c>
      <c r="D115" s="1027">
        <f>S3_archive.500_EUR</f>
        <v>17.8</v>
      </c>
      <c r="E115" s="1027"/>
      <c r="F115" s="1022"/>
      <c r="G115" s="1022"/>
      <c r="H115" s="1022"/>
      <c r="I115" s="1022"/>
      <c r="J115" s="1022"/>
      <c r="K115" s="1022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409</v>
      </c>
      <c r="C116" s="616" t="s">
        <v>418</v>
      </c>
      <c r="D116" s="1023">
        <f>S3_archive.1000_EUR</f>
        <v>16.465</v>
      </c>
      <c r="E116" s="1023"/>
      <c r="F116" s="1028"/>
      <c r="G116" s="1028"/>
      <c r="H116" s="1028"/>
      <c r="I116" s="1028"/>
      <c r="J116" s="1028"/>
      <c r="K116" s="1028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409</v>
      </c>
      <c r="C117" s="608" t="s">
        <v>419</v>
      </c>
      <c r="D117" s="1029" t="str">
        <f>S3_archive.quote_EUR</f>
        <v>Request a quote</v>
      </c>
      <c r="E117" s="1029"/>
      <c r="F117" s="1030"/>
      <c r="G117" s="1030"/>
      <c r="H117" s="1030"/>
      <c r="I117" s="1030"/>
      <c r="J117" s="1030"/>
      <c r="K117" s="1030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05" t="s">
        <v>86</v>
      </c>
      <c r="C122" s="1005"/>
      <c r="D122" s="1005"/>
      <c r="E122" s="1005"/>
      <c r="F122" s="1005"/>
      <c r="G122" s="1005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05"/>
      <c r="C123" s="1005"/>
      <c r="D123" s="1005"/>
      <c r="E123" s="1005"/>
      <c r="F123" s="1005"/>
      <c r="G123" s="1005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05"/>
      <c r="C124" s="1005"/>
      <c r="D124" s="1005"/>
      <c r="E124" s="1005"/>
      <c r="F124" s="1005"/>
      <c r="G124" s="1005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26" t="s">
        <v>87</v>
      </c>
      <c r="C125" s="1026"/>
      <c r="D125" s="1026"/>
      <c r="E125" s="1026"/>
      <c r="F125" s="1026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06" t="s">
        <v>6</v>
      </c>
      <c r="C126" s="1006"/>
      <c r="D126" s="1006"/>
      <c r="E126" s="1006"/>
      <c r="F126" s="1006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24" t="s">
        <v>89</v>
      </c>
      <c r="G129" s="1024"/>
      <c r="H129" s="266" t="s">
        <v>90</v>
      </c>
      <c r="I129" s="265"/>
      <c r="J129" s="1038" t="s">
        <v>91</v>
      </c>
      <c r="K129" s="1038"/>
      <c r="L129" s="533"/>
      <c r="M129" s="575" t="s">
        <v>92</v>
      </c>
      <c r="N129" s="252"/>
      <c r="O129" s="160"/>
    </row>
    <row r="130" spans="2:34" ht="25" customHeight="1">
      <c r="B130" s="1039" t="s">
        <v>93</v>
      </c>
      <c r="C130" s="1039"/>
      <c r="D130" s="467" t="s">
        <v>94</v>
      </c>
      <c r="E130" s="29"/>
      <c r="F130" s="1040">
        <f>BAAS_on.demand_EUR</f>
        <v>0.21804999999999999</v>
      </c>
      <c r="G130" s="1041"/>
      <c r="H130" s="307">
        <v>0</v>
      </c>
      <c r="I130" s="272" t="s">
        <v>69</v>
      </c>
      <c r="J130" s="1042" t="s">
        <v>94</v>
      </c>
      <c r="K130" s="1042"/>
      <c r="L130" s="308"/>
      <c r="M130" s="576">
        <f>ROUNDUP(H130*F130,2)</f>
        <v>0</v>
      </c>
      <c r="N130" s="252"/>
      <c r="O130" s="160"/>
    </row>
    <row r="131" spans="2:34" ht="25" customHeight="1">
      <c r="B131" s="1043" t="s">
        <v>95</v>
      </c>
      <c r="C131" s="1043"/>
      <c r="D131" s="468">
        <f>BAAS_small.fee_EUR</f>
        <v>489.5</v>
      </c>
      <c r="E131" s="32"/>
      <c r="F131" s="1044">
        <f>BAAS_small_EUR</f>
        <v>0.15575</v>
      </c>
      <c r="G131" s="1045"/>
      <c r="H131" s="309">
        <v>0</v>
      </c>
      <c r="I131" s="276" t="s">
        <v>69</v>
      </c>
      <c r="J131" s="1046">
        <v>0.75</v>
      </c>
      <c r="K131" s="1047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8" t="s">
        <v>96</v>
      </c>
      <c r="C132" s="1048"/>
      <c r="D132" s="469">
        <f>BAAS_large.fee_EUR</f>
        <v>845.5</v>
      </c>
      <c r="E132" s="35"/>
      <c r="F132" s="1049">
        <f>BAAS_large_EUR</f>
        <v>8.1879999999999994E-2</v>
      </c>
      <c r="G132" s="1050"/>
      <c r="H132" s="298">
        <v>0</v>
      </c>
      <c r="I132" s="299" t="s">
        <v>69</v>
      </c>
      <c r="J132" s="1051">
        <v>0.75</v>
      </c>
      <c r="K132" s="1052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25" t="s">
        <v>97</v>
      </c>
      <c r="C135" s="1025"/>
      <c r="D135" s="1025"/>
      <c r="E135" s="1025"/>
      <c r="F135" s="1025"/>
      <c r="G135" s="1025"/>
      <c r="H135" s="1025"/>
      <c r="I135" s="1025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25" t="s">
        <v>98</v>
      </c>
      <c r="C136" s="1025"/>
      <c r="D136" s="1025"/>
      <c r="E136" s="1025"/>
      <c r="F136" s="1025"/>
      <c r="G136" s="1025"/>
      <c r="H136" s="1025"/>
      <c r="I136" s="1025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25" t="s">
        <v>99</v>
      </c>
      <c r="C137" s="1025"/>
      <c r="D137" s="1025"/>
      <c r="E137" s="1025"/>
      <c r="F137" s="1025"/>
      <c r="G137" s="1025"/>
      <c r="H137" s="1025"/>
      <c r="I137" s="1025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25" t="s">
        <v>404</v>
      </c>
      <c r="C138" s="1025"/>
      <c r="D138" s="1025"/>
      <c r="E138" s="1025"/>
      <c r="F138" s="1025"/>
      <c r="G138" s="1025"/>
      <c r="H138" s="1025"/>
      <c r="I138" s="1025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05" t="s">
        <v>100</v>
      </c>
      <c r="C143" s="1005"/>
      <c r="D143" s="1005"/>
      <c r="E143" s="1005"/>
      <c r="F143" s="1005"/>
      <c r="G143" s="1005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05"/>
      <c r="C144" s="1005"/>
      <c r="D144" s="1005"/>
      <c r="E144" s="1005"/>
      <c r="F144" s="1005"/>
      <c r="G144" s="1005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05"/>
      <c r="C145" s="1005"/>
      <c r="D145" s="1005"/>
      <c r="E145" s="1005"/>
      <c r="F145" s="1005"/>
      <c r="G145" s="1005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06" t="s">
        <v>6</v>
      </c>
      <c r="C146" s="1006"/>
      <c r="D146" s="1006"/>
      <c r="E146" s="1006"/>
      <c r="F146" s="1006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07"/>
      <c r="C147" s="1007"/>
      <c r="D147" s="1007"/>
      <c r="E147" s="1007"/>
      <c r="F147" s="1007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03" t="s">
        <v>14</v>
      </c>
      <c r="M150" s="1003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04">
        <f>NET_publicv4_EUR</f>
        <v>2.2250000000000001</v>
      </c>
      <c r="M151" s="1004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56">
        <f>NET_publicv6_EUR</f>
        <v>0</v>
      </c>
      <c r="M152" s="1056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57">
        <f>NET_ingress_EUR</f>
        <v>0</v>
      </c>
      <c r="M153" s="1057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56">
        <f>NET_egress_EUR</f>
        <v>0</v>
      </c>
      <c r="M154" s="1056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18" t="str">
        <f>NET_mgn.slb_EUR</f>
        <v>Request a quote</v>
      </c>
      <c r="M155" s="1018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56">
        <f>NET_rdns_EUR</f>
        <v>0</v>
      </c>
      <c r="M156" s="1056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18">
        <f>NET_byoip_EUR</f>
        <v>0</v>
      </c>
      <c r="M157" s="1018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55"/>
      <c r="M158" s="1055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2"/>
      <c r="M159" s="1002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03" t="s">
        <v>14</v>
      </c>
      <c r="M160" s="1003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04">
        <f>SW_win.ser.201X_EUR</f>
        <v>15.574999999999999</v>
      </c>
      <c r="M161" s="1004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61">
        <f>SW_win.ser.201X_EUR</f>
        <v>15.574999999999999</v>
      </c>
      <c r="M162" s="1061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403</v>
      </c>
      <c r="F163" s="316"/>
      <c r="G163" s="317"/>
      <c r="H163" s="317"/>
      <c r="I163" s="317"/>
      <c r="J163" s="317"/>
      <c r="K163" s="318" t="s">
        <v>10</v>
      </c>
      <c r="L163" s="1018">
        <f>SW_ms.sql.ser_EUR</f>
        <v>109.381</v>
      </c>
      <c r="M163" s="1018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62" t="str">
        <f>SW_stackn_EUR</f>
        <v>Request a quote</v>
      </c>
      <c r="M164" s="1062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63" t="str">
        <f>SW_nextcloud_EUR</f>
        <v>Request a quote</v>
      </c>
      <c r="M165" s="1063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62" t="str">
        <f>SW_suse_EUR</f>
        <v>Request a quote</v>
      </c>
      <c r="M166" s="1062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63" t="str">
        <f>SW_cluster.control_EUR</f>
        <v>3x instance price</v>
      </c>
      <c r="M167" s="1063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9">
        <f>SW_backup.ninja_EUR</f>
        <v>35.6</v>
      </c>
      <c r="M168" s="1019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20"/>
      <c r="M169" s="1020"/>
      <c r="O169" s="205"/>
      <c r="P169" s="190"/>
      <c r="R169" s="284"/>
      <c r="S169" s="189"/>
    </row>
    <row r="170" spans="2:22" ht="25" customHeight="1">
      <c r="B170" s="471"/>
      <c r="K170" s="334"/>
      <c r="L170" s="1058"/>
      <c r="M170" s="1058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2"/>
      <c r="M171" s="1002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03" t="s">
        <v>14</v>
      </c>
      <c r="M172" s="1003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68" t="str">
        <f>PAAS_man.kubernetes24_EUR</f>
        <v>Request a quote</v>
      </c>
      <c r="M173" s="1068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69" t="str">
        <f>PAAS_man.kubernetes8_EUR</f>
        <v>Request a quote</v>
      </c>
      <c r="M174" s="1069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59" t="str">
        <f>PAAS_man.elasticsearch_EUR</f>
        <v>Request a quote</v>
      </c>
      <c r="M175" s="1059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69" t="str">
        <f>PAAS_man.redis_EUR</f>
        <v>Request a quote</v>
      </c>
      <c r="M176" s="1069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59" t="str">
        <f>PAAS_man.nats_EUR</f>
        <v>Request a quote</v>
      </c>
      <c r="M177" s="1059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60" t="str">
        <f>PAAS_man.mariadb_EUR</f>
        <v>Request a quote</v>
      </c>
      <c r="M178" s="1060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20"/>
      <c r="M179" s="1020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66"/>
      <c r="M180" s="1066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67"/>
      <c r="M181" s="1067"/>
      <c r="N181" s="189"/>
      <c r="O181" s="205"/>
      <c r="P181" s="180"/>
      <c r="Q181" s="180"/>
    </row>
    <row r="182" spans="2:19" s="169" customFormat="1" ht="25" customHeight="1">
      <c r="B182" s="1005" t="s">
        <v>151</v>
      </c>
      <c r="C182" s="1005"/>
      <c r="D182" s="1005"/>
      <c r="E182" s="1005"/>
      <c r="F182" s="1005"/>
      <c r="G182" s="1005"/>
      <c r="H182" s="335"/>
      <c r="J182" s="178"/>
      <c r="L182" s="1011"/>
      <c r="M182" s="1011"/>
      <c r="N182" s="189"/>
      <c r="O182" s="205"/>
    </row>
    <row r="183" spans="2:19" s="169" customFormat="1" ht="25" customHeight="1">
      <c r="B183" s="1005"/>
      <c r="C183" s="1005"/>
      <c r="D183" s="1005"/>
      <c r="E183" s="1005"/>
      <c r="F183" s="1005"/>
      <c r="G183" s="1005"/>
      <c r="H183" s="335"/>
      <c r="J183" s="178"/>
      <c r="L183" s="1011"/>
      <c r="M183" s="1011"/>
      <c r="N183" s="189"/>
      <c r="O183" s="205"/>
    </row>
    <row r="184" spans="2:19" s="169" customFormat="1" ht="25" customHeight="1">
      <c r="B184" s="1005"/>
      <c r="C184" s="1005"/>
      <c r="D184" s="1005"/>
      <c r="E184" s="1005"/>
      <c r="F184" s="1005"/>
      <c r="G184" s="1005"/>
      <c r="H184" s="335"/>
      <c r="J184" s="178"/>
      <c r="L184" s="1011"/>
      <c r="M184" s="1011"/>
      <c r="N184" s="189"/>
      <c r="O184" s="205"/>
    </row>
    <row r="185" spans="2:19" s="169" customFormat="1" ht="25" customHeight="1">
      <c r="B185" s="1006" t="s">
        <v>6</v>
      </c>
      <c r="C185" s="1006"/>
      <c r="D185" s="1006"/>
      <c r="E185" s="1006"/>
      <c r="F185" s="1006"/>
      <c r="H185" s="335"/>
      <c r="J185" s="178"/>
      <c r="L185" s="1011"/>
      <c r="M185" s="1011"/>
      <c r="N185" s="189"/>
      <c r="O185" s="205"/>
    </row>
    <row r="186" spans="2:19" s="169" customFormat="1" ht="25" customHeight="1">
      <c r="B186" s="1007"/>
      <c r="C186" s="1007"/>
      <c r="D186" s="1007"/>
      <c r="E186" s="1007"/>
      <c r="F186" s="1007"/>
      <c r="G186" s="182"/>
      <c r="H186" s="183"/>
      <c r="I186" s="182"/>
      <c r="J186" s="184"/>
      <c r="K186" s="182"/>
      <c r="L186" s="1012"/>
      <c r="M186" s="1012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12"/>
      <c r="M187" s="1012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13"/>
      <c r="M188" s="1013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03" t="s">
        <v>14</v>
      </c>
      <c r="M189" s="1003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14">
        <v>0</v>
      </c>
      <c r="M190" s="1014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64" t="s">
        <v>158</v>
      </c>
      <c r="M191" s="1064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65" t="s">
        <v>162</v>
      </c>
      <c r="M192" s="1065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20"/>
      <c r="M193" s="1020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21"/>
      <c r="M194" s="1021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2"/>
      <c r="M195" s="1002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03" t="s">
        <v>14</v>
      </c>
      <c r="M196" s="1003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04">
        <f>PS_consult.jun_EUR</f>
        <v>100.303</v>
      </c>
      <c r="M197" s="1004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61">
        <f>PS_consult.sen_EUR</f>
        <v>122.28599999999999</v>
      </c>
      <c r="M198" s="1061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18">
        <f>PS_cloudarch.jun_EUR</f>
        <v>113.65299999999999</v>
      </c>
      <c r="M199" s="1018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61">
        <f>PS_cloudarch.sen_EUR</f>
        <v>122.28599999999999</v>
      </c>
      <c r="M200" s="1061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18">
        <f>PS_pm.jun_EUR</f>
        <v>101.371</v>
      </c>
      <c r="M201" s="1018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9">
        <f>PS_pm.sen_EUR</f>
        <v>122.28599999999999</v>
      </c>
      <c r="M202" s="1019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20"/>
      <c r="M203" s="1020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21"/>
      <c r="M204" s="1021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2"/>
      <c r="M205" s="1002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03" t="s">
        <v>179</v>
      </c>
      <c r="M206" s="1003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14" t="s">
        <v>162</v>
      </c>
      <c r="M207" s="1014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15" t="s">
        <v>162</v>
      </c>
      <c r="M208" s="1015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16" t="s">
        <v>162</v>
      </c>
      <c r="M209" s="1016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17" t="s">
        <v>162</v>
      </c>
      <c r="M210" s="1017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08" t="s">
        <v>191</v>
      </c>
      <c r="C217" s="1008"/>
      <c r="D217" s="1008"/>
      <c r="E217" s="1008"/>
      <c r="F217" s="1008"/>
      <c r="G217" s="1008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08"/>
      <c r="C218" s="1008"/>
      <c r="D218" s="1008"/>
      <c r="E218" s="1008"/>
      <c r="F218" s="1008"/>
      <c r="G218" s="1008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08"/>
      <c r="C219" s="1008"/>
      <c r="D219" s="1008"/>
      <c r="E219" s="1008"/>
      <c r="F219" s="1008"/>
      <c r="G219" s="1008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09" t="s">
        <v>6</v>
      </c>
      <c r="C220" s="1009"/>
      <c r="D220" s="1009"/>
      <c r="E220" s="1009"/>
      <c r="F220" s="1009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10" t="str">
        <f>SUM(E67)&amp;" GB NVME-Disk"</f>
        <v>0 GB NVME-Disk</v>
      </c>
      <c r="G227" s="1010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425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33" t="str">
        <f>"1 SEK = "&amp;NOK&amp;" NOK"</f>
        <v>1 SEK = 1 NOK</v>
      </c>
      <c r="E11" s="1033"/>
      <c r="F11" s="1033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05"/>
      <c r="C16" s="1005"/>
      <c r="D16" s="1005"/>
      <c r="E16" s="1005"/>
      <c r="F16" s="1005"/>
      <c r="G16" s="1005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05"/>
      <c r="C17" s="1005"/>
      <c r="D17" s="1005"/>
      <c r="E17" s="1005"/>
      <c r="F17" s="1005"/>
      <c r="G17" s="1005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32" t="s">
        <v>261</v>
      </c>
      <c r="C19" s="1032"/>
      <c r="D19" s="1032"/>
      <c r="E19" s="1032"/>
      <c r="F19" s="1032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24" t="s">
        <v>272</v>
      </c>
      <c r="G88" s="1024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84">
        <f>VOLUME_large_SEK</f>
        <v>1.2</v>
      </c>
      <c r="G89" s="1084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82">
        <f>VOLUME_fast_SEK</f>
        <v>3.6</v>
      </c>
      <c r="G90" s="1082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05" t="s">
        <v>72</v>
      </c>
      <c r="C95" s="1005"/>
      <c r="D95" s="1005"/>
      <c r="E95" s="1005"/>
      <c r="F95" s="1005"/>
      <c r="G95" s="1005"/>
      <c r="H95" s="177"/>
      <c r="J95" s="178"/>
      <c r="K95" s="178"/>
      <c r="M95" s="179"/>
      <c r="O95" s="168"/>
    </row>
    <row r="96" spans="2:23" s="169" customFormat="1" ht="25.5" customHeight="1">
      <c r="B96" s="1005"/>
      <c r="C96" s="1005"/>
      <c r="D96" s="1005"/>
      <c r="E96" s="1005"/>
      <c r="F96" s="1005"/>
      <c r="G96" s="1005"/>
      <c r="H96" s="177"/>
      <c r="J96" s="178"/>
      <c r="K96" s="178"/>
      <c r="M96" s="179"/>
      <c r="O96" s="168"/>
    </row>
    <row r="97" spans="2:23" s="169" customFormat="1" ht="25.5" customHeight="1">
      <c r="B97" s="1005"/>
      <c r="C97" s="1005"/>
      <c r="D97" s="1005"/>
      <c r="E97" s="1005"/>
      <c r="F97" s="1005"/>
      <c r="G97" s="1005"/>
      <c r="H97" s="177"/>
      <c r="J97" s="178"/>
      <c r="K97" s="178"/>
      <c r="M97" s="179"/>
      <c r="O97" s="168"/>
    </row>
    <row r="98" spans="2:23" s="169" customFormat="1" ht="25.5" customHeight="1">
      <c r="B98" s="1080" t="s">
        <v>274</v>
      </c>
      <c r="C98" s="1080"/>
      <c r="D98" s="1080"/>
      <c r="E98" s="1080"/>
      <c r="F98" s="1080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32" t="s">
        <v>275</v>
      </c>
      <c r="C99" s="1032"/>
      <c r="D99" s="1032"/>
      <c r="E99" s="1032"/>
      <c r="F99" s="1032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24" t="s">
        <v>278</v>
      </c>
      <c r="E102" s="1024"/>
      <c r="F102" s="1024"/>
      <c r="G102" s="1024"/>
      <c r="H102" s="1024"/>
      <c r="I102" s="1024"/>
      <c r="J102" s="1024"/>
      <c r="K102" s="1024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83">
        <f>S3_storage.50_SEK</f>
        <v>350</v>
      </c>
      <c r="E103" s="1083"/>
      <c r="F103" s="1083"/>
      <c r="G103" s="1083"/>
      <c r="H103" s="1083"/>
      <c r="I103" s="1083"/>
      <c r="J103" s="1083"/>
      <c r="K103" s="1083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8">
        <f>S3_storage.100_SEK</f>
        <v>270</v>
      </c>
      <c r="E104" s="1078"/>
      <c r="F104" s="1078"/>
      <c r="G104" s="1078"/>
      <c r="H104" s="1078"/>
      <c r="I104" s="1078"/>
      <c r="J104" s="1078"/>
      <c r="K104" s="1078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81">
        <f>S3_storage.500_SEK</f>
        <v>200</v>
      </c>
      <c r="E105" s="1081"/>
      <c r="F105" s="1081"/>
      <c r="G105" s="1081"/>
      <c r="H105" s="1081"/>
      <c r="I105" s="1081"/>
      <c r="J105" s="1081"/>
      <c r="K105" s="1081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8">
        <f>S3_storage.1000_SEK</f>
        <v>185</v>
      </c>
      <c r="E106" s="1078"/>
      <c r="F106" s="1078"/>
      <c r="G106" s="1078"/>
      <c r="H106" s="1078"/>
      <c r="I106" s="1078"/>
      <c r="J106" s="1078"/>
      <c r="K106" s="1078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9" t="str">
        <f>S3_storage.quote_SEK</f>
        <v>Be om offert</v>
      </c>
      <c r="E107" s="1079"/>
      <c r="F107" s="1079"/>
      <c r="G107" s="1079"/>
      <c r="H107" s="1079"/>
      <c r="I107" s="1079"/>
      <c r="J107" s="1079"/>
      <c r="K107" s="1079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05" t="s">
        <v>86</v>
      </c>
      <c r="C116" s="1005"/>
      <c r="D116" s="1005"/>
      <c r="E116" s="1005"/>
      <c r="F116" s="1005"/>
      <c r="G116" s="1005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05"/>
      <c r="C117" s="1005"/>
      <c r="D117" s="1005"/>
      <c r="E117" s="1005"/>
      <c r="F117" s="1005"/>
      <c r="G117" s="1005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05"/>
      <c r="C118" s="1005"/>
      <c r="D118" s="1005"/>
      <c r="E118" s="1005"/>
      <c r="F118" s="1005"/>
      <c r="G118" s="1005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80" t="s">
        <v>279</v>
      </c>
      <c r="C119" s="1080"/>
      <c r="D119" s="1080"/>
      <c r="E119" s="1080"/>
      <c r="F119" s="1080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32" t="s">
        <v>280</v>
      </c>
      <c r="C120" s="1032"/>
      <c r="D120" s="1032"/>
      <c r="E120" s="1032"/>
      <c r="F120" s="1032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24" t="s">
        <v>281</v>
      </c>
      <c r="D123" s="1024"/>
      <c r="E123" s="131" t="s">
        <v>263</v>
      </c>
      <c r="F123" s="1024" t="s">
        <v>272</v>
      </c>
      <c r="G123" s="1024"/>
      <c r="H123" s="266" t="s">
        <v>90</v>
      </c>
      <c r="I123" s="265"/>
      <c r="J123" s="1038" t="s">
        <v>282</v>
      </c>
      <c r="K123" s="1038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2">
        <f>BAAS_on.demand_SEK</f>
        <v>2.4500000000000002</v>
      </c>
      <c r="G124" s="1073"/>
      <c r="H124" s="307"/>
      <c r="I124" s="472" t="s">
        <v>69</v>
      </c>
      <c r="J124" s="1042" t="s">
        <v>94</v>
      </c>
      <c r="K124" s="1042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4">
        <f>BAAS_small_SEK</f>
        <v>1.75</v>
      </c>
      <c r="G125" s="1075"/>
      <c r="H125" s="309"/>
      <c r="I125" s="473" t="s">
        <v>69</v>
      </c>
      <c r="J125" s="1046">
        <v>0.75</v>
      </c>
      <c r="K125" s="1047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76">
        <f>BAAS_large_SEK</f>
        <v>0.92</v>
      </c>
      <c r="G126" s="1077"/>
      <c r="H126" s="298"/>
      <c r="I126" s="474" t="s">
        <v>69</v>
      </c>
      <c r="J126" s="1051">
        <v>0.75</v>
      </c>
      <c r="K126" s="1052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05" t="s">
        <v>287</v>
      </c>
      <c r="C137" s="1005"/>
      <c r="D137" s="1005"/>
      <c r="E137" s="1005"/>
      <c r="F137" s="1005"/>
      <c r="G137" s="1005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05"/>
      <c r="C138" s="1005"/>
      <c r="D138" s="1005"/>
      <c r="E138" s="1005"/>
      <c r="F138" s="1005"/>
      <c r="G138" s="1005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05"/>
      <c r="C139" s="1005"/>
      <c r="D139" s="1005"/>
      <c r="E139" s="1005"/>
      <c r="F139" s="1005"/>
      <c r="G139" s="1005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32" t="s">
        <v>280</v>
      </c>
      <c r="C140" s="1032"/>
      <c r="D140" s="1032"/>
      <c r="E140" s="1032"/>
      <c r="F140" s="1032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07"/>
      <c r="C141" s="1007"/>
      <c r="D141" s="1007"/>
      <c r="E141" s="1007"/>
      <c r="F141" s="1007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05" t="s">
        <v>295</v>
      </c>
      <c r="C176" s="1005"/>
      <c r="D176" s="1005"/>
      <c r="E176" s="1005"/>
      <c r="F176" s="1005"/>
      <c r="G176" s="1005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05"/>
      <c r="C177" s="1005"/>
      <c r="D177" s="1005"/>
      <c r="E177" s="1005"/>
      <c r="F177" s="1005"/>
      <c r="G177" s="1005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05"/>
      <c r="C178" s="1005"/>
      <c r="D178" s="1005"/>
      <c r="E178" s="1005"/>
      <c r="F178" s="1005"/>
      <c r="G178" s="1005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32" t="s">
        <v>280</v>
      </c>
      <c r="C179" s="1032"/>
      <c r="D179" s="1032"/>
      <c r="E179" s="1032"/>
      <c r="F179" s="1032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07"/>
      <c r="C180" s="1007"/>
      <c r="D180" s="1007"/>
      <c r="E180" s="1007"/>
      <c r="F180" s="1007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08" t="s">
        <v>308</v>
      </c>
      <c r="C211" s="1008"/>
      <c r="D211" s="1008"/>
      <c r="E211" s="1008"/>
      <c r="F211" s="1008"/>
      <c r="G211" s="1008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08"/>
      <c r="C212" s="1008"/>
      <c r="D212" s="1008"/>
      <c r="E212" s="1008"/>
      <c r="F212" s="1008"/>
      <c r="G212" s="1008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08"/>
      <c r="C213" s="1008"/>
      <c r="D213" s="1008"/>
      <c r="E213" s="1008"/>
      <c r="F213" s="1008"/>
      <c r="G213" s="1008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70" t="s">
        <v>309</v>
      </c>
      <c r="C214" s="1070"/>
      <c r="D214" s="1070"/>
      <c r="E214" s="1070"/>
      <c r="F214" s="1070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426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71" t="str">
        <f>SUM(E67)&amp;" GB NVME-Disk"</f>
        <v>0 GB NVME-Disk</v>
      </c>
      <c r="G221" s="1071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05"/>
      <c r="C16" s="1005"/>
      <c r="D16" s="1005"/>
      <c r="E16" s="1005"/>
      <c r="F16" s="1005"/>
      <c r="G16" s="1005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05"/>
      <c r="C17" s="1005"/>
      <c r="D17" s="1005"/>
      <c r="E17" s="1005"/>
      <c r="F17" s="1005"/>
      <c r="G17" s="1005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07" t="s">
        <v>205</v>
      </c>
      <c r="C19" s="1007"/>
      <c r="D19" s="1007"/>
      <c r="E19" s="1007"/>
      <c r="F19" s="1007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24" t="s">
        <v>221</v>
      </c>
      <c r="G98" s="1024"/>
      <c r="H98" s="1038"/>
      <c r="I98" s="1038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84">
        <f>VOLUME_large_SEK</f>
        <v>1.2</v>
      </c>
      <c r="G99" s="1084"/>
      <c r="H99" s="1087"/>
      <c r="I99" s="108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82">
        <f>VOLUME_fast_SEK</f>
        <v>3.6</v>
      </c>
      <c r="G100" s="1082"/>
      <c r="H100" s="1089"/>
      <c r="I100" s="108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05" t="s">
        <v>339</v>
      </c>
      <c r="C105" s="1005"/>
      <c r="D105" s="1005"/>
      <c r="E105" s="1005"/>
      <c r="F105" s="1005"/>
      <c r="G105" s="1005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05"/>
      <c r="C106" s="1005"/>
      <c r="D106" s="1005"/>
      <c r="E106" s="1005"/>
      <c r="F106" s="1005"/>
      <c r="G106" s="1005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05"/>
      <c r="C107" s="1005"/>
      <c r="D107" s="1005"/>
      <c r="E107" s="1005"/>
      <c r="F107" s="1005"/>
      <c r="G107" s="1005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4" t="s">
        <v>223</v>
      </c>
      <c r="C108" s="1054"/>
      <c r="D108" s="1054"/>
      <c r="E108" s="1054"/>
      <c r="F108" s="1054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32" t="s">
        <v>340</v>
      </c>
      <c r="C109" s="1032"/>
      <c r="D109" s="1032"/>
      <c r="E109" s="1032"/>
      <c r="F109" s="1032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24" t="s">
        <v>341</v>
      </c>
      <c r="E112" s="1024"/>
      <c r="F112" s="1024"/>
      <c r="G112" s="1024"/>
      <c r="H112" s="1024"/>
      <c r="I112" s="1024"/>
      <c r="J112" s="1024"/>
      <c r="K112" s="1024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0">
        <f>S3_storage.50_SUNET</f>
        <v>0.35</v>
      </c>
      <c r="E113" s="1090"/>
      <c r="F113" s="1083"/>
      <c r="G113" s="1083"/>
      <c r="H113" s="1083"/>
      <c r="I113" s="1083"/>
      <c r="J113" s="1083"/>
      <c r="K113" s="1083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88">
        <f>S3_storage.100_SUNET</f>
        <v>0.19</v>
      </c>
      <c r="E114" s="1088"/>
      <c r="F114" s="1078"/>
      <c r="G114" s="1078"/>
      <c r="H114" s="1078"/>
      <c r="I114" s="1078"/>
      <c r="J114" s="1078"/>
      <c r="K114" s="1078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1">
        <f>S3_storage.500_SUNET</f>
        <v>0.1</v>
      </c>
      <c r="E115" s="1091"/>
      <c r="F115" s="1081"/>
      <c r="G115" s="1081"/>
      <c r="H115" s="1081"/>
      <c r="I115" s="1081"/>
      <c r="J115" s="1081"/>
      <c r="K115" s="1081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88">
        <f>S3_storage.1000_SUNET</f>
        <v>0.06</v>
      </c>
      <c r="E116" s="1088"/>
      <c r="F116" s="1078"/>
      <c r="G116" s="1078"/>
      <c r="H116" s="1078"/>
      <c r="I116" s="1078"/>
      <c r="J116" s="1078"/>
      <c r="K116" s="1078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92" t="str">
        <f>S3_storage.quote_SUNET</f>
        <v>Be om offert</v>
      </c>
      <c r="E117" s="1092"/>
      <c r="F117" s="1079"/>
      <c r="G117" s="1079"/>
      <c r="H117" s="1079"/>
      <c r="I117" s="1079"/>
      <c r="J117" s="1079"/>
      <c r="K117" s="1079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24" t="s">
        <v>221</v>
      </c>
      <c r="G120" s="1024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3" cm="1">
        <f t="array" ref="F121">_xlfn.IFS(H121&lt;=299,D113,H121&lt;1000,D114,H121&lt;2000,D115,H121&gt;=2000,D116)</f>
        <v>0.35</v>
      </c>
      <c r="G121" s="1094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85">
        <f>ROUNDUP((H121*1000)*F121,2)</f>
        <v>0</v>
      </c>
      <c r="N121" s="1085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86">
        <f>SUM(M121)</f>
        <v>0</v>
      </c>
      <c r="N122" s="1086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05" t="s">
        <v>86</v>
      </c>
      <c r="C126" s="1005"/>
      <c r="D126" s="1005"/>
      <c r="E126" s="1005"/>
      <c r="F126" s="1005"/>
      <c r="G126" s="1005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05"/>
      <c r="C127" s="1005"/>
      <c r="D127" s="1005"/>
      <c r="E127" s="1005"/>
      <c r="F127" s="1005"/>
      <c r="G127" s="1005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05"/>
      <c r="C128" s="1005"/>
      <c r="D128" s="1005"/>
      <c r="E128" s="1005"/>
      <c r="F128" s="1005"/>
      <c r="G128" s="1005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26" t="s">
        <v>87</v>
      </c>
      <c r="C129" s="1026"/>
      <c r="D129" s="1026"/>
      <c r="E129" s="1026"/>
      <c r="F129" s="1026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07" t="s">
        <v>226</v>
      </c>
      <c r="C130" s="1007"/>
      <c r="D130" s="1007"/>
      <c r="E130" s="1007"/>
      <c r="F130" s="1007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24" t="s">
        <v>228</v>
      </c>
      <c r="D133" s="1024"/>
      <c r="E133" s="131" t="s">
        <v>210</v>
      </c>
      <c r="F133" s="1024" t="s">
        <v>221</v>
      </c>
      <c r="G133" s="1024"/>
      <c r="H133" s="266" t="s">
        <v>90</v>
      </c>
      <c r="I133" s="265"/>
      <c r="J133" s="1038" t="s">
        <v>229</v>
      </c>
      <c r="K133" s="1038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2">
        <f>BAAS_on.demand_SEK</f>
        <v>2.4500000000000002</v>
      </c>
      <c r="G134" s="1073"/>
      <c r="H134" s="307">
        <v>0</v>
      </c>
      <c r="I134" s="472" t="s">
        <v>69</v>
      </c>
      <c r="J134" s="1042" t="s">
        <v>94</v>
      </c>
      <c r="K134" s="1042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4">
        <f>BAAS_small_SEK</f>
        <v>1.75</v>
      </c>
      <c r="G135" s="1075"/>
      <c r="H135" s="309">
        <v>0</v>
      </c>
      <c r="I135" s="473" t="s">
        <v>69</v>
      </c>
      <c r="J135" s="1046">
        <v>0.75</v>
      </c>
      <c r="K135" s="1047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76">
        <f>BAAS_large_SEK</f>
        <v>0.92</v>
      </c>
      <c r="G136" s="1077"/>
      <c r="H136" s="298">
        <v>0</v>
      </c>
      <c r="I136" s="474" t="s">
        <v>69</v>
      </c>
      <c r="J136" s="1051">
        <v>0.75</v>
      </c>
      <c r="K136" s="1052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08" t="s">
        <v>255</v>
      </c>
      <c r="C150" s="1008"/>
      <c r="D150" s="1008"/>
      <c r="E150" s="1008"/>
      <c r="F150" s="1008"/>
      <c r="G150" s="1008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08"/>
      <c r="C151" s="1008"/>
      <c r="D151" s="1008"/>
      <c r="E151" s="1008"/>
      <c r="F151" s="1008"/>
      <c r="G151" s="1008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08"/>
      <c r="C152" s="1008"/>
      <c r="D152" s="1008"/>
      <c r="E152" s="1008"/>
      <c r="F152" s="1008"/>
      <c r="G152" s="1008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70" t="s">
        <v>226</v>
      </c>
      <c r="C153" s="1070"/>
      <c r="D153" s="1070"/>
      <c r="E153" s="1070"/>
      <c r="F153" s="1070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96" t="s">
        <v>196</v>
      </c>
      <c r="C160" s="1096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97" t="s">
        <v>197</v>
      </c>
      <c r="C161" s="1097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98" t="s">
        <v>199</v>
      </c>
      <c r="C163" s="1098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95">
        <f>SUM(M160:M163)</f>
        <v>0</v>
      </c>
      <c r="K164" s="1095"/>
      <c r="L164" s="1095"/>
      <c r="M164" s="1095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669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4" t="s">
        <v>715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670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671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672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673</v>
      </c>
      <c r="E25" s="131" t="s">
        <v>602</v>
      </c>
      <c r="F25" s="131" t="s">
        <v>263</v>
      </c>
      <c r="G25" s="131" t="s">
        <v>674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686</v>
      </c>
      <c r="C44" s="973"/>
      <c r="D44" s="973"/>
      <c r="K44" s="934"/>
      <c r="M44" s="664"/>
    </row>
    <row r="45" spans="2:18" ht="25" customHeight="1">
      <c r="B45" s="628" t="s">
        <v>720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673</v>
      </c>
      <c r="E46" s="131" t="s">
        <v>602</v>
      </c>
      <c r="F46" s="131" t="s">
        <v>263</v>
      </c>
      <c r="G46" s="131" t="s">
        <v>674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96" t="s">
        <v>487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487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687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688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674</v>
      </c>
      <c r="H80" s="24"/>
      <c r="I80" s="728" t="s">
        <v>716</v>
      </c>
      <c r="J80" s="24"/>
      <c r="K80" s="939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924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924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924"/>
      <c r="M89" s="664"/>
    </row>
    <row r="90" spans="2:20" s="4" customFormat="1" ht="25" customHeight="1">
      <c r="B90" s="549" t="s">
        <v>722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671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672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675</v>
      </c>
      <c r="H94" s="24"/>
      <c r="I94" s="728" t="s">
        <v>717</v>
      </c>
      <c r="J94" s="131"/>
      <c r="K94" s="939" t="s">
        <v>483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924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924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924"/>
      <c r="L112" s="674"/>
      <c r="M112" s="664"/>
    </row>
    <row r="113" spans="2:32" s="4" customFormat="1" ht="25" customHeight="1">
      <c r="B113" s="549" t="s">
        <v>689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671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672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676</v>
      </c>
      <c r="H117" s="24"/>
      <c r="I117" s="728" t="s">
        <v>716</v>
      </c>
      <c r="J117" s="728" t="s">
        <v>677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924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924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79" t="s">
        <v>512</v>
      </c>
      <c r="D132" s="979"/>
      <c r="E132" s="979" t="s">
        <v>513</v>
      </c>
      <c r="F132" s="979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516</v>
      </c>
      <c r="F133" s="987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86" t="s">
        <v>514</v>
      </c>
      <c r="D134" s="986"/>
      <c r="E134" s="988" t="s">
        <v>515</v>
      </c>
      <c r="F134" s="988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690</v>
      </c>
      <c r="C139" s="978"/>
      <c r="D139" s="978"/>
      <c r="E139" s="978"/>
      <c r="F139" s="978"/>
      <c r="G139" s="978"/>
      <c r="H139" s="672"/>
      <c r="J139" s="674"/>
      <c r="K139" s="924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924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924"/>
      <c r="M141" s="664"/>
    </row>
    <row r="142" spans="2:32" s="4" customFormat="1" ht="25" customHeight="1">
      <c r="B142" s="465" t="s">
        <v>671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691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678</v>
      </c>
      <c r="K146" s="939" t="s">
        <v>679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681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680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680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692</v>
      </c>
      <c r="F151" s="37"/>
      <c r="G151" s="37"/>
      <c r="H151" s="37"/>
      <c r="I151" s="37"/>
      <c r="J151" s="770" t="s">
        <v>682</v>
      </c>
      <c r="K151" s="953" t="s">
        <v>683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693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694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678</v>
      </c>
      <c r="K159" s="939" t="s">
        <v>679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">
        <v>683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">
        <v>683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568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723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679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683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683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728</v>
      </c>
      <c r="F173" s="30"/>
      <c r="G173" s="30"/>
      <c r="H173" s="30"/>
      <c r="I173" s="30"/>
      <c r="J173" s="40"/>
      <c r="K173" s="956" t="s">
        <v>683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941" t="s">
        <v>683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56" t="s">
        <v>683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941" t="s">
        <v>683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956" t="s">
        <v>683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78" t="s">
        <v>295</v>
      </c>
      <c r="C181" s="978"/>
      <c r="D181" s="978"/>
      <c r="E181" s="978"/>
      <c r="F181" s="978"/>
      <c r="G181" s="978"/>
      <c r="H181" s="780"/>
      <c r="J181" s="674"/>
      <c r="K181" s="924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924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924"/>
      <c r="M183" s="664"/>
    </row>
    <row r="184" spans="2:20" s="4" customFormat="1" ht="25" customHeight="1">
      <c r="B184" s="999" t="s">
        <v>695</v>
      </c>
      <c r="C184" s="999"/>
      <c r="D184" s="999"/>
      <c r="E184" s="999"/>
      <c r="F184" s="999"/>
      <c r="H184" s="780"/>
      <c r="J184" s="674"/>
      <c r="K184" s="924"/>
      <c r="M184" s="664"/>
    </row>
    <row r="185" spans="2:20" s="4" customFormat="1" ht="25" customHeight="1">
      <c r="B185" s="465" t="s">
        <v>671</v>
      </c>
      <c r="C185" s="503"/>
      <c r="D185" s="503"/>
      <c r="E185" s="503"/>
      <c r="F185" s="503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696</v>
      </c>
      <c r="M188" s="664"/>
    </row>
    <row r="189" spans="2:20" ht="25" customHeight="1">
      <c r="B189" s="470" t="s">
        <v>208</v>
      </c>
      <c r="C189" s="23"/>
      <c r="D189" s="24" t="s">
        <v>271</v>
      </c>
      <c r="E189" s="24"/>
      <c r="F189" s="24"/>
      <c r="G189" s="24"/>
      <c r="H189" s="24"/>
      <c r="I189" s="23" t="s">
        <v>678</v>
      </c>
      <c r="J189" s="23"/>
      <c r="K189" s="939" t="s">
        <v>679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652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697</v>
      </c>
      <c r="E191" s="31"/>
      <c r="F191" s="771"/>
      <c r="G191" s="779"/>
      <c r="H191" s="779"/>
      <c r="I191" s="773" t="s">
        <v>699</v>
      </c>
      <c r="J191" s="773"/>
      <c r="K191" s="941" t="s">
        <v>700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698</v>
      </c>
      <c r="E192" s="129"/>
      <c r="F192" s="129"/>
      <c r="G192" s="129"/>
      <c r="H192" s="40"/>
      <c r="I192" s="770" t="s">
        <v>297</v>
      </c>
      <c r="J192" s="770"/>
      <c r="K192" s="940" t="s">
        <v>683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299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701</v>
      </c>
      <c r="M196" s="664"/>
    </row>
    <row r="197" spans="2:18" ht="25" customHeight="1">
      <c r="B197" s="470" t="s">
        <v>208</v>
      </c>
      <c r="C197" s="23"/>
      <c r="D197" s="24" t="s">
        <v>271</v>
      </c>
      <c r="E197" s="24"/>
      <c r="F197" s="24"/>
      <c r="G197" s="24"/>
      <c r="H197" s="24"/>
      <c r="I197" s="23" t="s">
        <v>678</v>
      </c>
      <c r="J197" s="23"/>
      <c r="K197" s="939" t="s">
        <v>679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297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297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297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297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297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297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702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703</v>
      </c>
      <c r="M207" s="664"/>
    </row>
    <row r="208" spans="2:18" ht="25" customHeight="1">
      <c r="B208" s="470" t="s">
        <v>208</v>
      </c>
      <c r="C208" s="23"/>
      <c r="D208" s="24" t="s">
        <v>271</v>
      </c>
      <c r="E208" s="132"/>
      <c r="F208" s="24"/>
      <c r="G208" s="131" t="s">
        <v>684</v>
      </c>
      <c r="H208" s="23"/>
      <c r="I208" s="23" t="s">
        <v>678</v>
      </c>
      <c r="J208" s="23"/>
      <c r="K208" s="939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704</v>
      </c>
      <c r="E209" s="40"/>
      <c r="F209" s="30"/>
      <c r="G209" s="40" t="s">
        <v>251</v>
      </c>
      <c r="H209" s="770"/>
      <c r="I209" s="770" t="s">
        <v>708</v>
      </c>
      <c r="J209" s="770"/>
      <c r="K209" s="940" t="s">
        <v>683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705</v>
      </c>
      <c r="E210" s="31"/>
      <c r="F210" s="771"/>
      <c r="G210" s="779" t="s">
        <v>251</v>
      </c>
      <c r="H210" s="773"/>
      <c r="I210" s="773" t="s">
        <v>708</v>
      </c>
      <c r="J210" s="773"/>
      <c r="K210" s="941" t="s">
        <v>683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706</v>
      </c>
      <c r="E211" s="40"/>
      <c r="F211" s="30"/>
      <c r="G211" s="40" t="s">
        <v>707</v>
      </c>
      <c r="H211" s="770"/>
      <c r="I211" s="770" t="s">
        <v>708</v>
      </c>
      <c r="J211" s="770"/>
      <c r="K211" s="940" t="s">
        <v>683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307</v>
      </c>
      <c r="E212" s="31"/>
      <c r="F212" s="771"/>
      <c r="G212" s="779" t="s">
        <v>707</v>
      </c>
      <c r="H212" s="773"/>
      <c r="I212" s="773" t="s">
        <v>708</v>
      </c>
      <c r="J212" s="773"/>
      <c r="K212" s="941" t="s">
        <v>683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97" t="s">
        <v>685</v>
      </c>
      <c r="C219" s="997"/>
      <c r="D219" s="997"/>
      <c r="E219" s="997"/>
      <c r="F219" s="997"/>
      <c r="G219" s="997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883" t="s">
        <v>671</v>
      </c>
      <c r="C222" s="135"/>
      <c r="D222" s="135"/>
      <c r="E222" s="135"/>
      <c r="F222" s="135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709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669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685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710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711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712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714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713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vBlm8+x20N7neGXfPW+6gPboyYZIeZ1g0qnTeJUgWwZhPOD5tlmlLv1xcD6zuYsx9YHW1jkmKYTw/P/ZUWakIg==" saltValue="lK1EdqQDkAZu6eUYQv5eNA==" spinCount="100000" sheet="1" selectLockedCells="1"/>
  <mergeCells count="36">
    <mergeCell ref="B184:F184"/>
    <mergeCell ref="B219:G221"/>
    <mergeCell ref="C134:D134"/>
    <mergeCell ref="E134:F134"/>
    <mergeCell ref="B139:G141"/>
    <mergeCell ref="B181:G183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D103:E103"/>
    <mergeCell ref="F103:G103"/>
    <mergeCell ref="H103:I103"/>
    <mergeCell ref="D104:E104"/>
    <mergeCell ref="F104:G104"/>
    <mergeCell ref="H104:I104"/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6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579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495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627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497</v>
      </c>
      <c r="F25" s="131" t="s">
        <v>13</v>
      </c>
      <c r="G25" s="131" t="s">
        <v>498</v>
      </c>
      <c r="H25" s="686"/>
      <c r="I25" s="687" t="s">
        <v>499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628</v>
      </c>
      <c r="C44" s="650"/>
      <c r="D44" s="650"/>
      <c r="K44" s="934"/>
      <c r="M44" s="664"/>
    </row>
    <row r="45" spans="2:18" ht="25" customHeight="1">
      <c r="B45" s="628" t="s">
        <v>721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497</v>
      </c>
      <c r="F46" s="131" t="s">
        <v>13</v>
      </c>
      <c r="G46" s="131" t="s">
        <v>498</v>
      </c>
      <c r="H46" s="686"/>
      <c r="I46" s="687" t="s">
        <v>499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96" t="s">
        <v>487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487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500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498</v>
      </c>
      <c r="H80" s="24"/>
      <c r="I80" s="728" t="s">
        <v>504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924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924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924"/>
      <c r="M89" s="664"/>
    </row>
    <row r="90" spans="2:20" s="4" customFormat="1" ht="25" customHeight="1">
      <c r="B90" s="549" t="s">
        <v>724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502</v>
      </c>
      <c r="H94" s="24"/>
      <c r="I94" s="728" t="s">
        <v>503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924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924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485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505</v>
      </c>
      <c r="F117" s="769"/>
      <c r="G117" s="131" t="s">
        <v>506</v>
      </c>
      <c r="H117" s="24"/>
      <c r="I117" s="728" t="s">
        <v>504</v>
      </c>
      <c r="J117" s="728" t="s">
        <v>507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924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924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79" t="s">
        <v>512</v>
      </c>
      <c r="D132" s="979"/>
      <c r="E132" s="979" t="s">
        <v>513</v>
      </c>
      <c r="F132" s="979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516</v>
      </c>
      <c r="F133" s="987"/>
      <c r="G133" s="901" t="str">
        <f>PAAS_man.kubernetes_EUR</f>
        <v>Request a quote</v>
      </c>
      <c r="H133" s="899"/>
      <c r="I133" s="975"/>
      <c r="J133" s="977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86" t="s">
        <v>514</v>
      </c>
      <c r="D134" s="986"/>
      <c r="E134" s="988" t="s">
        <v>515</v>
      </c>
      <c r="F134" s="988"/>
      <c r="G134" s="902" t="str">
        <f>PAAS_man.kubernetes8_EUR</f>
        <v>Request a quote</v>
      </c>
      <c r="H134" s="900"/>
      <c r="I134" s="976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100</v>
      </c>
      <c r="C139" s="978"/>
      <c r="D139" s="978"/>
      <c r="E139" s="978"/>
      <c r="F139" s="978"/>
      <c r="G139" s="978"/>
      <c r="H139" s="672"/>
      <c r="J139" s="674"/>
      <c r="K139" s="924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924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518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519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521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523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519</v>
      </c>
      <c r="K159" s="939" t="s">
        <v>14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524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729</v>
      </c>
      <c r="F173" s="30"/>
      <c r="G173" s="30"/>
      <c r="H173" s="30"/>
      <c r="I173" s="30"/>
      <c r="J173" s="40"/>
      <c r="K173" s="956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597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56" t="str">
        <f>PAAS_man.nats_EUR</f>
        <v>Request a quote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941" t="str">
        <f>PAAS_man.mariadb_EUR</f>
        <v>Request a quote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956" t="str">
        <f>PAAS_man.redis_EUR</f>
        <v>Request a quote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78" t="s">
        <v>525</v>
      </c>
      <c r="C181" s="978"/>
      <c r="D181" s="978"/>
      <c r="E181" s="978"/>
      <c r="F181" s="978"/>
      <c r="G181" s="978"/>
      <c r="H181" s="780"/>
      <c r="J181" s="674"/>
      <c r="K181" s="924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924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924"/>
      <c r="M183" s="664"/>
    </row>
    <row r="184" spans="2:20" s="4" customFormat="1" ht="25" customHeight="1">
      <c r="B184" s="999" t="s">
        <v>526</v>
      </c>
      <c r="C184" s="999"/>
      <c r="D184" s="999"/>
      <c r="E184" s="999"/>
      <c r="F184" s="999"/>
      <c r="H184" s="780"/>
      <c r="J184" s="674"/>
      <c r="K184" s="924"/>
      <c r="M184" s="664"/>
    </row>
    <row r="185" spans="2:20" s="4" customFormat="1" ht="25" customHeight="1">
      <c r="B185" s="994" t="s">
        <v>527</v>
      </c>
      <c r="C185" s="994"/>
      <c r="D185" s="994"/>
      <c r="E185" s="994"/>
      <c r="F185" s="994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528</v>
      </c>
      <c r="M188" s="664"/>
    </row>
    <row r="189" spans="2:20" ht="25" customHeight="1">
      <c r="B189" s="470" t="s">
        <v>9</v>
      </c>
      <c r="C189" s="23"/>
      <c r="D189" s="24" t="s">
        <v>64</v>
      </c>
      <c r="E189" s="24"/>
      <c r="F189" s="24"/>
      <c r="G189" s="24"/>
      <c r="H189" s="24"/>
      <c r="I189" s="23" t="s">
        <v>519</v>
      </c>
      <c r="J189" s="23"/>
      <c r="K189" s="939" t="s">
        <v>14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529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665</v>
      </c>
      <c r="E191" s="31"/>
      <c r="F191" s="771"/>
      <c r="G191" s="779"/>
      <c r="H191" s="779"/>
      <c r="I191" s="773" t="s">
        <v>157</v>
      </c>
      <c r="J191" s="773"/>
      <c r="K191" s="941" t="s">
        <v>666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160</v>
      </c>
      <c r="E192" s="129"/>
      <c r="F192" s="129"/>
      <c r="G192" s="129"/>
      <c r="H192" s="40"/>
      <c r="I192" s="770" t="s">
        <v>161</v>
      </c>
      <c r="J192" s="770"/>
      <c r="K192" s="940" t="s">
        <v>380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531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532</v>
      </c>
      <c r="M196" s="664"/>
    </row>
    <row r="197" spans="2:18" ht="25" customHeight="1">
      <c r="B197" s="470" t="s">
        <v>9</v>
      </c>
      <c r="C197" s="23"/>
      <c r="D197" s="24" t="s">
        <v>64</v>
      </c>
      <c r="E197" s="24"/>
      <c r="F197" s="24"/>
      <c r="G197" s="24"/>
      <c r="H197" s="24"/>
      <c r="I197" s="23" t="s">
        <v>519</v>
      </c>
      <c r="J197" s="23"/>
      <c r="K197" s="939" t="s">
        <v>14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161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161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161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161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161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161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533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534</v>
      </c>
      <c r="M207" s="664"/>
    </row>
    <row r="208" spans="2:18" ht="25" customHeight="1">
      <c r="B208" s="470" t="s">
        <v>9</v>
      </c>
      <c r="C208" s="23"/>
      <c r="D208" s="24" t="s">
        <v>64</v>
      </c>
      <c r="E208" s="132"/>
      <c r="F208" s="24"/>
      <c r="G208" s="131" t="s">
        <v>178</v>
      </c>
      <c r="H208" s="23"/>
      <c r="I208" s="132" t="s">
        <v>519</v>
      </c>
      <c r="J208" s="23"/>
      <c r="K208" s="939" t="s">
        <v>179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182</v>
      </c>
      <c r="E209" s="40"/>
      <c r="F209" s="30"/>
      <c r="G209" s="40" t="s">
        <v>181</v>
      </c>
      <c r="H209" s="770"/>
      <c r="I209" s="905" t="s">
        <v>183</v>
      </c>
      <c r="J209" s="770"/>
      <c r="K209" s="940" t="s">
        <v>530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535</v>
      </c>
      <c r="E210" s="31"/>
      <c r="F210" s="771"/>
      <c r="G210" s="779" t="s">
        <v>181</v>
      </c>
      <c r="H210" s="773"/>
      <c r="I210" s="906" t="s">
        <v>183</v>
      </c>
      <c r="J210" s="773"/>
      <c r="K210" s="941" t="s">
        <v>530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536</v>
      </c>
      <c r="E211" s="40"/>
      <c r="F211" s="30"/>
      <c r="G211" s="40" t="s">
        <v>187</v>
      </c>
      <c r="H211" s="770"/>
      <c r="I211" s="905" t="s">
        <v>183</v>
      </c>
      <c r="J211" s="770"/>
      <c r="K211" s="940" t="s">
        <v>530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537</v>
      </c>
      <c r="E212" s="31"/>
      <c r="F212" s="771"/>
      <c r="G212" s="779" t="s">
        <v>187</v>
      </c>
      <c r="H212" s="773"/>
      <c r="I212" s="906" t="s">
        <v>183</v>
      </c>
      <c r="J212" s="773"/>
      <c r="K212" s="941" t="s">
        <v>530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97" t="s">
        <v>538</v>
      </c>
      <c r="C219" s="997"/>
      <c r="D219" s="997"/>
      <c r="E219" s="997"/>
      <c r="F219" s="997"/>
      <c r="G219" s="997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98" t="s">
        <v>527</v>
      </c>
      <c r="C222" s="998"/>
      <c r="D222" s="998"/>
      <c r="E222" s="998"/>
      <c r="F222" s="998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539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540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541</v>
      </c>
      <c r="C228" s="56"/>
      <c r="D228" s="57"/>
      <c r="E228" s="56"/>
      <c r="F228" s="659"/>
      <c r="G228" s="659"/>
      <c r="H228" s="659"/>
      <c r="I228" s="56"/>
      <c r="J228" s="659" t="s">
        <v>538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508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509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510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667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668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ipgUkE/3UaUdh5BHXPzsvdC1lgHxPFAMXwlpQTT0EOK3PFB9ssmUWtKAaP1RwpbQbkYLJTEgCxnyrTgaMo0Dhg==" saltValue="Uvoo4yxIA4bm2D+2eh8sxA==" spinCount="100000" sheet="1" selectLockedCells="1"/>
  <mergeCells count="38">
    <mergeCell ref="B219:G221"/>
    <mergeCell ref="B222:F222"/>
    <mergeCell ref="C134:D134"/>
    <mergeCell ref="E134:F134"/>
    <mergeCell ref="B139:G141"/>
    <mergeCell ref="B181:G183"/>
    <mergeCell ref="B184:F184"/>
    <mergeCell ref="B185:F185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D103:E103"/>
    <mergeCell ref="F103:G103"/>
    <mergeCell ref="H103:I103"/>
    <mergeCell ref="D104:E104"/>
    <mergeCell ref="F104:G104"/>
    <mergeCell ref="H104:I104"/>
    <mergeCell ref="D100:E100"/>
    <mergeCell ref="F100:G100"/>
    <mergeCell ref="H100:I100"/>
    <mergeCell ref="D102:E102"/>
    <mergeCell ref="F102:G102"/>
    <mergeCell ref="H102:I102"/>
    <mergeCell ref="B70:E70"/>
    <mergeCell ref="B4:C4"/>
    <mergeCell ref="B15:G17"/>
    <mergeCell ref="B60:E60"/>
    <mergeCell ref="B87:G89"/>
  </mergeCells>
  <phoneticPr fontId="2" type="noConversion"/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6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410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411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412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413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414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633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593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593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421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2024-02-27T10:34:38Z</cp:lastPrinted>
  <dcterms:created xsi:type="dcterms:W3CDTF">2015-05-31T16:02:08Z</dcterms:created>
  <dcterms:modified xsi:type="dcterms:W3CDTF">2024-05-06T07:44:13Z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