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6B3F40F0-EA3A-EB49-BBEF-C52681F3B7C1}" xr6:coauthVersionLast="47" xr6:coauthVersionMax="47" xr10:uidLastSave="{00000000-0000-0000-0000-000000000000}"/>
  <workbookProtection workbookAlgorithmName="SHA-512" workbookHashValue="QFujO+yUGf+aQUONQfrtadkhIBl7APLnfkKZ7sMX+ncAI7oS/RxU2jqt7wiahpq1UmhbhsN7RLLeHpcTyDZEgQ==" workbookSaltValue="JDyRNlYRPR8s9RIFouc9zA==" workbookSpinCount="100000" lockStructure="1"/>
  <bookViews>
    <workbookView xWindow="5880" yWindow="760" windowWidth="28800" windowHeight="175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2022'!$A$3:$L$243</definedName>
    <definedName name="_xlnm.Print_Area" localSheetId="3">'NOK - Safespring tjenester 2022'!$A$1:$N$315</definedName>
    <definedName name="_xlnm.Print_Area" localSheetId="4">'NOK - Safesprings tjeneste 2021'!$A$1:$N$305</definedName>
    <definedName name="_xlnm.Print_Area" localSheetId="0">'SEK - Safesprings tjänster 2022'!$A$1:$L$243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1" i="12" l="1"/>
  <c r="K162" i="12"/>
  <c r="K165" i="12"/>
  <c r="K166" i="12"/>
  <c r="K162" i="11"/>
  <c r="K163" i="11"/>
  <c r="K164" i="11"/>
  <c r="K160" i="3"/>
  <c r="K161" i="3"/>
  <c r="K162" i="3"/>
  <c r="K163" i="3"/>
  <c r="K164" i="3"/>
  <c r="K165" i="3"/>
  <c r="C233" i="3" l="1"/>
  <c r="C234" i="12"/>
  <c r="C231" i="12" a="1"/>
  <c r="C231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3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0" i="11" a="1"/>
  <c r="C230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0" i="3" a="1"/>
  <c r="C230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G94" i="3"/>
  <c r="K94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D114" i="8" l="1"/>
  <c r="C231" i="3"/>
  <c r="K133" i="12"/>
  <c r="J234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C232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3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3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K95" i="11" l="1"/>
  <c r="J231" i="11" s="1"/>
  <c r="C231" i="11"/>
  <c r="L174" i="8"/>
  <c r="K173" i="11"/>
  <c r="G132" i="11"/>
  <c r="L173" i="8"/>
  <c r="G131" i="11"/>
  <c r="K172" i="11"/>
  <c r="K95" i="12"/>
  <c r="J232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0" i="12" s="1"/>
  <c r="E75" i="4"/>
  <c r="K205" i="12" s="1"/>
  <c r="E74" i="4"/>
  <c r="K204" i="12" s="1"/>
  <c r="E73" i="4"/>
  <c r="K203" i="12" s="1"/>
  <c r="E72" i="4"/>
  <c r="K202" i="12" s="1"/>
  <c r="E71" i="4"/>
  <c r="K201" i="12" s="1"/>
  <c r="L198" i="8" l="1"/>
  <c r="K200" i="11"/>
  <c r="L202" i="8"/>
  <c r="K204" i="11"/>
  <c r="L201" i="8"/>
  <c r="K203" i="11"/>
  <c r="L197" i="8"/>
  <c r="K199" i="11"/>
  <c r="L200" i="8"/>
  <c r="K202" i="11"/>
  <c r="L199" i="8"/>
  <c r="K201" i="11"/>
  <c r="M191" i="10"/>
  <c r="M196" i="10"/>
  <c r="M192" i="10"/>
  <c r="K203" i="3"/>
  <c r="M195" i="10"/>
  <c r="K202" i="3"/>
  <c r="M194" i="10"/>
  <c r="K201" i="3"/>
  <c r="M193" i="10"/>
  <c r="K199" i="3"/>
  <c r="K200" i="3"/>
  <c r="K204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3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L153" i="8" l="1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2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1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0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70" i="11" l="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/>
  <c r="F80" i="1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K79" i="12" l="1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1" i="12" s="1"/>
  <c r="J235" i="12" s="1"/>
  <c r="K82" i="11"/>
  <c r="J230" i="11" s="1"/>
  <c r="J234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2" i="3" s="1"/>
  <c r="K80" i="3"/>
  <c r="K79" i="3"/>
  <c r="F80" i="3"/>
  <c r="F79" i="3"/>
  <c r="K82" i="3" l="1"/>
  <c r="J230" i="3" s="1"/>
  <c r="J23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<sst xmlns="http://schemas.openxmlformats.org/spreadsheetml/2006/main" count="2178" uniqueCount="676">
  <si>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</si>
  <si>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</si>
  <si>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</si>
  <si>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</si>
  <si>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</si>
  <si>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</si>
  <si>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</si>
  <si>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</si>
  <si>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</si>
  <si>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</si>
  <si>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</si>
  <si>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</si>
  <si>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</si>
  <si>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</si>
  <si>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</si>
  <si>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</si>
  <si>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</si>
  <si>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</si>
  <si>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</si>
  <si>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</si>
  <si>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</si>
  <si>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</si>
  <si>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</si>
  <si>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</si>
  <si>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</si>
  <si>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</si>
  <si>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</si>
  <si>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</si>
  <si>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</si>
  <si>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</si>
  <si>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</si>
  <si>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</si>
  <si>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</si>
  <si>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</si>
  <si>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</si>
  <si>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</si>
  <si>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</si>
  <si>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</si>
  <si>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</si>
  <si>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</si>
  <si>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</si>
  <si>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</si>
  <si>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</si>
  <si>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</si>
  <si>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</si>
  <si>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</si>
  <si>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</si>
  <si>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</si>
  <si>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</si>
  <si>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</si>
  <si>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</si>
  <si>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</si>
  <si>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</si>
  <si>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</si>
  <si>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</si>
  <si>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</si>
  <si>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</si>
  <si>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</si>
  <si>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</si>
  <si>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</si>
  <si>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</si>
  <si>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</si>
  <si>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</si>
  <si>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</si>
  <si>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</si>
  <si>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</si>
  <si>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</si>
  <si>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</si>
  <si>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</si>
  <si>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</si>
  <si>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</si>
  <si>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</si>
  <si>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</si>
  <si>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</si>
  <si>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</si>
  <si>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</si>
  <si>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</si>
  <si>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</si>
  <si>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</si>
  <si>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</si>
  <si>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</si>
  <si>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</si>
  <si>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</si>
  <si>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</si>
  <si>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</si>
  <si>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</si>
  <si>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</si>
  <si>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</si>
  <si>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</si>
  <si>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</si>
  <si>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</si>
  <si>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</si>
  <si>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</si>
  <si>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</si>
  <si>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</si>
  <si>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</si>
  <si>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</si>
  <si>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</si>
  <si>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</si>
  <si>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</si>
  <si>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</si>
  <si>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</si>
  <si>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</si>
  <si>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</si>
  <si>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</si>
  <si>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</si>
  <si>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</si>
  <si>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</si>
  <si>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</si>
  <si>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</si>
  <si>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</si>
  <si>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</si>
  <si>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</si>
  <si>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</si>
  <si>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</si>
  <si>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</si>
  <si>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</si>
  <si>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</si>
  <si>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</si>
  <si>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</si>
  <si>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</si>
  <si>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</si>
  <si>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</si>
  <si>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</si>
  <si>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</si>
  <si>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</si>
  <si>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</si>
  <si>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</si>
  <si>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</si>
  <si>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</si>
  <si>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</si>
  <si>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</si>
  <si>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</si>
  <si>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</si>
  <si>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</si>
  <si>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</si>
  <si>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</si>
  <si>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</si>
  <si>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</si>
  <si>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</si>
  <si>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</si>
  <si>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</si>
  <si>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</si>
  <si>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</si>
  <si>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</si>
  <si>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</si>
  <si>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</si>
  <si>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</si>
  <si>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</si>
  <si>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</si>
  <si>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</si>
  <si>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</si>
  <si>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</si>
  <si>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</si>
  <si>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</si>
  <si>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</si>
  <si>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</si>
  <si>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</si>
  <si>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</si>
  <si>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</si>
  <si>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</si>
  <si>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</si>
  <si>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</si>
  <si>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</si>
  <si>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</si>
  <si>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</si>
  <si>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</si>
  <si>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</si>
  <si>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</si>
  <si>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</si>
  <si>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</si>
  <si>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</si>
  <si>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</si>
  <si>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</si>
  <si>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</si>
  <si>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</si>
  <si>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</si>
  <si>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</si>
  <si>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</si>
  <si>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</si>
  <si>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</si>
  <si>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</si>
  <si>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</si>
  <si>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</si>
  <si>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</si>
  <si>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</si>
  <si>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</si>
  <si>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</si>
  <si>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</si>
  <si>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</si>
  <si>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</si>
  <si>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</si>
  <si>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</si>
  <si>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</si>
  <si>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</si>
  <si>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</si>
  <si>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</si>
  <si>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</si>
  <si>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</si>
  <si>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</si>
  <si>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</si>
  <si>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</si>
  <si>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</si>
  <si>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</si>
  <si>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</si>
  <si>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</si>
  <si>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</si>
  <si>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</si>
  <si>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</si>
  <si>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</si>
  <si>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</si>
  <si>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</si>
  <si>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</si>
  <si>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</si>
  <si>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</si>
  <si>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</si>
  <si>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</si>
  <si>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</si>
  <si>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</si>
  <si>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</si>
  <si>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</si>
  <si>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</si>
  <si>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</si>
  <si>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</si>
  <si>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</si>
  <si>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</si>
  <si>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</si>
  <si>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</si>
  <si>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</si>
  <si>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</si>
  <si>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</si>
  <si>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</si>
  <si>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</si>
  <si>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</si>
  <si>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</si>
  <si>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</si>
  <si>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</si>
  <si>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</si>
  <si>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</si>
  <si>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</si>
  <si>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</si>
  <si>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</si>
  <si>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</si>
  <si>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</si>
  <si>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</si>
  <si>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</si>
  <si>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</si>
  <si>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</si>
  <si>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</si>
  <si>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</si>
  <si>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</si>
  <si>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</si>
  <si>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</si>
  <si>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</si>
  <si>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</si>
  <si>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</si>
  <si>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</si>
  <si>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</si>
  <si>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</si>
  <si>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</si>
  <si>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</si>
  <si>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</si>
  <si>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</si>
  <si>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</si>
  <si>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</si>
  <si>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</si>
  <si>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</si>
  <si>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</si>
  <si>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</si>
  <si>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</si>
  <si>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</si>
  <si>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</si>
  <si>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</si>
  <si>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</si>
  <si>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</si>
  <si>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</si>
  <si>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</si>
  <si>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</si>
  <si>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</si>
  <si>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</si>
  <si>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</si>
  <si>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</si>
  <si>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</si>
  <si>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</si>
  <si>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</si>
  <si>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</si>
  <si>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</si>
  <si>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</si>
  <si>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</si>
  <si>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</si>
  <si>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</si>
  <si>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</si>
  <si>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</si>
  <si>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</si>
  <si>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</si>
  <si>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</si>
  <si>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</si>
  <si>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</si>
  <si>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</si>
  <si>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</si>
  <si>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</si>
  <si>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</si>
  <si>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</si>
  <si>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</si>
  <si>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</si>
  <si>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</si>
  <si>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</si>
  <si>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</si>
  <si>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</si>
  <si>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</si>
  <si>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</si>
  <si>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</si>
  <si>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</si>
  <si>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</si>
  <si>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</si>
  <si>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</si>
  <si>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</si>
  <si>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</si>
  <si>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</si>
  <si>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</si>
  <si>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</si>
  <si>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</si>
  <si>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</si>
  <si>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</si>
  <si>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</si>
  <si>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</si>
  <si>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</si>
  <si>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</si>
  <si>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</si>
  <si>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</si>
  <si>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</si>
  <si>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</si>
  <si>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</si>
  <si>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</si>
  <si>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</si>
  <si>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</si>
  <si>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</si>
  <si>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</si>
  <si>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</si>
  <si>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</si>
  <si>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</si>
  <si>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</si>
  <si>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</si>
  <si>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</si>
  <si>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</si>
  <si>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</si>
  <si>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</si>
  <si>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</si>
  <si>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</si>
  <si>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</si>
  <si>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</si>
  <si>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</si>
  <si>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</si>
  <si>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</si>
  <si>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</si>
  <si>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</si>
  <si>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</si>
  <si>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</si>
  <si>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</si>
  <si>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</si>
  <si>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</si>
  <si>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</si>
  <si>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</si>
  <si>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</si>
  <si>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</si>
  <si>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</si>
  <si>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</si>
  <si>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</si>
  <si>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</si>
  <si>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</si>
  <si>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</si>
  <si>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</si>
  <si>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</si>
  <si>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</si>
  <si>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</si>
  <si>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</si>
  <si>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</si>
  <si>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</si>
  <si>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</si>
  <si>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</si>
  <si>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</si>
  <si>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</si>
  <si>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</si>
  <si>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</si>
  <si>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</si>
  <si>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</si>
  <si>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</si>
  <si>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</si>
  <si>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</si>
  <si>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</si>
  <si>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</si>
  <si>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</si>
  <si>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</si>
  <si>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</si>
  <si>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</si>
  <si>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</si>
  <si>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</si>
  <si>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</si>
  <si>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</si>
  <si>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</si>
  <si>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</si>
  <si>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</si>
  <si>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</si>
  <si>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</si>
  <si>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</si>
  <si>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</si>
  <si>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</si>
  <si>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</si>
  <si>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</si>
  <si>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</si>
  <si>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</si>
  <si>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</si>
  <si>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</si>
  <si>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</si>
  <si>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</si>
  <si>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</si>
  <si>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</si>
  <si>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</si>
  <si>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</si>
  <si>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</si>
  <si>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</si>
  <si>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</si>
  <si>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</si>
  <si>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</si>
  <si>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</si>
  <si>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</si>
  <si>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</si>
  <si>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</si>
  <si>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</si>
  <si>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</si>
  <si>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</si>
  <si>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</si>
  <si>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</si>
  <si>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</si>
  <si>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</si>
  <si>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</si>
  <si>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</si>
  <si>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</si>
  <si>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</si>
  <si>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</si>
  <si>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</si>
  <si>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</si>
  <si>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</si>
  <si>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</si>
  <si>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</si>
  <si>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</si>
  <si>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</si>
  <si>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</si>
  <si>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</si>
  <si>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</si>
  <si>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</si>
  <si>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</si>
  <si>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</si>
  <si>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</si>
  <si>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</si>
  <si>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</si>
  <si>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</si>
  <si>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</si>
  <si>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</si>
  <si>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</si>
  <si>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</si>
  <si>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</si>
  <si>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</si>
  <si>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</si>
  <si>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</si>
  <si>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</si>
  <si>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</si>
  <si>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</si>
  <si>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</si>
  <si>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</si>
  <si>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</si>
  <si>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</si>
  <si>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</si>
  <si>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</si>
  <si>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</si>
  <si>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</si>
  <si>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</si>
  <si>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</si>
  <si>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</si>
  <si>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</si>
  <si>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</si>
  <si>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</si>
  <si>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</si>
  <si>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</si>
  <si>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</si>
  <si>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</si>
  <si>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</si>
  <si>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</si>
  <si>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</si>
  <si>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</si>
  <si>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</si>
  <si>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</si>
  <si>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</si>
  <si>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</si>
  <si>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</si>
  <si>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</si>
  <si>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</si>
  <si>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</si>
  <si>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</si>
  <si>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</si>
  <si>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</si>
  <si>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</si>
  <si>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</si>
  <si>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</si>
  <si>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</si>
  <si>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</si>
  <si>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</si>
  <si>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</si>
  <si>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</si>
  <si>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</si>
  <si>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</si>
  <si>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</si>
  <si>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</si>
  <si>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</si>
  <si>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</si>
  <si>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</si>
  <si>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</si>
  <si>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</si>
  <si>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</si>
  <si>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</si>
  <si>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</si>
  <si>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</si>
  <si>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</si>
  <si>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</si>
  <si>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</si>
  <si>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</si>
  <si>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</si>
  <si>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</si>
  <si>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</si>
  <si>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</si>
  <si>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</si>
  <si>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</si>
  <si>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</si>
  <si>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</si>
  <si>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</si>
  <si>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</si>
  <si>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</si>
  <si>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</si>
  <si>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</si>
  <si>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</si>
  <si>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</si>
  <si>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</si>
  <si>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</si>
  <si>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</si>
  <si>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</si>
  <si>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</si>
  <si>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</si>
  <si>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</si>
  <si>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</si>
  <si>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</si>
  <si>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</si>
  <si>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</si>
  <si>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</si>
  <si>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</si>
  <si>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</si>
  <si>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</si>
  <si>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</si>
  <si>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</si>
  <si>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</si>
  <si>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</si>
  <si>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</si>
  <si>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</si>
  <si>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</si>
  <si>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</si>
  <si>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</si>
  <si>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</si>
  <si>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</si>
  <si>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</si>
  <si>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</si>
  <si>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</si>
  <si>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</si>
  <si>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</si>
  <si>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</si>
  <si>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</si>
  <si>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</si>
  <si>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</si>
  <si>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</si>
  <si>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</si>
  <si>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</si>
  <si>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</si>
  <si>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</si>
  <si>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</si>
  <si>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</si>
  <si>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</si>
  <si>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</si>
  <si>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</si>
  <si>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</si>
  <si>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</si>
  <si>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</si>
  <si>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</si>
  <si>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</si>
  <si>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r>
      <rPr>
        <i/>
        <vertAlign val="superscript"/>
        <sz val="10"/>
        <color theme="6"/>
        <rFont val="Montserrat SemiBold"/>
      </rPr>
      <t>5</t>
    </r>
    <r>
      <rPr>
        <i/>
        <sz val="10"/>
        <color theme="1"/>
        <rFont val="Montserrat Light"/>
      </rPr>
      <t xml:space="preserve"> The support fee is charged at 3 % of the total volume with a minimum fee of 1500 SEK per month.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</si>
  <si>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</si>
  <si>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</si>
  <si>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</si>
  <si>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</si>
  <si>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</si>
  <si>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</si>
  <si>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</si>
  <si>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</si>
  <si>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</si>
  <si>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</si>
  <si>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</si>
  <si>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</si>
  <si>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</si>
  <si>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</si>
  <si>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</si>
  <si>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</si>
  <si>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</si>
  <si>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</si>
  <si>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</si>
  <si>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</si>
  <si>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</si>
  <si>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</si>
  <si>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</si>
  <si>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</si>
  <si>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</si>
  <si>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</si>
  <si>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</si>
  <si>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</si>
  <si>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</si>
  <si>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</si>
  <si>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</si>
  <si>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</si>
  <si>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</si>
  <si>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</si>
  <si>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</si>
  <si>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</si>
  <si>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</si>
  <si>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</si>
  <si>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</si>
  <si>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</si>
  <si>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</si>
  <si>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</si>
  <si>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</si>
  <si>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</si>
  <si>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</si>
  <si>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</si>
  <si>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</si>
  <si>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</si>
  <si>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</si>
  <si>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</si>
  <si>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</si>
  <si>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</si>
  <si>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</si>
  <si>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</si>
  <si>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</si>
  <si>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</si>
  <si>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</si>
  <si>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</si>
  <si>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</si>
  <si>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</si>
  <si>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</si>
  <si>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</si>
  <si>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</si>
  <si>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</si>
  <si>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</si>
  <si>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</si>
  <si>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</si>
  <si>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</si>
  <si>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</si>
  <si>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</si>
  <si>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</si>
  <si>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</si>
  <si>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</si>
  <si>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</si>
  <si>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</si>
  <si>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</si>
  <si>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</si>
  <si>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</si>
  <si>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</si>
  <si>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t>Priskalkylator 2022-09-27</t>
  </si>
  <si>
    <t>Price calculator 2022-09-27</t>
  </si>
  <si>
    <t>Priskalkulator 27.09.2022</t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</si>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</sst>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i/>
      <vertAlign val="superscript"/>
      <sz val="10"/>
      <color theme="6"/>
      <name val="Montserrat SemiBold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94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0" fontId="4" fillId="0" borderId="7" xfId="0" applyFont="1" applyBorder="1" applyAlignment="1" applyProtection="1">
      <alignment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0" fontId="7" fillId="0" borderId="7" xfId="0" applyFont="1" applyBorder="1" applyAlignment="1" applyProtection="1">
      <alignment vertical="center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0" fontId="9" fillId="0" borderId="7" xfId="0" applyFont="1" applyBorder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9" fillId="0" borderId="7" xfId="0" applyFont="1" applyBorder="1" applyAlignment="1" applyProtection="1">
      <alignment horizontal="right" vertical="center"/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0" fontId="6" fillId="0" borderId="7" xfId="0" applyFont="1" applyBorder="1" applyAlignment="1" applyProtection="1">
      <alignment vertical="center"/>
      <protection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9" fillId="0" borderId="7" xfId="0" applyFont="1" applyBorder="1" applyAlignment="1" applyProtection="1">
      <alignment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0" fontId="9" fillId="0" borderId="7" xfId="0" applyFont="1" applyBorder="1" applyAlignment="1" applyProtection="1">
      <alignment horizontal="left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0" fontId="26" fillId="0" borderId="7" xfId="0" applyFont="1" applyBorder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7" xfId="0" applyFont="1" applyBorder="1" applyAlignment="1" applyProtection="1">
      <alignment vertical="center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6" fillId="0" borderId="7" xfId="0" applyFont="1" applyBorder="1" applyAlignment="1" applyProtection="1">
      <alignment vertical="center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7" xfId="0" applyFont="1" applyBorder="1" applyAlignment="1" applyProtection="1">
      <alignment vertical="top" readingOrder="1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27" fillId="0" borderId="7" xfId="0" applyFont="1" applyBorder="1" applyAlignment="1" applyProtection="1">
      <alignment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40" fillId="0" borderId="7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17" fillId="0" borderId="7" xfId="0" applyFont="1" applyBorder="1" applyAlignment="1" applyProtection="1">
      <alignment horizontal="left"/>
      <protection hidden="1"/>
    </xf>
    <xf numFmtId="0" fontId="18" fillId="0" borderId="7" xfId="0" applyFont="1" applyBorder="1" applyAlignment="1" applyProtection="1">
      <alignment horizontal="left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7" xfId="0" applyFont="1" applyBorder="1" applyAlignment="1" applyProtection="1">
      <alignment vertical="center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7" xfId="0" applyFont="1" applyBorder="1" applyProtection="1"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0" fontId="55" fillId="0" borderId="7" xfId="0" applyFont="1" applyBorder="1" applyAlignment="1" applyProtection="1">
      <alignment horizontal="left" vertical="center" indent="5"/>
      <protection hidden="1"/>
    </xf>
    <xf numFmtId="0" fontId="64" fillId="0" borderId="7" xfId="0" applyFont="1" applyBorder="1" applyAlignment="1" applyProtection="1">
      <alignment horizontal="left" vertical="center" indent="5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0" fontId="55" fillId="0" borderId="7" xfId="0" applyFont="1" applyBorder="1" applyAlignment="1" applyProtection="1">
      <alignment horizontal="left" vertical="center" indent="5" readingOrder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0" fontId="59" fillId="0" borderId="7" xfId="0" applyFont="1" applyBorder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0" fontId="6" fillId="0" borderId="7" xfId="0" applyFont="1" applyBorder="1" applyAlignment="1" applyProtection="1">
      <alignment vertical="top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55" fillId="0" borderId="7" xfId="0" applyFont="1" applyBorder="1" applyAlignment="1">
      <alignment horizontal="left" vertical="center" indent="5"/>
    </xf>
    <xf numFmtId="0" fontId="17" fillId="0" borderId="7" xfId="0" applyFont="1" applyBorder="1" applyAlignment="1">
      <alignment horizontal="left" vertical="center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  <xf numFmtId="0" fontId="55" fillId="0" borderId="0" xfId="0" applyFont="1" applyBorder="1" applyAlignment="1">
      <alignment horizontal="left" vertical="center" indent="2"/>
    </xf>
    <xf numFmtId="0" fontId="55" fillId="0" borderId="0" xfId="0" applyFont="1" applyBorder="1" applyAlignment="1" applyProtection="1">
      <alignment horizontal="left" vertical="center" indent="2"/>
      <protection hidden="1"/>
    </xf>
    <xf numFmtId="0" fontId="64" fillId="0" borderId="0" xfId="0" applyFont="1" applyBorder="1" applyAlignment="1" applyProtection="1">
      <alignment horizontal="left" vertical="center" indent="2"/>
      <protection hidden="1"/>
    </xf>
    <xf numFmtId="0" fontId="55" fillId="0" borderId="0" xfId="0" applyFont="1" applyBorder="1" applyAlignment="1" applyProtection="1">
      <alignment horizontal="left" vertical="center" indent="2" readingOrder="1"/>
      <protection hidden="1"/>
    </xf>
    <xf numFmtId="0" fontId="47" fillId="0" borderId="0" xfId="0" applyFont="1" applyBorder="1" applyAlignment="1" applyProtection="1">
      <alignment horizontal="left" vertical="center" inden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0"/>
  <sheetViews>
    <sheetView showGridLines="0" zoomScaleNormal="100" zoomScaleSheetLayoutView="100" workbookViewId="0">
      <selection activeCell="I81" sqref="I81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5" customWidth="1"/>
    <col min="12" max="12" width="14.83203125" style="1" customWidth="1"/>
    <col min="13" max="13" width="14.83203125" style="852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59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59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59"/>
      <c r="L3" s="669"/>
      <c r="M3" s="670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59"/>
      <c r="L4" s="669"/>
      <c r="M4" s="670"/>
    </row>
    <row r="5" spans="1:26" ht="25" customHeight="1">
      <c r="A5" s="2"/>
      <c r="B5" s="633" t="s">
        <v>671</v>
      </c>
      <c r="C5" s="65"/>
      <c r="D5" s="2"/>
      <c r="E5" s="2"/>
      <c r="F5" s="2"/>
      <c r="G5" s="2"/>
      <c r="H5" s="2"/>
      <c r="I5" s="2"/>
      <c r="J5" s="2"/>
      <c r="K5" s="859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59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59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59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59"/>
      <c r="L9" s="669"/>
      <c r="M9" s="670"/>
    </row>
    <row r="10" spans="1:26" ht="25" customHeight="1">
      <c r="A10" s="2"/>
      <c r="B10" s="964" t="s">
        <v>3</v>
      </c>
      <c r="C10" s="402"/>
      <c r="D10" s="2"/>
      <c r="E10" s="2"/>
      <c r="F10" s="2"/>
      <c r="G10" s="2"/>
      <c r="H10" s="2"/>
      <c r="I10" s="2"/>
      <c r="J10" s="2"/>
      <c r="K10" s="859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0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1"/>
      <c r="L12" s="677"/>
      <c r="M12" s="670"/>
    </row>
    <row r="13" spans="1:26" s="4" customFormat="1" ht="25" customHeight="1">
      <c r="B13" s="638"/>
      <c r="G13" s="678"/>
      <c r="H13" s="678"/>
      <c r="I13" s="679"/>
      <c r="K13" s="862"/>
      <c r="L13" s="680"/>
      <c r="M13" s="670"/>
    </row>
    <row r="14" spans="1:26" s="4" customFormat="1" ht="25" customHeight="1">
      <c r="B14" s="638"/>
      <c r="G14" s="678"/>
      <c r="H14" s="678"/>
      <c r="I14" s="679"/>
      <c r="K14" s="862"/>
      <c r="L14" s="680"/>
      <c r="M14" s="670"/>
    </row>
    <row r="15" spans="1:26" s="4" customFormat="1" ht="25" customHeight="1">
      <c r="B15" s="967" t="s">
        <v>659</v>
      </c>
      <c r="C15" s="967"/>
      <c r="D15" s="967"/>
      <c r="E15" s="967"/>
      <c r="F15" s="967"/>
      <c r="G15" s="967"/>
      <c r="H15" s="679"/>
      <c r="J15" s="681"/>
      <c r="K15" s="862"/>
      <c r="L15" s="680"/>
      <c r="M15" s="670"/>
      <c r="S15" s="682"/>
      <c r="X15" s="682"/>
      <c r="Y15" s="682"/>
      <c r="Z15" s="682"/>
    </row>
    <row r="16" spans="1:26" s="4" customFormat="1" ht="25" customHeight="1">
      <c r="B16" s="967"/>
      <c r="C16" s="967"/>
      <c r="D16" s="967"/>
      <c r="E16" s="967"/>
      <c r="F16" s="967"/>
      <c r="G16" s="967"/>
      <c r="H16" s="679"/>
      <c r="J16" s="681"/>
      <c r="K16" s="862"/>
      <c r="L16" s="680"/>
      <c r="M16" s="670"/>
      <c r="S16" s="682"/>
      <c r="X16" s="682"/>
      <c r="Y16" s="682"/>
      <c r="Z16" s="682"/>
    </row>
    <row r="17" spans="2:26" s="4" customFormat="1" ht="25" customHeight="1">
      <c r="B17" s="967"/>
      <c r="C17" s="967"/>
      <c r="D17" s="967"/>
      <c r="E17" s="967"/>
      <c r="F17" s="967"/>
      <c r="G17" s="967"/>
      <c r="H17" s="679"/>
      <c r="J17" s="681"/>
      <c r="K17" s="862"/>
      <c r="L17" s="680"/>
      <c r="M17" s="670"/>
      <c r="S17" s="682"/>
      <c r="X17" s="682"/>
      <c r="Y17" s="682"/>
      <c r="Z17" s="682"/>
    </row>
    <row r="18" spans="2:26" s="4" customFormat="1" ht="25" customHeight="1">
      <c r="B18" s="551" t="s">
        <v>407</v>
      </c>
      <c r="C18" s="683"/>
      <c r="D18" s="683"/>
      <c r="E18" s="683"/>
      <c r="F18" s="683"/>
      <c r="H18" s="679"/>
      <c r="J18" s="681"/>
      <c r="K18" s="862"/>
      <c r="L18" s="680"/>
      <c r="M18" s="670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3" t="s">
        <v>408</v>
      </c>
      <c r="C19" s="983"/>
      <c r="D19" s="983"/>
      <c r="E19" s="983"/>
      <c r="F19" s="983"/>
      <c r="G19" s="684"/>
      <c r="H19" s="685"/>
      <c r="J19" s="686"/>
      <c r="K19" s="863"/>
      <c r="L19" s="687"/>
      <c r="M19" s="670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4"/>
      <c r="H20" s="685"/>
      <c r="I20" s="684"/>
      <c r="J20" s="686"/>
      <c r="K20" s="863"/>
      <c r="L20" s="687"/>
      <c r="M20" s="670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3"/>
      <c r="L21" s="687"/>
      <c r="M21" s="670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3"/>
      <c r="L22" s="687"/>
      <c r="M22" s="670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4"/>
      <c r="M23" s="670"/>
      <c r="P23" s="693"/>
      <c r="Q23" s="693"/>
      <c r="R23" s="694"/>
    </row>
    <row r="24" spans="2:26" ht="25" customHeight="1">
      <c r="B24" s="984" t="s">
        <v>652</v>
      </c>
      <c r="C24" s="984"/>
      <c r="D24" s="984"/>
      <c r="E24" s="984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6"/>
      <c r="I25" s="697" t="s">
        <v>212</v>
      </c>
      <c r="J25" s="696"/>
      <c r="K25" s="866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7">
        <f t="shared" ref="K26:K37" si="2">ROUNDUP(I26*G26,2)</f>
        <v>0</v>
      </c>
      <c r="M26" s="670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8">
        <f t="shared" si="2"/>
        <v>0</v>
      </c>
      <c r="M27" s="670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7">
        <f t="shared" si="2"/>
        <v>0</v>
      </c>
      <c r="M28" s="670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8">
        <f t="shared" si="2"/>
        <v>0</v>
      </c>
      <c r="M29" s="670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7">
        <f t="shared" si="2"/>
        <v>0</v>
      </c>
      <c r="M30" s="670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8">
        <f t="shared" si="2"/>
        <v>0</v>
      </c>
      <c r="M31" s="670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7">
        <f t="shared" si="2"/>
        <v>0</v>
      </c>
      <c r="M32" s="670"/>
      <c r="P32" s="689"/>
      <c r="R32" s="689"/>
    </row>
    <row r="33" spans="2:19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8">
        <f t="shared" si="2"/>
        <v>0</v>
      </c>
      <c r="M33" s="670"/>
      <c r="P33" s="689"/>
      <c r="R33" s="689"/>
    </row>
    <row r="34" spans="2:19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7">
        <f t="shared" si="2"/>
        <v>0</v>
      </c>
      <c r="M34" s="670"/>
      <c r="P34" s="689"/>
      <c r="R34" s="689"/>
    </row>
    <row r="35" spans="2:19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8">
        <f t="shared" si="2"/>
        <v>0</v>
      </c>
      <c r="M35" s="670"/>
      <c r="P35" s="689"/>
      <c r="R35" s="689"/>
    </row>
    <row r="36" spans="2:19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7">
        <f t="shared" si="2"/>
        <v>0</v>
      </c>
      <c r="M36" s="670"/>
      <c r="P36" s="689"/>
      <c r="R36" s="689"/>
    </row>
    <row r="37" spans="2:19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8">
        <f t="shared" si="2"/>
        <v>0</v>
      </c>
      <c r="M37" s="670"/>
      <c r="P37" s="689"/>
      <c r="R37" s="689"/>
    </row>
    <row r="38" spans="2:19" s="903" customFormat="1" ht="25" customHeight="1">
      <c r="B38" s="899" t="s">
        <v>222</v>
      </c>
      <c r="C38" s="900" t="str" cm="1">
        <f t="array" ref="C38">SUM(C26:C37*I26:I37)&amp;" st"</f>
        <v>0 st</v>
      </c>
      <c r="D38" s="900" t="str" cm="1">
        <f t="array" ref="D38">SUM(D26:D37*I26:I37)&amp;" GB"</f>
        <v>0 GB</v>
      </c>
      <c r="E38" s="901" t="str" cm="1">
        <f t="array" ref="E38">SUM(E26:E37*I26:I37)&amp;" GB"</f>
        <v>0 GB</v>
      </c>
      <c r="F38" s="900"/>
      <c r="G38" s="900"/>
      <c r="H38" s="900"/>
      <c r="I38" s="900" t="str">
        <f>SUM(I26:I37)&amp;" st"</f>
        <v>0 st</v>
      </c>
      <c r="J38" s="900"/>
      <c r="K38" s="902">
        <f>SUM(K26:K37)</f>
        <v>0</v>
      </c>
      <c r="M38" s="670"/>
      <c r="P38" s="905"/>
      <c r="R38" s="905"/>
    </row>
    <row r="39" spans="2:19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69"/>
      <c r="M39" s="670"/>
      <c r="P39" s="689"/>
      <c r="R39" s="689"/>
    </row>
    <row r="40" spans="2:19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69"/>
      <c r="M40" s="670"/>
      <c r="P40" s="689"/>
      <c r="R40" s="689"/>
    </row>
    <row r="41" spans="2:19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0"/>
      <c r="M41" s="670"/>
      <c r="P41" s="689"/>
      <c r="Q41" s="689"/>
      <c r="R41" s="698"/>
    </row>
    <row r="42" spans="2:19" s="653" customFormat="1" ht="25" customHeight="1">
      <c r="B42" s="654" t="s">
        <v>449</v>
      </c>
      <c r="C42" s="652"/>
      <c r="D42" s="652"/>
      <c r="K42" s="871"/>
      <c r="M42" s="670"/>
    </row>
    <row r="43" spans="2:19" ht="25" customHeight="1">
      <c r="B43" s="984" t="s">
        <v>652</v>
      </c>
      <c r="C43" s="984"/>
      <c r="D43" s="984"/>
      <c r="E43" s="984"/>
      <c r="M43" s="670"/>
    </row>
    <row r="44" spans="2:19" s="718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7"/>
      <c r="I44" s="697" t="s">
        <v>212</v>
      </c>
      <c r="J44" s="696"/>
      <c r="K44" s="866" t="s">
        <v>215</v>
      </c>
      <c r="M44" s="670"/>
      <c r="O44" s="13"/>
      <c r="P44" s="719"/>
      <c r="Q44" s="719"/>
      <c r="R44" s="719"/>
      <c r="S44" s="13"/>
    </row>
    <row r="45" spans="2:19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7">
        <f t="shared" ref="K45:K54" si="5">ROUNDUP(I45*G45,2)</f>
        <v>0</v>
      </c>
      <c r="M45" s="670"/>
      <c r="N45" s="720"/>
      <c r="O45" s="721"/>
    </row>
    <row r="46" spans="2:19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8">
        <f t="shared" si="5"/>
        <v>0</v>
      </c>
      <c r="L46" s="722"/>
      <c r="M46" s="670"/>
      <c r="N46" s="720"/>
      <c r="O46" s="721"/>
    </row>
    <row r="47" spans="2:19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7">
        <f t="shared" si="5"/>
        <v>0</v>
      </c>
      <c r="L47" s="722"/>
      <c r="M47" s="670"/>
      <c r="N47" s="720"/>
      <c r="O47" s="721"/>
    </row>
    <row r="48" spans="2:19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8">
        <f t="shared" si="5"/>
        <v>0</v>
      </c>
      <c r="L48" s="722"/>
      <c r="M48" s="670"/>
      <c r="N48" s="720"/>
      <c r="O48" s="957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7">
        <f t="shared" si="5"/>
        <v>0</v>
      </c>
      <c r="L49" s="722"/>
      <c r="M49" s="670"/>
      <c r="N49" s="720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8">
        <f t="shared" si="5"/>
        <v>0</v>
      </c>
      <c r="L50" s="722"/>
      <c r="M50" s="670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7">
        <f t="shared" si="5"/>
        <v>0</v>
      </c>
      <c r="L51" s="722"/>
      <c r="M51" s="670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8">
        <f t="shared" si="5"/>
        <v>0</v>
      </c>
      <c r="L52" s="722"/>
      <c r="M52" s="670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7">
        <f t="shared" si="5"/>
        <v>0</v>
      </c>
      <c r="L53" s="722"/>
      <c r="M53" s="670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8">
        <f t="shared" si="5"/>
        <v>0</v>
      </c>
      <c r="L54" s="722"/>
      <c r="M54" s="670"/>
      <c r="P54" s="689"/>
      <c r="Q54" s="689"/>
      <c r="R54" s="689"/>
    </row>
    <row r="55" spans="1:20" s="903" customFormat="1" ht="25" customHeight="1">
      <c r="B55" s="899" t="s">
        <v>222</v>
      </c>
      <c r="C55" s="900" t="str" cm="1">
        <f t="array" ref="C55">SUM(b2_list_vCPU*b2_list_Antal_instanser)&amp;" st"</f>
        <v>0 st</v>
      </c>
      <c r="D55" s="900" t="str" cm="1">
        <f t="array" ref="D55">SUM(b2_list_ram*b2_list_vCPU)&amp;" GB"</f>
        <v>0 GB</v>
      </c>
      <c r="E55" s="906" t="s">
        <v>94</v>
      </c>
      <c r="F55" s="900"/>
      <c r="G55" s="900"/>
      <c r="H55" s="900"/>
      <c r="I55" s="900" t="str">
        <f>SUM(I45:I54)&amp;" st"</f>
        <v>0 st</v>
      </c>
      <c r="J55" s="900"/>
      <c r="K55" s="902">
        <f>SUM(K45:K54)</f>
        <v>0</v>
      </c>
      <c r="M55" s="670"/>
      <c r="P55" s="905"/>
      <c r="R55" s="905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69"/>
      <c r="M56" s="670"/>
      <c r="P56" s="689"/>
      <c r="Q56" s="689"/>
      <c r="R56" s="698"/>
    </row>
    <row r="57" spans="1:20" s="723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2"/>
      <c r="L57" s="724"/>
      <c r="M57" s="670"/>
      <c r="R57" s="726"/>
      <c r="S57" s="726"/>
      <c r="T57" s="727"/>
    </row>
    <row r="58" spans="1:20" ht="25" hidden="1" customHeight="1">
      <c r="B58" s="985" t="s">
        <v>653</v>
      </c>
      <c r="C58" s="985"/>
      <c r="D58" s="985"/>
      <c r="E58" s="985"/>
      <c r="M58" s="670"/>
    </row>
    <row r="59" spans="1:20" s="728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6" t="s">
        <v>215</v>
      </c>
      <c r="L59" s="729"/>
      <c r="M59" s="670"/>
      <c r="Q59" s="731"/>
      <c r="R59" s="731"/>
      <c r="S59" s="732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3">
        <f t="shared" ref="G60:G61" si="6">H60/720</f>
        <v>9.6527777777777786</v>
      </c>
      <c r="H60" s="700">
        <f>C60*IAAS_vcpu_SEK+D60*IAAS_ram_SEK+E60*IAAS_nvme_SEK+F60*IAAS_gpu_SEK</f>
        <v>6950</v>
      </c>
      <c r="I60" s="956"/>
      <c r="J60" s="14"/>
      <c r="K60" s="867">
        <f>ROUNDUP(I60*H60,2)</f>
        <v>0</v>
      </c>
      <c r="M60" s="670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4">
        <f t="shared" si="6"/>
        <v>19.305555555555557</v>
      </c>
      <c r="H61" s="704">
        <f>C61*IAAS_vcpu_SEK+D61*IAAS_ram_SEK+E61*IAAS_nvme_SEK+F61*IAAS_gpu_SEK</f>
        <v>13900</v>
      </c>
      <c r="I61" s="956"/>
      <c r="J61" s="16"/>
      <c r="K61" s="868">
        <f>ROUNDUP(I61*H61,2)</f>
        <v>0</v>
      </c>
      <c r="M61" s="670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3">
        <f t="shared" ref="G62:G63" si="7">H62/720</f>
        <v>38.611111111111114</v>
      </c>
      <c r="H62" s="700">
        <f>C62*IAAS_vcpu_SEK+D62*IAAS_ram_SEK+E62*IAAS_nvme_SEK+F62*IAAS_gpu_SEK</f>
        <v>27800</v>
      </c>
      <c r="I62" s="956"/>
      <c r="J62" s="14"/>
      <c r="K62" s="867">
        <f>ROUNDUP(I62*H62,2)</f>
        <v>0</v>
      </c>
      <c r="M62" s="670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4">
        <f t="shared" si="7"/>
        <v>60.555555555555557</v>
      </c>
      <c r="H63" s="704">
        <f>C63*IAAS_vcpu_SEK+D63*IAAS_ram_SEK+E63*IAAS_nvme_SEK+F63*IAAS_gpu_SEK</f>
        <v>43600</v>
      </c>
      <c r="I63" s="956"/>
      <c r="J63" s="16"/>
      <c r="K63" s="868">
        <f>ROUNDUP(I63*H63,2)</f>
        <v>0</v>
      </c>
      <c r="M63" s="670"/>
      <c r="P63" s="689"/>
      <c r="R63" s="689"/>
    </row>
    <row r="64" spans="1:20" s="903" customFormat="1" ht="25" hidden="1" customHeight="1">
      <c r="B64" s="899" t="s">
        <v>222</v>
      </c>
      <c r="C64" s="900" t="str" cm="1">
        <f t="array" ref="C64">SUM(I60:I63*C60:C63)&amp;" st"</f>
        <v>0 st</v>
      </c>
      <c r="D64" s="900" t="str" cm="1">
        <f t="array" ref="D64">SUM(I60:I63*D60:D63)&amp;" GB"</f>
        <v>0 GB</v>
      </c>
      <c r="E64" s="901" t="str" cm="1">
        <f t="array" ref="E64">SUM(I60:I63*E60:E63)&amp;" GB"</f>
        <v>0 GB</v>
      </c>
      <c r="F64" s="901" t="str" cm="1">
        <f t="array" ref="F64">SUM(I60:I63*F60:F63)&amp;" st"</f>
        <v>0 st</v>
      </c>
      <c r="G64" s="900"/>
      <c r="H64" s="900"/>
      <c r="I64" s="900" t="str">
        <f>SUM(I60:I63)&amp;" st"</f>
        <v>0 st</v>
      </c>
      <c r="J64" s="900"/>
      <c r="K64" s="902">
        <f>SUM(K60:K63)</f>
        <v>0</v>
      </c>
      <c r="M64" s="670"/>
      <c r="P64" s="905"/>
      <c r="R64" s="905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3"/>
      <c r="M65" s="670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3"/>
      <c r="M66" s="670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3"/>
      <c r="M67" s="670"/>
      <c r="N67" s="8"/>
      <c r="O67" s="8"/>
      <c r="P67" s="693"/>
      <c r="Q67" s="8"/>
      <c r="R67" s="694"/>
    </row>
    <row r="68" spans="2:20" ht="25" hidden="1" customHeight="1">
      <c r="B68" s="985" t="s">
        <v>653</v>
      </c>
      <c r="C68" s="985"/>
      <c r="D68" s="985"/>
      <c r="E68" s="985"/>
      <c r="M68" s="670"/>
    </row>
    <row r="69" spans="2:20" s="728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6" t="s">
        <v>215</v>
      </c>
      <c r="L69" s="729"/>
      <c r="M69" s="670"/>
      <c r="Q69" s="731"/>
      <c r="R69" s="731"/>
      <c r="S69" s="732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8">
        <f t="shared" ref="F70:F72" si="8">G70/720</f>
        <v>9.5</v>
      </c>
      <c r="G70" s="739">
        <f>INSTANCE_p1.2xlarge.16d_SEK</f>
        <v>6840</v>
      </c>
      <c r="H70" s="14"/>
      <c r="I70" s="956"/>
      <c r="J70" s="14"/>
      <c r="K70" s="867">
        <f>ROUNDUP(I70*G70,2)</f>
        <v>0</v>
      </c>
      <c r="L70" s="8"/>
      <c r="M70" s="670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0">
        <f t="shared" si="8"/>
        <v>19</v>
      </c>
      <c r="G71" s="96">
        <f>INSTANCE_p1.4xlarge.16d_SEK</f>
        <v>13680</v>
      </c>
      <c r="H71" s="16"/>
      <c r="I71" s="956"/>
      <c r="J71" s="16"/>
      <c r="K71" s="868">
        <f>ROUNDUP(I71*G71,2)</f>
        <v>0</v>
      </c>
      <c r="L71" s="8"/>
      <c r="M71" s="670"/>
      <c r="S71" s="689"/>
    </row>
    <row r="72" spans="2:20" s="736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1">
        <f t="shared" si="8"/>
        <v>38</v>
      </c>
      <c r="G72" s="739">
        <f>INSTANCE_p1.8xlarge.32d_SEK</f>
        <v>27360</v>
      </c>
      <c r="H72" s="14"/>
      <c r="I72" s="956"/>
      <c r="J72" s="14"/>
      <c r="K72" s="867">
        <f>ROUNDUP(I72*G72,2)</f>
        <v>0</v>
      </c>
      <c r="L72" s="742"/>
      <c r="M72" s="670"/>
    </row>
    <row r="73" spans="2:20" s="903" customFormat="1" ht="25" hidden="1" customHeight="1">
      <c r="B73" s="899" t="s">
        <v>222</v>
      </c>
      <c r="C73" s="900" t="str" cm="1">
        <f t="array" ref="C73">SUM(I70:I72*C70:C72)&amp;" st"</f>
        <v>0 st</v>
      </c>
      <c r="D73" s="900" t="str" cm="1">
        <f t="array" ref="D73">SUM(I70:I72*D70:D72)&amp;" GB"</f>
        <v>0 GB</v>
      </c>
      <c r="E73" s="901" t="str" cm="1">
        <f t="array" ref="E73">SUM(I70:I72*E70:E72)&amp;" GB"</f>
        <v>0 GB</v>
      </c>
      <c r="F73" s="900"/>
      <c r="G73" s="900"/>
      <c r="H73" s="900"/>
      <c r="I73" s="900" t="str">
        <f>SUM(I70:I72)&amp;" st"</f>
        <v>0 st</v>
      </c>
      <c r="J73" s="900"/>
      <c r="K73" s="902">
        <f>SUM(K70:K72)</f>
        <v>0</v>
      </c>
      <c r="M73" s="670"/>
      <c r="P73" s="905"/>
      <c r="R73" s="905"/>
    </row>
    <row r="74" spans="2:20" ht="25" customHeight="1">
      <c r="B74" s="452"/>
      <c r="C74" s="76"/>
      <c r="D74" s="76"/>
      <c r="E74" s="76"/>
      <c r="F74" s="76"/>
      <c r="G74" s="76"/>
      <c r="H74" s="736"/>
      <c r="I74" s="710"/>
      <c r="J74" s="710"/>
      <c r="K74" s="874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3"/>
      <c r="L75" s="737"/>
      <c r="M75" s="670"/>
      <c r="Q75" s="689"/>
      <c r="S75" s="689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73"/>
      <c r="L76" s="737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547</v>
      </c>
      <c r="M77" s="670"/>
    </row>
    <row r="78" spans="2:20" s="74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43" t="s">
        <v>66</v>
      </c>
      <c r="J78" s="24"/>
      <c r="K78" s="614" t="s">
        <v>534</v>
      </c>
      <c r="L78" s="719"/>
      <c r="M78" s="670"/>
      <c r="N78" s="719"/>
      <c r="R78" s="746"/>
      <c r="S78" s="746"/>
      <c r="T78" s="747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8">
        <f>VOLUME_large_SEK</f>
        <v>1.2</v>
      </c>
      <c r="H79" s="748"/>
      <c r="I79" s="749"/>
      <c r="J79" s="399"/>
      <c r="K79" s="857">
        <f>ROUNDUP(I79*G79,2)</f>
        <v>0</v>
      </c>
      <c r="L79" s="8"/>
      <c r="M79" s="670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0">
        <f>VOLUME_fast_SEK</f>
        <v>3.6</v>
      </c>
      <c r="H80" s="751"/>
      <c r="I80" s="753"/>
      <c r="J80" s="754"/>
      <c r="K80" s="858">
        <f>ROUNDUP(I80*G80,2)</f>
        <v>0</v>
      </c>
      <c r="L80" s="8"/>
      <c r="M80" s="670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8">
        <f>VOLUME_large_SEK</f>
        <v>1.2</v>
      </c>
      <c r="H81" s="755"/>
      <c r="I81" s="749"/>
      <c r="J81" s="399"/>
      <c r="K81" s="857">
        <f>ROUNDUP(I81*G81,2)</f>
        <v>0</v>
      </c>
      <c r="L81" s="8"/>
      <c r="M81" s="670"/>
    </row>
    <row r="82" spans="2:20" s="903" customFormat="1" ht="25" customHeight="1">
      <c r="B82" s="899" t="s">
        <v>222</v>
      </c>
      <c r="C82" s="900"/>
      <c r="D82" s="900"/>
      <c r="E82" s="900"/>
      <c r="F82" s="900"/>
      <c r="G82" s="900"/>
      <c r="H82" s="900"/>
      <c r="I82" s="900" t="str">
        <f>SUM(I79:I81)&amp;" GB"</f>
        <v>0 GB</v>
      </c>
      <c r="J82" s="900"/>
      <c r="K82" s="902">
        <f>SUM(K79:K81)</f>
        <v>0</v>
      </c>
      <c r="M82" s="670"/>
      <c r="P82" s="905"/>
      <c r="R82" s="905"/>
    </row>
    <row r="83" spans="2:20" ht="25" customHeight="1">
      <c r="B83" s="452"/>
      <c r="C83" s="76"/>
      <c r="D83" s="76"/>
      <c r="E83" s="76"/>
      <c r="F83" s="76"/>
      <c r="G83" s="76"/>
      <c r="H83" s="736"/>
      <c r="I83" s="756"/>
      <c r="J83" s="756"/>
      <c r="K83" s="875"/>
      <c r="L83" s="75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6"/>
      <c r="I84" s="756"/>
      <c r="J84" s="756"/>
      <c r="K84" s="876"/>
      <c r="L84" s="757"/>
      <c r="M84" s="670"/>
    </row>
    <row r="85" spans="2:20" s="4" customFormat="1" ht="25" customHeight="1">
      <c r="B85" s="967" t="s">
        <v>660</v>
      </c>
      <c r="C85" s="967"/>
      <c r="D85" s="967"/>
      <c r="E85" s="967"/>
      <c r="F85" s="967"/>
      <c r="G85" s="967"/>
      <c r="H85" s="967"/>
      <c r="I85" s="967"/>
      <c r="J85" s="967"/>
      <c r="K85" s="967"/>
      <c r="M85" s="670"/>
    </row>
    <row r="86" spans="2:20" s="4" customFormat="1" ht="25" customHeight="1">
      <c r="B86" s="967"/>
      <c r="C86" s="967"/>
      <c r="D86" s="967"/>
      <c r="E86" s="967"/>
      <c r="F86" s="967"/>
      <c r="G86" s="967"/>
      <c r="H86" s="967"/>
      <c r="I86" s="967"/>
      <c r="J86" s="967"/>
      <c r="K86" s="967"/>
      <c r="M86" s="670"/>
    </row>
    <row r="87" spans="2:20" s="4" customFormat="1" ht="25" customHeight="1">
      <c r="B87" s="967"/>
      <c r="C87" s="967"/>
      <c r="D87" s="967"/>
      <c r="E87" s="967"/>
      <c r="F87" s="967"/>
      <c r="G87" s="967"/>
      <c r="H87" s="967"/>
      <c r="I87" s="967"/>
      <c r="J87" s="967"/>
      <c r="K87" s="967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9"/>
      <c r="J88" s="681"/>
      <c r="K88" s="862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59"/>
      <c r="H89" s="760"/>
      <c r="I89" s="759"/>
      <c r="J89" s="761"/>
      <c r="K89" s="877"/>
      <c r="L89" s="75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4"/>
      <c r="H90" s="685"/>
      <c r="I90" s="684"/>
      <c r="J90" s="686"/>
      <c r="K90" s="863"/>
      <c r="L90" s="763"/>
      <c r="M90" s="670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3"/>
      <c r="L91" s="737"/>
      <c r="M91" s="670"/>
      <c r="R91" s="689"/>
      <c r="T91" s="689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43" t="s">
        <v>224</v>
      </c>
      <c r="J92" s="131"/>
      <c r="K92" s="614" t="s">
        <v>83</v>
      </c>
      <c r="L92" s="687"/>
      <c r="M92" s="670"/>
      <c r="N92" s="682"/>
    </row>
    <row r="93" spans="2:20" s="769" customFormat="1" ht="25" customHeight="1">
      <c r="B93" s="445" t="s">
        <v>535</v>
      </c>
      <c r="C93" s="963" t="s">
        <v>657</v>
      </c>
      <c r="D93" s="963"/>
      <c r="E93" s="524"/>
      <c r="F93" s="765"/>
      <c r="G93" s="764">
        <f>S3_archive.50_SEK</f>
        <v>350</v>
      </c>
      <c r="H93" s="765"/>
      <c r="I93" s="766"/>
      <c r="J93" s="767"/>
      <c r="K93" s="631">
        <f>I93*G93</f>
        <v>0</v>
      </c>
      <c r="L93" s="768"/>
      <c r="M93" s="670"/>
      <c r="N93" s="736"/>
    </row>
    <row r="94" spans="2:20" s="682" customFormat="1" ht="25" customHeight="1">
      <c r="B94" s="137" t="s">
        <v>494</v>
      </c>
      <c r="C94" s="41" t="s">
        <v>658</v>
      </c>
      <c r="D94" s="79"/>
      <c r="E94" s="79"/>
      <c r="F94" s="751"/>
      <c r="G94" s="650">
        <f>S3_storage50_SEK</f>
        <v>500</v>
      </c>
      <c r="H94" s="752"/>
      <c r="I94" s="770"/>
      <c r="J94" s="754"/>
      <c r="K94" s="858">
        <f>I94*G94</f>
        <v>0</v>
      </c>
      <c r="L94" s="8"/>
      <c r="M94" s="670"/>
      <c r="T94" s="689"/>
    </row>
    <row r="95" spans="2:20" s="903" customFormat="1" ht="25" customHeight="1">
      <c r="B95" s="899" t="s">
        <v>222</v>
      </c>
      <c r="C95" s="900"/>
      <c r="D95" s="900"/>
      <c r="E95" s="900"/>
      <c r="F95" s="900"/>
      <c r="G95" s="900"/>
      <c r="H95" s="900"/>
      <c r="I95" s="900"/>
      <c r="J95" s="900"/>
      <c r="K95" s="902">
        <f>SUM(K93:K94)</f>
        <v>0</v>
      </c>
      <c r="M95" s="670"/>
      <c r="P95" s="905"/>
      <c r="R95" s="905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19" s="723" customFormat="1" ht="25" hidden="1" customHeight="1">
      <c r="B97" s="416" t="s">
        <v>422</v>
      </c>
      <c r="C97" s="771"/>
      <c r="D97" s="771"/>
      <c r="E97" s="771"/>
      <c r="F97" s="771"/>
      <c r="G97" s="771"/>
      <c r="H97" s="27"/>
      <c r="I97" s="27"/>
      <c r="J97" s="27"/>
      <c r="K97" s="873"/>
      <c r="M97" s="670"/>
      <c r="N97" s="27"/>
      <c r="O97" s="27"/>
      <c r="P97" s="726"/>
      <c r="Q97" s="27"/>
      <c r="R97" s="727"/>
    </row>
    <row r="98" spans="2:19" s="4" customFormat="1" ht="25" hidden="1" customHeight="1">
      <c r="B98" s="444" t="s">
        <v>208</v>
      </c>
      <c r="C98" s="10" t="s">
        <v>224</v>
      </c>
      <c r="D98" s="981" t="s">
        <v>225</v>
      </c>
      <c r="E98" s="981"/>
      <c r="F98" s="981"/>
      <c r="G98" s="981"/>
      <c r="H98" s="981"/>
      <c r="I98" s="981"/>
      <c r="J98" s="131"/>
      <c r="K98" s="614"/>
      <c r="L98" s="687"/>
      <c r="M98" s="670"/>
      <c r="N98" s="682"/>
    </row>
    <row r="99" spans="2:19" s="769" customFormat="1" ht="25" hidden="1" customHeight="1">
      <c r="B99" s="466" t="s">
        <v>423</v>
      </c>
      <c r="C99" s="82"/>
      <c r="D99" s="25"/>
      <c r="E99" s="772" cm="1">
        <f t="array" ref="E99">_xlfn.IFS(H99&lt;50,D100,H99&lt;100,D101,H99&lt;500,D102,H99&lt;1000,D103,H99&gt;999,D104)</f>
        <v>185</v>
      </c>
      <c r="F99" s="772"/>
      <c r="G99" s="772"/>
      <c r="H99" s="958">
        <v>600</v>
      </c>
      <c r="I99" s="774" t="s">
        <v>84</v>
      </c>
      <c r="J99" s="775"/>
      <c r="K99" s="596" cm="1">
        <f t="array" ref="K99">_xlfn.IFS(H99&lt;1000,ROUNDUP(H99*E99,2),H99&gt;999,E99)</f>
        <v>111000</v>
      </c>
      <c r="L99" s="768"/>
      <c r="M99" s="670"/>
      <c r="N99" s="736"/>
    </row>
    <row r="100" spans="2:19" s="4" customFormat="1" ht="25" hidden="1" customHeight="1">
      <c r="B100" s="605" t="s">
        <v>423</v>
      </c>
      <c r="C100" s="606" t="s">
        <v>429</v>
      </c>
      <c r="D100" s="980">
        <f>S3_archive.50_SEK</f>
        <v>350</v>
      </c>
      <c r="E100" s="980"/>
      <c r="F100" s="980"/>
      <c r="G100" s="980"/>
      <c r="H100" s="980"/>
      <c r="I100" s="980"/>
      <c r="J100" s="916"/>
      <c r="K100" s="878"/>
      <c r="L100" s="687"/>
      <c r="M100" s="670"/>
      <c r="N100" s="682"/>
    </row>
    <row r="101" spans="2:19" s="4" customFormat="1" ht="25" hidden="1" customHeight="1">
      <c r="B101" s="617" t="s">
        <v>423</v>
      </c>
      <c r="C101" s="618" t="s">
        <v>430</v>
      </c>
      <c r="D101" s="978">
        <f>S3_archive.100_SEK</f>
        <v>270</v>
      </c>
      <c r="E101" s="978"/>
      <c r="F101" s="978"/>
      <c r="G101" s="978"/>
      <c r="H101" s="978"/>
      <c r="I101" s="978"/>
      <c r="J101" s="918"/>
      <c r="K101" s="879"/>
      <c r="L101" s="687"/>
      <c r="M101" s="670"/>
      <c r="N101" s="682"/>
    </row>
    <row r="102" spans="2:19" s="4" customFormat="1" ht="25" hidden="1" customHeight="1">
      <c r="B102" s="605" t="s">
        <v>423</v>
      </c>
      <c r="C102" s="606" t="s">
        <v>431</v>
      </c>
      <c r="D102" s="969">
        <f>S3_archive.500_SEK</f>
        <v>200</v>
      </c>
      <c r="E102" s="969"/>
      <c r="F102" s="969"/>
      <c r="G102" s="969"/>
      <c r="H102" s="969"/>
      <c r="I102" s="969"/>
      <c r="J102" s="919"/>
      <c r="K102" s="880"/>
      <c r="L102" s="687"/>
      <c r="M102" s="670"/>
      <c r="N102" s="682"/>
    </row>
    <row r="103" spans="2:19" s="4" customFormat="1" ht="25" hidden="1" customHeight="1">
      <c r="B103" s="617" t="s">
        <v>423</v>
      </c>
      <c r="C103" s="618" t="s">
        <v>432</v>
      </c>
      <c r="D103" s="978">
        <f>S3_archive.1000_SEK</f>
        <v>185</v>
      </c>
      <c r="E103" s="978"/>
      <c r="F103" s="978"/>
      <c r="G103" s="978"/>
      <c r="H103" s="978"/>
      <c r="I103" s="978"/>
      <c r="J103" s="918"/>
      <c r="K103" s="879"/>
      <c r="L103" s="687"/>
      <c r="M103" s="670"/>
      <c r="N103" s="682"/>
    </row>
    <row r="104" spans="2:19" s="4" customFormat="1" ht="25" hidden="1" customHeight="1">
      <c r="B104" s="609" t="s">
        <v>423</v>
      </c>
      <c r="C104" s="610" t="s">
        <v>433</v>
      </c>
      <c r="D104" s="979" t="str">
        <f>S3_archive.quote_SEK</f>
        <v>Be om offert</v>
      </c>
      <c r="E104" s="979"/>
      <c r="F104" s="979"/>
      <c r="G104" s="979"/>
      <c r="H104" s="979"/>
      <c r="I104" s="979"/>
      <c r="J104" s="917"/>
      <c r="K104" s="881"/>
      <c r="L104" s="687"/>
      <c r="M104" s="670"/>
      <c r="N104" s="682"/>
    </row>
    <row r="105" spans="2:19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6"/>
      <c r="K105" s="869">
        <f>K99</f>
        <v>111000</v>
      </c>
      <c r="L105" s="687"/>
      <c r="M105" s="670"/>
      <c r="N105" s="682"/>
    </row>
    <row r="106" spans="2:19" s="728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3"/>
      <c r="K106" s="863"/>
      <c r="L106" s="687"/>
      <c r="M106" s="670"/>
      <c r="N106" s="745"/>
      <c r="O106" s="745"/>
      <c r="P106" s="745"/>
      <c r="Q106" s="745"/>
      <c r="R106" s="745"/>
      <c r="S106" s="745"/>
    </row>
    <row r="107" spans="2:19" ht="25" customHeight="1">
      <c r="B107" s="639"/>
      <c r="C107" s="26"/>
      <c r="D107" s="26"/>
      <c r="E107" s="26"/>
      <c r="F107" s="777"/>
      <c r="G107" s="778"/>
      <c r="H107" s="756"/>
      <c r="I107" s="756"/>
      <c r="J107" s="779"/>
      <c r="K107" s="875"/>
      <c r="L107" s="758"/>
      <c r="M107" s="670"/>
      <c r="N107" s="682"/>
      <c r="Q107" s="4"/>
    </row>
    <row r="108" spans="2:19" s="4" customFormat="1" ht="25" customHeight="1">
      <c r="B108" s="967" t="s">
        <v>667</v>
      </c>
      <c r="C108" s="967"/>
      <c r="D108" s="967"/>
      <c r="E108" s="967"/>
      <c r="F108" s="967"/>
      <c r="G108" s="967"/>
      <c r="H108" s="679"/>
      <c r="J108" s="681"/>
      <c r="K108" s="862"/>
      <c r="L108" s="681"/>
      <c r="M108" s="670"/>
    </row>
    <row r="109" spans="2:19" s="4" customFormat="1" ht="25" customHeight="1">
      <c r="B109" s="967"/>
      <c r="C109" s="967"/>
      <c r="D109" s="967"/>
      <c r="E109" s="967"/>
      <c r="F109" s="967"/>
      <c r="G109" s="967"/>
      <c r="H109" s="679"/>
      <c r="J109" s="681"/>
      <c r="K109" s="862"/>
      <c r="L109" s="681"/>
      <c r="M109" s="670"/>
    </row>
    <row r="110" spans="2:19" s="4" customFormat="1" ht="25" customHeight="1">
      <c r="B110" s="967"/>
      <c r="C110" s="967"/>
      <c r="D110" s="967"/>
      <c r="E110" s="967"/>
      <c r="F110" s="967"/>
      <c r="G110" s="967"/>
      <c r="H110" s="679"/>
      <c r="J110" s="681"/>
      <c r="K110" s="862"/>
      <c r="L110" s="681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2"/>
      <c r="L111" s="681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4"/>
      <c r="H112" s="685"/>
      <c r="I112" s="684"/>
      <c r="J112" s="686"/>
      <c r="K112" s="863"/>
      <c r="L112" s="763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4"/>
      <c r="H113" s="685"/>
      <c r="I113" s="684"/>
      <c r="J113" s="686"/>
      <c r="K113" s="863"/>
      <c r="L113" s="763"/>
      <c r="M113" s="670"/>
      <c r="O113" s="682"/>
      <c r="P113" s="682"/>
      <c r="Q113" s="682"/>
      <c r="R113" s="682"/>
      <c r="S113" s="682"/>
      <c r="T113" s="682"/>
      <c r="U113" s="682"/>
      <c r="X113" s="1"/>
      <c r="Y113" s="1"/>
      <c r="Z113" s="1"/>
    </row>
    <row r="114" spans="2:32" s="728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3"/>
      <c r="L114" s="8"/>
      <c r="M114" s="670"/>
      <c r="P114" s="745"/>
      <c r="Q114" s="745"/>
      <c r="R114" s="745"/>
      <c r="S114" s="745"/>
      <c r="T114" s="745"/>
      <c r="U114" s="745"/>
    </row>
    <row r="115" spans="2:32" ht="25" customHeight="1">
      <c r="B115" s="444" t="s">
        <v>208</v>
      </c>
      <c r="C115" s="788"/>
      <c r="D115" s="788"/>
      <c r="E115" s="24" t="s">
        <v>228</v>
      </c>
      <c r="F115" s="788"/>
      <c r="G115" s="24" t="s">
        <v>619</v>
      </c>
      <c r="H115" s="24"/>
      <c r="I115" s="743" t="s">
        <v>90</v>
      </c>
      <c r="J115" s="743" t="s">
        <v>458</v>
      </c>
      <c r="K115" s="614" t="s">
        <v>92</v>
      </c>
      <c r="L115" s="737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1">
        <f>BAAS_on.demand_SEK</f>
        <v>2.4500000000000002</v>
      </c>
      <c r="H116" s="399"/>
      <c r="I116" s="766"/>
      <c r="J116" s="908" t="s">
        <v>94</v>
      </c>
      <c r="K116" s="857">
        <f>ROUNDUP(I116*G116,2)</f>
        <v>0</v>
      </c>
      <c r="L116" s="737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54"/>
      <c r="G117" s="782">
        <f>BAAS_small_SEK</f>
        <v>1.75</v>
      </c>
      <c r="H117" s="754"/>
      <c r="I117" s="783"/>
      <c r="J117" s="784">
        <v>0.75</v>
      </c>
      <c r="K117" s="858">
        <f>IF(I117&gt;0,$E$117+($G$117*(I117*(1-$J$117))),0)</f>
        <v>0</v>
      </c>
      <c r="L117" s="737"/>
      <c r="M117" s="670"/>
    </row>
    <row r="118" spans="2:32" s="785" customFormat="1" ht="25" customHeight="1">
      <c r="B118" s="466" t="s">
        <v>497</v>
      </c>
      <c r="C118" s="82"/>
      <c r="D118" s="82"/>
      <c r="E118" s="33">
        <v>9500</v>
      </c>
      <c r="F118" s="774"/>
      <c r="G118" s="781">
        <f>BAAS_large_SEK</f>
        <v>0.92</v>
      </c>
      <c r="H118" s="774"/>
      <c r="I118" s="773"/>
      <c r="J118" s="786">
        <v>0.75</v>
      </c>
      <c r="K118" s="596">
        <f>IF(I118&gt;0,$E$118+($G$118*(I118*(1-$J$118))),0)</f>
        <v>0</v>
      </c>
      <c r="L118" s="737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3" customFormat="1" ht="25" customHeight="1">
      <c r="B119" s="899" t="s">
        <v>222</v>
      </c>
      <c r="C119" s="900"/>
      <c r="D119" s="900"/>
      <c r="E119" s="900"/>
      <c r="F119" s="900"/>
      <c r="G119" s="900"/>
      <c r="H119" s="900"/>
      <c r="I119" s="900" t="str">
        <f>SUM(I116:I118)&amp;" GB"</f>
        <v>0 GB</v>
      </c>
      <c r="J119" s="900"/>
      <c r="K119" s="902">
        <f>SUM(K116:K118)</f>
        <v>0</v>
      </c>
      <c r="M119" s="670"/>
      <c r="P119" s="905"/>
      <c r="R119" s="905"/>
    </row>
    <row r="120" spans="2:32" s="785" customFormat="1" ht="25" customHeight="1">
      <c r="B120" s="448"/>
      <c r="C120" s="19"/>
      <c r="D120" s="19"/>
      <c r="E120" s="19"/>
      <c r="F120" s="907"/>
      <c r="G120" s="709"/>
      <c r="H120" s="709"/>
      <c r="I120" s="709"/>
      <c r="J120" s="709"/>
      <c r="K120" s="882"/>
      <c r="L120" s="776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7"/>
      <c r="G121" s="778"/>
      <c r="H121" s="756"/>
      <c r="I121" s="756"/>
      <c r="J121" s="779"/>
      <c r="K121" s="875"/>
      <c r="L121" s="768"/>
      <c r="M121" s="670"/>
      <c r="N121" s="682"/>
    </row>
    <row r="122" spans="2:32" ht="25" customHeight="1">
      <c r="B122" s="639"/>
      <c r="C122" s="26"/>
      <c r="D122" s="26"/>
      <c r="E122" s="26"/>
      <c r="F122" s="777"/>
      <c r="G122" s="778"/>
      <c r="H122" s="756"/>
      <c r="I122" s="756"/>
      <c r="J122" s="779"/>
      <c r="K122" s="875"/>
      <c r="L122" s="758"/>
      <c r="M122" s="670"/>
      <c r="N122" s="682"/>
      <c r="Q122" s="4"/>
    </row>
    <row r="123" spans="2:32" s="4" customFormat="1" ht="25" customHeight="1">
      <c r="B123" s="967" t="s">
        <v>442</v>
      </c>
      <c r="C123" s="967"/>
      <c r="D123" s="967"/>
      <c r="E123" s="967"/>
      <c r="F123" s="967"/>
      <c r="G123" s="967"/>
      <c r="H123" s="679"/>
      <c r="J123" s="681"/>
      <c r="K123" s="862"/>
      <c r="L123" s="681"/>
      <c r="M123" s="670"/>
    </row>
    <row r="124" spans="2:32" s="4" customFormat="1" ht="25" customHeight="1">
      <c r="B124" s="967"/>
      <c r="C124" s="967"/>
      <c r="D124" s="967"/>
      <c r="E124" s="967"/>
      <c r="F124" s="967"/>
      <c r="G124" s="967"/>
      <c r="H124" s="679"/>
      <c r="J124" s="681"/>
      <c r="K124" s="862"/>
      <c r="L124" s="681"/>
      <c r="M124" s="670"/>
    </row>
    <row r="125" spans="2:32" s="4" customFormat="1" ht="25" customHeight="1">
      <c r="B125" s="967"/>
      <c r="C125" s="967"/>
      <c r="D125" s="967"/>
      <c r="E125" s="967"/>
      <c r="F125" s="967"/>
      <c r="G125" s="967"/>
      <c r="H125" s="679"/>
      <c r="J125" s="681"/>
      <c r="K125" s="862"/>
      <c r="L125" s="681"/>
      <c r="M125" s="670"/>
    </row>
    <row r="126" spans="2:32" s="4" customFormat="1" ht="25" customHeight="1">
      <c r="B126" s="551" t="s">
        <v>661</v>
      </c>
      <c r="C126" s="6"/>
      <c r="D126" s="6"/>
      <c r="E126" s="6"/>
      <c r="F126" s="6"/>
      <c r="H126" s="679"/>
      <c r="J126" s="681"/>
      <c r="K126" s="862"/>
      <c r="L126" s="681"/>
      <c r="M126" s="670"/>
    </row>
    <row r="127" spans="2:32" s="4" customFormat="1" ht="25" customHeight="1">
      <c r="B127" s="465" t="s">
        <v>662</v>
      </c>
      <c r="C127" s="505"/>
      <c r="D127" s="505"/>
      <c r="E127" s="505"/>
      <c r="F127" s="505"/>
      <c r="H127" s="685"/>
      <c r="I127" s="684"/>
      <c r="J127" s="686"/>
      <c r="K127" s="863"/>
      <c r="L127" s="763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4"/>
      <c r="H128" s="685"/>
      <c r="I128" s="684"/>
      <c r="J128" s="686"/>
      <c r="K128" s="863"/>
      <c r="L128" s="763"/>
      <c r="M128" s="670"/>
      <c r="O128" s="682"/>
      <c r="P128" s="682"/>
      <c r="Q128" s="682"/>
      <c r="R128" s="682"/>
      <c r="S128" s="682"/>
      <c r="T128" s="682"/>
      <c r="U128" s="682"/>
      <c r="X128" s="1"/>
      <c r="Y128" s="1"/>
      <c r="Z128" s="1"/>
    </row>
    <row r="129" spans="2:32" s="728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3"/>
      <c r="L129" s="8"/>
      <c r="M129" s="670"/>
      <c r="P129" s="745"/>
      <c r="Q129" s="745"/>
      <c r="R129" s="745"/>
      <c r="S129" s="745"/>
      <c r="T129" s="745"/>
      <c r="U129" s="745"/>
    </row>
    <row r="130" spans="2:32" ht="25" customHeight="1">
      <c r="B130" s="444" t="s">
        <v>208</v>
      </c>
      <c r="C130" s="968" t="s">
        <v>445</v>
      </c>
      <c r="D130" s="968"/>
      <c r="E130" s="968" t="s">
        <v>446</v>
      </c>
      <c r="F130" s="968"/>
      <c r="G130" s="968" t="s">
        <v>228</v>
      </c>
      <c r="H130" s="968"/>
      <c r="I130" s="24"/>
      <c r="J130" s="24"/>
      <c r="K130" s="614" t="s">
        <v>92</v>
      </c>
      <c r="L130" s="737"/>
      <c r="M130" s="670"/>
    </row>
    <row r="131" spans="2:32" ht="25" customHeight="1">
      <c r="B131" s="853" t="s">
        <v>498</v>
      </c>
      <c r="C131" s="974" t="s">
        <v>575</v>
      </c>
      <c r="D131" s="974"/>
      <c r="E131" s="976" t="s">
        <v>444</v>
      </c>
      <c r="F131" s="976"/>
      <c r="G131" s="970">
        <v>15000</v>
      </c>
      <c r="H131" s="971"/>
      <c r="I131" s="766"/>
      <c r="J131" s="962">
        <v>2</v>
      </c>
      <c r="K131" s="883" t="str">
        <f>IF(J131=1,G131," ")</f>
        <v xml:space="preserve"> </v>
      </c>
      <c r="L131" s="737"/>
      <c r="M131" s="670"/>
    </row>
    <row r="132" spans="2:32" ht="25" customHeight="1">
      <c r="B132" s="137" t="s">
        <v>499</v>
      </c>
      <c r="C132" s="975" t="s">
        <v>443</v>
      </c>
      <c r="D132" s="975"/>
      <c r="E132" s="977" t="s">
        <v>447</v>
      </c>
      <c r="F132" s="977"/>
      <c r="G132" s="972">
        <v>24000</v>
      </c>
      <c r="H132" s="973"/>
      <c r="I132" s="770"/>
      <c r="J132" s="754"/>
      <c r="K132" s="884" t="str">
        <f>IF(J131=3,G132," ")</f>
        <v xml:space="preserve"> </v>
      </c>
      <c r="L132" s="737"/>
      <c r="M132" s="670"/>
    </row>
    <row r="133" spans="2:32" s="903" customFormat="1" ht="25" customHeight="1">
      <c r="B133" s="899" t="s">
        <v>222</v>
      </c>
      <c r="C133" s="900"/>
      <c r="D133" s="900"/>
      <c r="E133" s="900"/>
      <c r="F133" s="900"/>
      <c r="G133" s="900"/>
      <c r="H133" s="900"/>
      <c r="I133" s="961"/>
      <c r="J133" s="900"/>
      <c r="K133" s="902">
        <f>SUM(K131:K132)</f>
        <v>0</v>
      </c>
      <c r="M133" s="670"/>
      <c r="P133" s="905"/>
      <c r="R133" s="905"/>
    </row>
    <row r="134" spans="2:32" s="785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69"/>
      <c r="L134" s="737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5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2"/>
      <c r="L135" s="776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8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3"/>
      <c r="K136" s="863"/>
      <c r="L136" s="687"/>
      <c r="M136" s="670"/>
      <c r="N136" s="745"/>
      <c r="O136" s="745"/>
      <c r="P136" s="745"/>
      <c r="Q136" s="745"/>
      <c r="R136" s="745"/>
      <c r="S136" s="745"/>
    </row>
    <row r="137" spans="2:32" s="4" customFormat="1" ht="25" customHeight="1">
      <c r="B137" s="967" t="s">
        <v>234</v>
      </c>
      <c r="C137" s="967"/>
      <c r="D137" s="967"/>
      <c r="E137" s="967"/>
      <c r="F137" s="967"/>
      <c r="G137" s="967"/>
      <c r="H137" s="679"/>
      <c r="J137" s="681"/>
      <c r="K137" s="862"/>
      <c r="M137" s="670"/>
    </row>
    <row r="138" spans="2:32" s="4" customFormat="1" ht="25" customHeight="1">
      <c r="B138" s="967"/>
      <c r="C138" s="967"/>
      <c r="D138" s="967"/>
      <c r="E138" s="967"/>
      <c r="F138" s="967"/>
      <c r="G138" s="967"/>
      <c r="H138" s="679"/>
      <c r="J138" s="681"/>
      <c r="K138" s="862"/>
      <c r="M138" s="670"/>
    </row>
    <row r="139" spans="2:32" s="4" customFormat="1" ht="25" customHeight="1">
      <c r="B139" s="967"/>
      <c r="C139" s="967"/>
      <c r="D139" s="967"/>
      <c r="E139" s="967"/>
      <c r="F139" s="967"/>
      <c r="G139" s="967"/>
      <c r="H139" s="679"/>
      <c r="J139" s="681"/>
      <c r="K139" s="862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9"/>
      <c r="J140" s="681"/>
      <c r="K140" s="862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3"/>
      <c r="L141" s="684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4"/>
      <c r="H142" s="684"/>
      <c r="I142" s="684"/>
      <c r="J142" s="686"/>
      <c r="K142" s="863"/>
      <c r="L142" s="684"/>
      <c r="M142" s="670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5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91" t="s">
        <v>107</v>
      </c>
      <c r="K145" s="857">
        <f>NET_publicv4_SEK</f>
        <v>25</v>
      </c>
      <c r="M145" s="670"/>
      <c r="N145" s="75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92"/>
      <c r="G146" s="792"/>
      <c r="H146" s="792"/>
      <c r="I146" s="792"/>
      <c r="J146" s="793" t="s">
        <v>94</v>
      </c>
      <c r="K146" s="556">
        <f>NET_publicv6_SEK</f>
        <v>0</v>
      </c>
      <c r="M146" s="670"/>
      <c r="N146" s="758"/>
      <c r="O146" s="8"/>
    </row>
    <row r="147" spans="2:18" ht="25" customHeight="1">
      <c r="B147" s="134" t="s">
        <v>502</v>
      </c>
      <c r="C147" s="129" t="s">
        <v>238</v>
      </c>
      <c r="D147" s="129"/>
      <c r="E147" s="148"/>
      <c r="F147" s="37"/>
      <c r="G147" s="37"/>
      <c r="H147" s="37"/>
      <c r="I147" s="37"/>
      <c r="J147" s="791" t="s">
        <v>69</v>
      </c>
      <c r="K147" s="557">
        <f>NET_ingress_SEK</f>
        <v>0</v>
      </c>
      <c r="M147" s="670"/>
      <c r="N147" s="75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92"/>
      <c r="G148" s="792"/>
      <c r="H148" s="792"/>
      <c r="I148" s="792"/>
      <c r="J148" s="794" t="s">
        <v>69</v>
      </c>
      <c r="K148" s="556">
        <f>NET_egress_SEK</f>
        <v>0.25</v>
      </c>
      <c r="M148" s="670"/>
      <c r="N148" s="75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411</v>
      </c>
      <c r="F149" s="37"/>
      <c r="G149" s="37"/>
      <c r="H149" s="37"/>
      <c r="I149" s="37"/>
      <c r="J149" s="791" t="s">
        <v>240</v>
      </c>
      <c r="K149" s="557" t="str">
        <f>NET_mgn.slb_SEK</f>
        <v>Begär offert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92"/>
      <c r="G150" s="792"/>
      <c r="H150" s="792"/>
      <c r="I150" s="792"/>
      <c r="J150" s="793" t="s">
        <v>94</v>
      </c>
      <c r="K150" s="556">
        <f>NET_rdns_SEK</f>
        <v>0</v>
      </c>
      <c r="M150" s="670"/>
      <c r="N150" s="75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6" t="s">
        <v>94</v>
      </c>
      <c r="K151" s="557">
        <v>0</v>
      </c>
      <c r="M151" s="670"/>
      <c r="N151" s="75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5"/>
      <c r="M152" s="670"/>
      <c r="N152" s="758"/>
      <c r="O152" s="8"/>
    </row>
    <row r="153" spans="2:18" ht="25" customHeight="1">
      <c r="C153" s="43"/>
      <c r="J153" s="43"/>
      <c r="M153" s="670"/>
      <c r="N153" s="758"/>
      <c r="O153" s="8"/>
    </row>
    <row r="154" spans="2:18" ht="25" customHeight="1">
      <c r="C154" s="43"/>
      <c r="J154" s="43"/>
      <c r="M154" s="670"/>
      <c r="N154" s="75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97"/>
      <c r="M155" s="670"/>
      <c r="N155" s="75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5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1" t="s">
        <v>10</v>
      </c>
      <c r="K158" s="857">
        <f>SW_win.ser.201X_SEK</f>
        <v>78</v>
      </c>
      <c r="L158" s="756"/>
      <c r="M158" s="670"/>
      <c r="N158" s="758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2"/>
      <c r="G159" s="792"/>
      <c r="H159" s="792"/>
      <c r="I159" s="792"/>
      <c r="J159" s="794" t="s">
        <v>10</v>
      </c>
      <c r="K159" s="858">
        <f>SW_win.ser.201X_SEK</f>
        <v>78</v>
      </c>
      <c r="L159" s="756"/>
      <c r="M159" s="670"/>
      <c r="N159" s="758"/>
      <c r="O159" s="8"/>
      <c r="Q159" s="682"/>
      <c r="R159" s="682"/>
    </row>
    <row r="160" spans="2:18" ht="25" customHeight="1">
      <c r="B160" s="134" t="s">
        <v>665</v>
      </c>
      <c r="C160" s="129"/>
      <c r="D160" s="30"/>
      <c r="E160" s="30" t="s">
        <v>666</v>
      </c>
      <c r="F160" s="30"/>
      <c r="G160" s="30"/>
      <c r="H160" s="30"/>
      <c r="I160" s="30"/>
      <c r="J160" s="791" t="s">
        <v>10</v>
      </c>
      <c r="K160" s="857">
        <f>SW_win.ser.201X_SEK</f>
        <v>78</v>
      </c>
      <c r="L160" s="756"/>
      <c r="M160" s="670"/>
      <c r="N160" s="758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2"/>
      <c r="G161" s="792"/>
      <c r="H161" s="792"/>
      <c r="I161" s="792"/>
      <c r="J161" s="794" t="s">
        <v>10</v>
      </c>
      <c r="K161" s="858">
        <f>SW_ms.sql.ser_SEK</f>
        <v>1498</v>
      </c>
      <c r="M161" s="670"/>
      <c r="N161" s="75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1" t="s">
        <v>94</v>
      </c>
      <c r="K162" s="857" t="str">
        <f>SW_nextcloud_SEK</f>
        <v>Begär offert</v>
      </c>
      <c r="L162" s="756"/>
      <c r="M162" s="670"/>
      <c r="N162" s="758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2"/>
      <c r="G163" s="792"/>
      <c r="H163" s="792"/>
      <c r="I163" s="792"/>
      <c r="J163" s="794" t="s">
        <v>94</v>
      </c>
      <c r="K163" s="858" t="str">
        <f>SW_suse_SEK</f>
        <v>Begär offert</v>
      </c>
      <c r="M163" s="670"/>
      <c r="N163" s="75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1" t="s">
        <v>94</v>
      </c>
      <c r="K164" s="857" t="str">
        <f>SW_cluster.control_SEK</f>
        <v>3x instanspris</v>
      </c>
      <c r="M164" s="670"/>
      <c r="N164" s="75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2"/>
      <c r="G165" s="792"/>
      <c r="H165" s="792"/>
      <c r="I165" s="792"/>
      <c r="J165" s="794" t="s">
        <v>138</v>
      </c>
      <c r="K165" s="858">
        <f>SW_backup.ninja_SEK</f>
        <v>400</v>
      </c>
      <c r="M165" s="670"/>
      <c r="N165" s="758"/>
      <c r="O165" s="8"/>
    </row>
    <row r="166" spans="2:18" ht="25" customHeight="1">
      <c r="B166" s="106"/>
      <c r="C166" s="103"/>
      <c r="D166" s="104"/>
      <c r="E166" s="105"/>
      <c r="F166" s="798"/>
      <c r="G166" s="798"/>
      <c r="H166" s="798"/>
      <c r="I166" s="798"/>
      <c r="J166" s="799"/>
      <c r="K166" s="886"/>
      <c r="M166" s="670"/>
      <c r="N166" s="758"/>
      <c r="O166" s="8"/>
    </row>
    <row r="167" spans="2:18" ht="25" customHeight="1">
      <c r="B167" s="137"/>
      <c r="C167" s="130"/>
      <c r="D167" s="41"/>
      <c r="E167" s="31"/>
      <c r="F167" s="792"/>
      <c r="G167" s="792"/>
      <c r="H167" s="792"/>
      <c r="I167" s="792"/>
      <c r="J167" s="800"/>
      <c r="K167" s="556"/>
      <c r="M167" s="670"/>
      <c r="N167" s="758"/>
      <c r="O167" s="8"/>
    </row>
    <row r="168" spans="2:18" ht="25" customHeight="1">
      <c r="M168" s="670"/>
      <c r="N168" s="75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5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5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898">
        <f>PAAS_man.kubernetes_SEK</f>
        <v>24000</v>
      </c>
      <c r="M172" s="670"/>
      <c r="N172" s="75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2"/>
      <c r="G173" s="792"/>
      <c r="H173" s="792"/>
      <c r="I173" s="792"/>
      <c r="J173" s="800"/>
      <c r="K173" s="858">
        <f>PAAS_man.postgres.sql_SEK</f>
        <v>15000</v>
      </c>
      <c r="M173" s="670"/>
      <c r="N173" s="75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557" t="str">
        <f>PAAS_man.elasticsearch_SEK</f>
        <v>Begär offert</v>
      </c>
      <c r="M174" s="670"/>
      <c r="N174" s="75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92"/>
      <c r="G175" s="792"/>
      <c r="H175" s="792"/>
      <c r="I175" s="792"/>
      <c r="J175" s="800"/>
      <c r="K175" s="556">
        <f>PAAS_openshift_SEK</f>
        <v>0</v>
      </c>
      <c r="M175" s="670"/>
      <c r="N175" s="75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557" t="str">
        <f>PAAS_man.nats_SEK</f>
        <v>Begär offert</v>
      </c>
      <c r="M176" s="670"/>
      <c r="N176" s="75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2"/>
      <c r="G177" s="792"/>
      <c r="H177" s="792"/>
      <c r="I177" s="792"/>
      <c r="J177" s="800"/>
      <c r="K177" s="556" t="str">
        <f>PAAS_man.mariadb_SEK</f>
        <v>Begär offert</v>
      </c>
      <c r="M177" s="670"/>
      <c r="N177" s="75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557" t="s">
        <v>248</v>
      </c>
      <c r="M178" s="670"/>
      <c r="N178" s="758"/>
      <c r="O178" s="8"/>
    </row>
    <row r="179" spans="2:20" ht="25" customHeight="1">
      <c r="B179" s="106"/>
      <c r="C179" s="103"/>
      <c r="D179" s="397"/>
      <c r="E179" s="105"/>
      <c r="F179" s="798"/>
      <c r="G179" s="798"/>
      <c r="H179" s="798"/>
      <c r="I179" s="798"/>
      <c r="J179" s="799"/>
      <c r="K179" s="886"/>
      <c r="M179" s="670"/>
      <c r="N179" s="758"/>
      <c r="O179" s="8"/>
    </row>
    <row r="180" spans="2:20" ht="25" customHeight="1">
      <c r="B180" s="137"/>
      <c r="C180" s="130"/>
      <c r="D180" s="38"/>
      <c r="E180" s="31"/>
      <c r="F180" s="792"/>
      <c r="G180" s="800"/>
      <c r="H180" s="794"/>
      <c r="I180" s="441"/>
      <c r="M180" s="670"/>
    </row>
    <row r="181" spans="2:20" ht="25" customHeight="1">
      <c r="B181" s="417"/>
      <c r="C181" s="26"/>
      <c r="D181" s="26"/>
      <c r="E181" s="26"/>
      <c r="F181" s="777"/>
      <c r="G181" s="778"/>
      <c r="H181" s="26"/>
      <c r="I181" s="756"/>
      <c r="J181" s="756"/>
      <c r="K181" s="875"/>
      <c r="L181" s="758"/>
      <c r="M181" s="670"/>
      <c r="N181" s="682"/>
      <c r="O181" s="682"/>
    </row>
    <row r="182" spans="2:20" s="4" customFormat="1" ht="25" customHeight="1">
      <c r="B182" s="967" t="s">
        <v>244</v>
      </c>
      <c r="C182" s="967"/>
      <c r="D182" s="967"/>
      <c r="E182" s="967"/>
      <c r="F182" s="967"/>
      <c r="G182" s="967"/>
      <c r="H182" s="801"/>
      <c r="J182" s="681"/>
      <c r="K182" s="862"/>
      <c r="M182" s="670"/>
    </row>
    <row r="183" spans="2:20" s="4" customFormat="1" ht="25" customHeight="1">
      <c r="B183" s="967"/>
      <c r="C183" s="967"/>
      <c r="D183" s="967"/>
      <c r="E183" s="967"/>
      <c r="F183" s="967"/>
      <c r="G183" s="967"/>
      <c r="H183" s="801"/>
      <c r="J183" s="681"/>
      <c r="K183" s="862"/>
      <c r="M183" s="670"/>
    </row>
    <row r="184" spans="2:20" s="4" customFormat="1" ht="25" customHeight="1">
      <c r="B184" s="967"/>
      <c r="C184" s="967"/>
      <c r="D184" s="967"/>
      <c r="E184" s="967"/>
      <c r="F184" s="967"/>
      <c r="G184" s="967"/>
      <c r="H184" s="801"/>
      <c r="J184" s="681"/>
      <c r="K184" s="862"/>
      <c r="M184" s="670"/>
    </row>
    <row r="185" spans="2:20" s="4" customFormat="1" ht="25" customHeight="1">
      <c r="B185" s="988" t="s">
        <v>546</v>
      </c>
      <c r="C185" s="988"/>
      <c r="D185" s="988"/>
      <c r="E185" s="988"/>
      <c r="F185" s="988"/>
      <c r="H185" s="801"/>
      <c r="J185" s="681"/>
      <c r="K185" s="862"/>
      <c r="M185" s="670"/>
    </row>
    <row r="186" spans="2:20" s="4" customFormat="1" ht="25" customHeight="1">
      <c r="B186" s="983" t="s">
        <v>420</v>
      </c>
      <c r="C186" s="983"/>
      <c r="D186" s="983"/>
      <c r="E186" s="983"/>
      <c r="F186" s="983"/>
      <c r="G186" s="684"/>
      <c r="H186" s="685"/>
      <c r="I186" s="684"/>
      <c r="J186" s="686"/>
      <c r="K186" s="863"/>
      <c r="L186" s="684"/>
      <c r="M186" s="670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3"/>
      <c r="L187" s="684"/>
      <c r="M187" s="670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7"/>
      <c r="L188" s="13"/>
      <c r="M188" s="670"/>
      <c r="O188" s="758"/>
      <c r="P188" s="758"/>
      <c r="Q188" s="8"/>
      <c r="S188" s="682"/>
      <c r="T188" s="682"/>
    </row>
    <row r="189" spans="2:20" ht="25" customHeight="1">
      <c r="B189" s="630" t="s">
        <v>542</v>
      </c>
      <c r="M189" s="670"/>
    </row>
    <row r="190" spans="2:20" ht="25" customHeight="1">
      <c r="B190" s="470" t="s">
        <v>208</v>
      </c>
      <c r="C190" s="23"/>
      <c r="D190" s="23" t="s">
        <v>220</v>
      </c>
      <c r="E190" s="132"/>
      <c r="F190" s="24"/>
      <c r="G190" s="131"/>
      <c r="H190" s="131"/>
      <c r="I190" s="23" t="s">
        <v>236</v>
      </c>
      <c r="J190" s="23"/>
      <c r="K190" s="614" t="s">
        <v>92</v>
      </c>
      <c r="L190" s="756"/>
      <c r="M190" s="670"/>
      <c r="N190" s="758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421</v>
      </c>
      <c r="E191" s="40"/>
      <c r="F191" s="30"/>
      <c r="G191" s="40"/>
      <c r="H191" s="40"/>
      <c r="I191" s="796" t="s">
        <v>94</v>
      </c>
      <c r="J191" s="796"/>
      <c r="K191" s="557">
        <v>0</v>
      </c>
      <c r="L191" s="756"/>
      <c r="M191" s="670"/>
      <c r="N191" s="758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2"/>
      <c r="G192" s="800"/>
      <c r="H192" s="800"/>
      <c r="I192" s="794" t="s">
        <v>245</v>
      </c>
      <c r="J192" s="794"/>
      <c r="K192" s="556" t="s">
        <v>537</v>
      </c>
      <c r="L192" s="756"/>
      <c r="M192" s="670"/>
      <c r="N192" s="758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1" t="s">
        <v>247</v>
      </c>
      <c r="J193" s="791"/>
      <c r="K193" s="557" t="s">
        <v>248</v>
      </c>
      <c r="L193" s="756"/>
      <c r="M193" s="670"/>
      <c r="N193" s="758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8"/>
      <c r="G194" s="799"/>
      <c r="H194" s="799"/>
      <c r="I194" s="802"/>
      <c r="J194" s="802"/>
      <c r="K194" s="886"/>
      <c r="L194" s="756"/>
      <c r="M194" s="670"/>
      <c r="N194" s="758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2"/>
      <c r="G195" s="800"/>
      <c r="H195" s="800"/>
      <c r="I195" s="794"/>
      <c r="J195" s="794"/>
      <c r="K195" s="556"/>
      <c r="L195" s="756"/>
      <c r="M195" s="670"/>
      <c r="N195" s="758"/>
      <c r="O195" s="8"/>
      <c r="Q195" s="682"/>
      <c r="R195" s="682"/>
    </row>
    <row r="196" spans="2:18" s="653" customFormat="1" ht="25" customHeight="1">
      <c r="B196" s="651" t="s">
        <v>250</v>
      </c>
      <c r="C196" s="909"/>
      <c r="D196" s="909"/>
      <c r="F196" s="909"/>
      <c r="G196" s="909"/>
      <c r="H196" s="909"/>
      <c r="I196" s="910"/>
      <c r="J196" s="910"/>
      <c r="K196" s="715"/>
      <c r="L196" s="911"/>
      <c r="M196" s="670"/>
      <c r="N196" s="913"/>
      <c r="O196" s="914"/>
      <c r="Q196" s="914"/>
      <c r="R196" s="914"/>
    </row>
    <row r="197" spans="2:18" ht="25" customHeight="1">
      <c r="B197" s="630" t="s">
        <v>543</v>
      </c>
      <c r="M197" s="670"/>
    </row>
    <row r="198" spans="2:18" ht="25" customHeight="1">
      <c r="B198" s="470" t="s">
        <v>208</v>
      </c>
      <c r="C198" s="23"/>
      <c r="D198" s="23" t="s">
        <v>220</v>
      </c>
      <c r="E198" s="132"/>
      <c r="F198" s="24"/>
      <c r="G198" s="131"/>
      <c r="H198" s="131"/>
      <c r="I198" s="23" t="s">
        <v>236</v>
      </c>
      <c r="J198" s="23"/>
      <c r="K198" s="614" t="s">
        <v>92</v>
      </c>
      <c r="L198" s="756"/>
      <c r="M198" s="670"/>
      <c r="N198" s="758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1" t="s">
        <v>247</v>
      </c>
      <c r="J199" s="791"/>
      <c r="K199" s="631">
        <f>PS_consult.jun_SEK</f>
        <v>1127</v>
      </c>
      <c r="L199" s="756"/>
      <c r="M199" s="670"/>
      <c r="N199" s="758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2"/>
      <c r="G200" s="800"/>
      <c r="H200" s="800"/>
      <c r="I200" s="794" t="s">
        <v>247</v>
      </c>
      <c r="J200" s="794"/>
      <c r="K200" s="897">
        <f>PS_consult.sen_SEK</f>
        <v>1374</v>
      </c>
      <c r="L200" s="756"/>
      <c r="M200" s="670"/>
      <c r="N200" s="758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1" t="s">
        <v>247</v>
      </c>
      <c r="J201" s="791"/>
      <c r="K201" s="631">
        <f>PS_cloudarch.jun_SEK</f>
        <v>1277</v>
      </c>
      <c r="L201" s="756"/>
      <c r="M201" s="670"/>
      <c r="N201" s="758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0"/>
      <c r="H202" s="800"/>
      <c r="I202" s="794" t="s">
        <v>247</v>
      </c>
      <c r="J202" s="794"/>
      <c r="K202" s="897">
        <f>PS_cloudarch.sen_SEK</f>
        <v>1374</v>
      </c>
      <c r="L202" s="756"/>
      <c r="M202" s="670"/>
      <c r="N202" s="758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1" t="s">
        <v>247</v>
      </c>
      <c r="J203" s="791"/>
      <c r="K203" s="631">
        <f>PS_pm.jun_SEK</f>
        <v>1139</v>
      </c>
      <c r="L203" s="756"/>
      <c r="M203" s="670"/>
      <c r="N203" s="758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2"/>
      <c r="G204" s="800"/>
      <c r="H204" s="800"/>
      <c r="I204" s="794" t="s">
        <v>247</v>
      </c>
      <c r="J204" s="794"/>
      <c r="K204" s="897">
        <f>PS_pm.sen_SEK</f>
        <v>1374</v>
      </c>
      <c r="L204" s="756"/>
      <c r="M204" s="670"/>
      <c r="N204" s="758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8"/>
      <c r="G205" s="799"/>
      <c r="H205" s="799"/>
      <c r="I205" s="802"/>
      <c r="J205" s="802"/>
      <c r="K205" s="886"/>
      <c r="L205" s="756"/>
      <c r="M205" s="670"/>
      <c r="N205" s="758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2"/>
      <c r="G206" s="800"/>
      <c r="H206" s="800"/>
      <c r="I206" s="794"/>
      <c r="J206" s="794"/>
      <c r="K206" s="556"/>
      <c r="M206" s="670"/>
      <c r="N206" s="758"/>
      <c r="O206" s="8"/>
    </row>
    <row r="207" spans="2:18" ht="25" customHeight="1">
      <c r="B207" s="651" t="s">
        <v>251</v>
      </c>
      <c r="C207" s="13"/>
      <c r="D207" s="13"/>
      <c r="F207" s="13"/>
      <c r="G207" s="13"/>
      <c r="H207" s="13"/>
      <c r="I207" s="797"/>
      <c r="J207" s="797"/>
      <c r="L207" s="756"/>
      <c r="M207" s="670"/>
      <c r="N207" s="758"/>
      <c r="O207" s="8"/>
      <c r="Q207" s="682"/>
      <c r="R207" s="682"/>
    </row>
    <row r="208" spans="2:18" ht="25" customHeight="1">
      <c r="B208" s="630" t="s">
        <v>544</v>
      </c>
      <c r="M208" s="670"/>
    </row>
    <row r="209" spans="1:18" ht="25" customHeight="1">
      <c r="B209" s="470" t="s">
        <v>208</v>
      </c>
      <c r="C209" s="23"/>
      <c r="D209" s="23" t="s">
        <v>220</v>
      </c>
      <c r="E209" s="132"/>
      <c r="F209" s="24"/>
      <c r="G209" s="23" t="s">
        <v>252</v>
      </c>
      <c r="H209" s="23"/>
      <c r="I209" s="23" t="s">
        <v>236</v>
      </c>
      <c r="J209" s="23"/>
      <c r="K209" s="614" t="s">
        <v>92</v>
      </c>
      <c r="L209" s="756"/>
      <c r="M209" s="670"/>
      <c r="N209" s="758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253</v>
      </c>
      <c r="E210" s="40"/>
      <c r="F210" s="30"/>
      <c r="G210" s="791" t="s">
        <v>254</v>
      </c>
      <c r="H210" s="791"/>
      <c r="I210" s="791" t="s">
        <v>255</v>
      </c>
      <c r="J210" s="791"/>
      <c r="K210" s="557" t="s">
        <v>248</v>
      </c>
      <c r="L210" s="756"/>
      <c r="M210" s="670"/>
      <c r="N210" s="758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256</v>
      </c>
      <c r="E211" s="31"/>
      <c r="F211" s="792"/>
      <c r="G211" s="794" t="s">
        <v>254</v>
      </c>
      <c r="H211" s="794"/>
      <c r="I211" s="794" t="s">
        <v>255</v>
      </c>
      <c r="J211" s="794"/>
      <c r="K211" s="556" t="s">
        <v>248</v>
      </c>
      <c r="L211" s="756"/>
      <c r="M211" s="670"/>
      <c r="N211" s="758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257</v>
      </c>
      <c r="E212" s="40"/>
      <c r="F212" s="30"/>
      <c r="G212" s="791" t="s">
        <v>258</v>
      </c>
      <c r="H212" s="791"/>
      <c r="I212" s="791" t="s">
        <v>255</v>
      </c>
      <c r="J212" s="791"/>
      <c r="K212" s="557" t="s">
        <v>248</v>
      </c>
      <c r="L212" s="756"/>
      <c r="M212" s="670"/>
      <c r="N212" s="758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259</v>
      </c>
      <c r="E213" s="31"/>
      <c r="F213" s="792"/>
      <c r="G213" s="794" t="s">
        <v>258</v>
      </c>
      <c r="H213" s="794"/>
      <c r="I213" s="794" t="s">
        <v>255</v>
      </c>
      <c r="J213" s="794"/>
      <c r="K213" s="556" t="s">
        <v>248</v>
      </c>
      <c r="L213" s="756"/>
      <c r="M213" s="670"/>
      <c r="N213" s="758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8"/>
      <c r="G214" s="799"/>
      <c r="H214" s="799"/>
      <c r="I214" s="799"/>
      <c r="J214" s="799"/>
      <c r="K214" s="886"/>
      <c r="L214" s="756"/>
      <c r="M214" s="670"/>
      <c r="N214" s="758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7"/>
      <c r="G215" s="778"/>
      <c r="H215" s="756"/>
      <c r="I215" s="756"/>
      <c r="J215" s="756"/>
      <c r="K215" s="876"/>
      <c r="L215" s="758"/>
      <c r="M215" s="670"/>
      <c r="N215" s="682"/>
      <c r="O215" s="682"/>
    </row>
    <row r="216" spans="1:18" ht="25" customHeight="1">
      <c r="A216" s="788"/>
      <c r="B216" s="642"/>
      <c r="C216" s="60"/>
      <c r="D216" s="60"/>
      <c r="E216" s="60"/>
      <c r="F216" s="803"/>
      <c r="G216" s="804"/>
      <c r="H216" s="805"/>
      <c r="I216" s="806"/>
      <c r="J216" s="807"/>
      <c r="K216" s="888"/>
      <c r="L216" s="808"/>
      <c r="M216" s="670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09"/>
      <c r="G217" s="810"/>
      <c r="H217" s="811"/>
      <c r="I217" s="812"/>
      <c r="J217" s="813"/>
      <c r="K217" s="889"/>
      <c r="L217" s="3"/>
      <c r="M217" s="670"/>
    </row>
    <row r="218" spans="1:18" s="4" customFormat="1" ht="25" customHeight="1">
      <c r="A218" s="3"/>
      <c r="B218" s="643"/>
      <c r="C218" s="54"/>
      <c r="D218" s="54"/>
      <c r="E218" s="54"/>
      <c r="F218" s="809"/>
      <c r="G218" s="810"/>
      <c r="H218" s="811"/>
      <c r="I218" s="812"/>
      <c r="J218" s="813"/>
      <c r="K218" s="889"/>
      <c r="L218" s="3"/>
      <c r="M218" s="670"/>
    </row>
    <row r="219" spans="1:18" s="4" customFormat="1" ht="25" customHeight="1">
      <c r="A219" s="3"/>
      <c r="B219" s="643"/>
      <c r="C219" s="54"/>
      <c r="D219" s="54"/>
      <c r="E219" s="54"/>
      <c r="F219" s="809"/>
      <c r="G219" s="810"/>
      <c r="H219" s="811"/>
      <c r="I219" s="812"/>
      <c r="J219" s="813"/>
      <c r="K219" s="889"/>
      <c r="L219" s="3"/>
      <c r="M219" s="670"/>
    </row>
    <row r="220" spans="1:18" s="4" customFormat="1" ht="25" customHeight="1">
      <c r="A220" s="3"/>
      <c r="B220" s="986" t="s">
        <v>260</v>
      </c>
      <c r="C220" s="986"/>
      <c r="D220" s="986"/>
      <c r="E220" s="986"/>
      <c r="F220" s="986"/>
      <c r="G220" s="986"/>
      <c r="H220" s="672"/>
      <c r="I220" s="814"/>
      <c r="J220" s="3"/>
      <c r="K220" s="860"/>
      <c r="L220" s="3"/>
      <c r="M220" s="670"/>
    </row>
    <row r="221" spans="1:18" s="4" customFormat="1" ht="25" customHeight="1">
      <c r="A221" s="3"/>
      <c r="B221" s="986"/>
      <c r="C221" s="986"/>
      <c r="D221" s="986"/>
      <c r="E221" s="986"/>
      <c r="F221" s="986"/>
      <c r="G221" s="986"/>
      <c r="H221" s="672"/>
      <c r="I221" s="814"/>
      <c r="J221" s="3"/>
      <c r="K221" s="860"/>
      <c r="L221" s="3"/>
      <c r="M221" s="670"/>
    </row>
    <row r="222" spans="1:18" s="4" customFormat="1" ht="25" customHeight="1">
      <c r="A222" s="3"/>
      <c r="B222" s="986"/>
      <c r="C222" s="986"/>
      <c r="D222" s="986"/>
      <c r="E222" s="986"/>
      <c r="F222" s="986"/>
      <c r="G222" s="986"/>
      <c r="H222" s="672"/>
      <c r="I222" s="814"/>
      <c r="J222" s="3"/>
      <c r="K222" s="860"/>
      <c r="L222" s="3"/>
      <c r="M222" s="670"/>
    </row>
    <row r="223" spans="1:18" s="4" customFormat="1" ht="25" customHeight="1">
      <c r="A223" s="3"/>
      <c r="B223" s="987" t="s">
        <v>420</v>
      </c>
      <c r="C223" s="987"/>
      <c r="D223" s="987"/>
      <c r="E223" s="987"/>
      <c r="F223" s="987"/>
      <c r="G223" s="3"/>
      <c r="H223" s="672"/>
      <c r="I223" s="814"/>
      <c r="J223" s="3"/>
      <c r="K223" s="860"/>
      <c r="L223" s="815"/>
      <c r="M223" s="670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4"/>
      <c r="J224" s="3"/>
      <c r="K224" s="860"/>
      <c r="L224" s="815"/>
      <c r="M224" s="670"/>
    </row>
    <row r="225" spans="1:20" s="4" customFormat="1" ht="25" customHeight="1">
      <c r="A225" s="3"/>
      <c r="B225" s="422" t="s">
        <v>532</v>
      </c>
      <c r="C225" s="62"/>
      <c r="D225" s="62"/>
      <c r="E225" s="62"/>
      <c r="F225" s="62"/>
      <c r="G225" s="3"/>
      <c r="H225" s="672"/>
      <c r="I225" s="814"/>
      <c r="J225" s="3"/>
      <c r="K225" s="860"/>
      <c r="L225" s="815"/>
      <c r="M225" s="670"/>
    </row>
    <row r="226" spans="1:20" s="4" customFormat="1" ht="25" customHeight="1">
      <c r="A226" s="3"/>
      <c r="B226" s="418" t="s">
        <v>202</v>
      </c>
      <c r="C226" s="62"/>
      <c r="D226" s="62"/>
      <c r="E226" s="62"/>
      <c r="F226" s="62"/>
      <c r="G226" s="3"/>
      <c r="H226" s="672"/>
      <c r="I226" s="3"/>
      <c r="J226" s="673"/>
      <c r="K226" s="860"/>
      <c r="L226" s="815"/>
      <c r="M226" s="670"/>
    </row>
    <row r="227" spans="1:20" s="4" customFormat="1" ht="25" customHeight="1">
      <c r="A227" s="3"/>
      <c r="B227" s="964" t="s">
        <v>3</v>
      </c>
      <c r="C227" s="67"/>
      <c r="D227" s="67"/>
      <c r="E227" s="67"/>
      <c r="F227" s="67"/>
      <c r="G227" s="815"/>
      <c r="H227" s="816"/>
      <c r="I227" s="815"/>
      <c r="J227" s="817"/>
      <c r="K227" s="890"/>
      <c r="L227" s="815"/>
      <c r="M227" s="670"/>
    </row>
    <row r="228" spans="1:20" s="728" customFormat="1" ht="25" customHeight="1">
      <c r="A228" s="818"/>
      <c r="B228" s="915"/>
      <c r="C228" s="135"/>
      <c r="D228" s="135"/>
      <c r="E228" s="135"/>
      <c r="F228" s="135"/>
      <c r="G228" s="815"/>
      <c r="H228" s="816"/>
      <c r="I228" s="815"/>
      <c r="J228" s="817"/>
      <c r="K228" s="890"/>
      <c r="L228" s="818"/>
      <c r="M228" s="670"/>
      <c r="N228" s="819"/>
      <c r="O228" s="745"/>
      <c r="P228" s="745"/>
      <c r="Q228" s="745"/>
      <c r="R228" s="745"/>
      <c r="S228" s="745"/>
      <c r="T228" s="745"/>
    </row>
    <row r="229" spans="1:20" ht="25" customHeight="1">
      <c r="A229" s="2"/>
      <c r="B229" s="644" t="s">
        <v>533</v>
      </c>
      <c r="C229" s="56"/>
      <c r="D229" s="57"/>
      <c r="E229" s="56"/>
      <c r="F229" s="665"/>
      <c r="G229" s="665"/>
      <c r="H229" s="665"/>
      <c r="I229" s="56"/>
      <c r="J229" s="665" t="s">
        <v>260</v>
      </c>
      <c r="K229" s="891"/>
      <c r="L229" s="820"/>
      <c r="M229" s="670"/>
      <c r="N229" s="28"/>
    </row>
    <row r="230" spans="1:20" ht="25" customHeight="1">
      <c r="A230" s="2"/>
      <c r="B230" s="854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1"/>
      <c r="I230" s="822"/>
      <c r="J230" s="666">
        <f>K64+K73+K55+K38+K82</f>
        <v>0</v>
      </c>
      <c r="K230" s="857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Storage"&amp;"     /     "&amp;K93&amp;" TB - Archive"</f>
        <v>0 TB - Storage     /     0 TB - Archive</v>
      </c>
      <c r="D231" s="663"/>
      <c r="E231" s="663"/>
      <c r="F231" s="823"/>
      <c r="G231" s="824"/>
      <c r="H231" s="824"/>
      <c r="I231" s="825"/>
      <c r="J231" s="667">
        <f>K95</f>
        <v>0</v>
      </c>
      <c r="K231" s="857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3"/>
      <c r="G232" s="824"/>
      <c r="H232" s="824"/>
      <c r="I232" s="825"/>
      <c r="J232" s="667">
        <f>K119</f>
        <v>0</v>
      </c>
      <c r="K232" s="857"/>
      <c r="L232" s="2"/>
      <c r="M232" s="670"/>
      <c r="N232" s="28"/>
    </row>
    <row r="233" spans="1:20" s="829" customFormat="1" ht="25" customHeight="1">
      <c r="A233" s="826"/>
      <c r="B233" s="466" t="s">
        <v>442</v>
      </c>
      <c r="C233" s="656" t="str">
        <f>IF(J131=1,"Fullt managerad tjänst - support vardagar 08:00-17:00",IF(J131=3,"Fullt managerad tjänst - support dygnet runt, alla dagar",""))</f>
        <v/>
      </c>
      <c r="D233" s="33"/>
      <c r="E233" s="34"/>
      <c r="F233" s="35"/>
      <c r="G233" s="827"/>
      <c r="H233" s="827"/>
      <c r="I233" s="774"/>
      <c r="J233" s="437">
        <f>K133</f>
        <v>0</v>
      </c>
      <c r="K233" s="857"/>
      <c r="L233" s="826"/>
      <c r="M233" s="670"/>
    </row>
    <row r="234" spans="1:20" s="835" customFormat="1" ht="25" customHeight="1">
      <c r="A234" s="830"/>
      <c r="B234" s="664" t="s">
        <v>222</v>
      </c>
      <c r="C234" s="659"/>
      <c r="D234" s="660"/>
      <c r="E234" s="660"/>
      <c r="F234" s="831"/>
      <c r="G234" s="832"/>
      <c r="H234" s="832"/>
      <c r="I234" s="833"/>
      <c r="J234" s="668">
        <f>SUM(J230:J233)</f>
        <v>0</v>
      </c>
      <c r="K234" s="892"/>
      <c r="L234" s="830"/>
      <c r="M234" s="670"/>
    </row>
    <row r="235" spans="1:20" ht="25" customHeight="1">
      <c r="A235" s="2"/>
      <c r="B235" s="421"/>
      <c r="C235" s="59"/>
      <c r="D235" s="59"/>
      <c r="E235" s="59"/>
      <c r="F235" s="836"/>
      <c r="G235" s="837"/>
      <c r="H235" s="837"/>
      <c r="I235" s="838"/>
      <c r="J235" s="838"/>
      <c r="K235" s="893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5"/>
      <c r="J236" s="750"/>
      <c r="K236" s="857"/>
      <c r="L236" s="2"/>
      <c r="M236" s="670"/>
    </row>
    <row r="237" spans="1:20" ht="25" customHeight="1">
      <c r="A237" s="839"/>
      <c r="B237" s="646"/>
      <c r="C237" s="42"/>
      <c r="D237" s="33"/>
      <c r="E237" s="34"/>
      <c r="F237" s="840"/>
      <c r="G237" s="827"/>
      <c r="H237" s="42"/>
      <c r="I237" s="841"/>
      <c r="J237" s="437"/>
      <c r="K237" s="596"/>
      <c r="L237" s="842"/>
      <c r="M237" s="670"/>
    </row>
    <row r="238" spans="1:20" s="112" customFormat="1" ht="25" customHeight="1">
      <c r="B238" s="647"/>
      <c r="C238" s="108"/>
      <c r="D238" s="109"/>
      <c r="E238" s="110"/>
      <c r="F238" s="843"/>
      <c r="G238" s="844"/>
      <c r="H238" s="108"/>
      <c r="I238" s="845"/>
      <c r="J238" s="846"/>
      <c r="K238" s="894"/>
    </row>
    <row r="239" spans="1:20" s="112" customFormat="1" ht="25" customHeight="1">
      <c r="B239" s="1089" t="s">
        <v>454</v>
      </c>
      <c r="C239" s="108"/>
      <c r="D239" s="108"/>
      <c r="E239" s="108"/>
      <c r="F239" s="847"/>
      <c r="G239" s="848"/>
      <c r="H239" s="849"/>
      <c r="I239" s="849"/>
      <c r="J239" s="849"/>
      <c r="K239" s="895"/>
      <c r="L239" s="846"/>
      <c r="M239" s="846"/>
      <c r="N239" s="846"/>
    </row>
    <row r="240" spans="1:20" s="112" customFormat="1" ht="25" customHeight="1">
      <c r="B240" s="1090" t="s">
        <v>455</v>
      </c>
      <c r="C240" s="108"/>
      <c r="D240" s="108"/>
      <c r="E240" s="108"/>
      <c r="F240" s="847"/>
      <c r="G240" s="848"/>
      <c r="H240" s="849"/>
      <c r="I240" s="849"/>
      <c r="J240" s="849"/>
      <c r="K240" s="895"/>
      <c r="L240" s="846"/>
      <c r="M240" s="846"/>
      <c r="N240" s="846"/>
    </row>
    <row r="241" spans="1:23" s="112" customFormat="1" ht="25" customHeight="1">
      <c r="B241" s="1091" t="s">
        <v>456</v>
      </c>
      <c r="C241" s="108"/>
      <c r="D241" s="108"/>
      <c r="E241" s="108"/>
      <c r="F241" s="847"/>
      <c r="G241" s="848"/>
      <c r="H241" s="849"/>
      <c r="I241" s="849"/>
      <c r="J241" s="849"/>
      <c r="K241" s="895"/>
      <c r="L241" s="846"/>
      <c r="M241" s="846"/>
      <c r="N241" s="846"/>
    </row>
    <row r="242" spans="1:23" s="112" customFormat="1" ht="25" customHeight="1">
      <c r="B242" s="1090" t="s">
        <v>457</v>
      </c>
      <c r="C242" s="108"/>
      <c r="D242" s="108"/>
      <c r="E242" s="108"/>
      <c r="F242" s="847"/>
      <c r="G242" s="848"/>
      <c r="H242" s="849"/>
      <c r="I242" s="849"/>
      <c r="J242" s="849"/>
      <c r="K242" s="895"/>
      <c r="L242" s="846"/>
      <c r="M242" s="846"/>
      <c r="N242" s="846"/>
    </row>
    <row r="243" spans="1:23" s="112" customFormat="1" ht="25" customHeight="1">
      <c r="B243" s="1092" t="s">
        <v>674</v>
      </c>
      <c r="C243" s="108"/>
      <c r="D243" s="108"/>
      <c r="E243" s="108"/>
      <c r="F243" s="847"/>
      <c r="G243" s="848"/>
      <c r="H243" s="849"/>
      <c r="I243" s="849"/>
      <c r="J243" s="849"/>
      <c r="K243" s="895"/>
      <c r="L243" s="846"/>
      <c r="M243" s="846"/>
      <c r="N243" s="846"/>
    </row>
    <row r="244" spans="1:23" s="112" customFormat="1" ht="25" customHeight="1">
      <c r="B244" s="1093"/>
      <c r="C244" s="108"/>
      <c r="D244" s="108"/>
      <c r="E244" s="108"/>
      <c r="F244" s="847"/>
      <c r="G244" s="848"/>
      <c r="H244" s="849"/>
      <c r="I244" s="849"/>
      <c r="J244" s="849"/>
      <c r="K244" s="895"/>
      <c r="L244" s="846"/>
      <c r="M244" s="846"/>
      <c r="N244" s="846"/>
    </row>
    <row r="245" spans="1:23" s="112" customFormat="1" ht="25" customHeight="1">
      <c r="B245" s="647"/>
      <c r="C245" s="108"/>
      <c r="D245" s="108"/>
      <c r="E245" s="108"/>
      <c r="F245" s="847"/>
      <c r="G245" s="848"/>
      <c r="H245" s="849"/>
      <c r="I245" s="849"/>
      <c r="J245" s="849"/>
      <c r="K245" s="895"/>
      <c r="L245" s="846"/>
      <c r="M245" s="846"/>
      <c r="N245" s="846"/>
    </row>
    <row r="246" spans="1:23" s="112" customFormat="1" ht="25" customHeight="1">
      <c r="B246" s="647"/>
      <c r="C246" s="108"/>
      <c r="D246" s="108"/>
      <c r="E246" s="108"/>
      <c r="F246" s="847"/>
      <c r="G246" s="848"/>
      <c r="H246" s="849"/>
      <c r="I246" s="849"/>
      <c r="J246" s="849"/>
      <c r="K246" s="895"/>
      <c r="L246" s="846"/>
      <c r="M246" s="846"/>
      <c r="N246" s="846"/>
    </row>
    <row r="247" spans="1:23" s="112" customFormat="1" ht="25" customHeight="1">
      <c r="B247" s="647"/>
      <c r="C247" s="108"/>
      <c r="D247" s="108"/>
      <c r="E247" s="108"/>
      <c r="F247" s="847"/>
      <c r="G247" s="848"/>
      <c r="H247" s="849"/>
      <c r="I247" s="849"/>
      <c r="J247" s="849"/>
      <c r="K247" s="895"/>
      <c r="L247" s="846"/>
      <c r="M247" s="846"/>
      <c r="N247" s="846"/>
    </row>
    <row r="248" spans="1:23" s="850" customFormat="1" ht="25" customHeight="1">
      <c r="A248" s="112"/>
      <c r="B248" s="647"/>
      <c r="C248" s="108"/>
      <c r="D248" s="108"/>
      <c r="E248" s="108"/>
      <c r="F248" s="847"/>
      <c r="G248" s="848"/>
      <c r="H248" s="849"/>
      <c r="I248" s="849"/>
      <c r="J248" s="849"/>
      <c r="K248" s="895"/>
      <c r="L248" s="846"/>
      <c r="M248" s="846"/>
      <c r="N248" s="846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7"/>
      <c r="G249" s="848"/>
      <c r="H249" s="849"/>
      <c r="I249" s="849"/>
      <c r="J249" s="849"/>
      <c r="K249" s="895"/>
      <c r="L249" s="846"/>
      <c r="M249" s="846"/>
      <c r="N249" s="846"/>
    </row>
    <row r="250" spans="1:23" s="112" customFormat="1" ht="25" customHeight="1">
      <c r="B250" s="647"/>
      <c r="C250" s="108"/>
      <c r="D250" s="108"/>
      <c r="E250" s="108"/>
      <c r="F250" s="847"/>
      <c r="G250" s="848"/>
      <c r="H250" s="849"/>
      <c r="I250" s="849"/>
      <c r="J250" s="849"/>
      <c r="K250" s="895"/>
      <c r="L250" s="846"/>
      <c r="M250" s="846"/>
      <c r="N250" s="846"/>
    </row>
    <row r="251" spans="1:23" s="112" customFormat="1" ht="25" customHeight="1">
      <c r="B251" s="647"/>
      <c r="C251" s="108"/>
      <c r="D251" s="108"/>
      <c r="E251" s="108"/>
      <c r="F251" s="847"/>
      <c r="G251" s="848"/>
      <c r="H251" s="849"/>
      <c r="I251" s="849"/>
      <c r="J251" s="849"/>
      <c r="K251" s="895"/>
      <c r="L251" s="846"/>
      <c r="M251" s="846"/>
      <c r="N251" s="846"/>
    </row>
    <row r="252" spans="1:23" s="112" customFormat="1" ht="25" customHeight="1">
      <c r="B252" s="647"/>
      <c r="C252" s="108"/>
      <c r="D252" s="108"/>
      <c r="E252" s="108"/>
      <c r="F252" s="847"/>
      <c r="G252" s="848"/>
      <c r="H252" s="849"/>
      <c r="I252" s="849"/>
      <c r="J252" s="849"/>
      <c r="K252" s="895"/>
      <c r="L252" s="846"/>
      <c r="M252" s="846"/>
      <c r="N252" s="846"/>
    </row>
    <row r="253" spans="1:23" s="112" customFormat="1" ht="25" customHeight="1">
      <c r="B253" s="647"/>
      <c r="C253" s="108"/>
      <c r="D253" s="108"/>
      <c r="E253" s="108"/>
      <c r="F253" s="847"/>
      <c r="G253" s="848"/>
      <c r="H253" s="849"/>
      <c r="I253" s="849"/>
      <c r="J253" s="849"/>
      <c r="K253" s="895"/>
      <c r="L253" s="846"/>
      <c r="M253" s="846"/>
      <c r="N253" s="846"/>
    </row>
    <row r="254" spans="1:23" s="112" customFormat="1" ht="25" customHeight="1">
      <c r="B254" s="647"/>
      <c r="C254" s="108"/>
      <c r="D254" s="108"/>
      <c r="E254" s="108"/>
      <c r="F254" s="847"/>
      <c r="G254" s="848"/>
      <c r="H254" s="849"/>
      <c r="I254" s="849"/>
      <c r="J254" s="849"/>
      <c r="K254" s="895"/>
      <c r="L254" s="846"/>
      <c r="M254" s="846"/>
      <c r="N254" s="846"/>
    </row>
    <row r="255" spans="1:23" s="112" customFormat="1" ht="25" customHeight="1">
      <c r="B255" s="647"/>
      <c r="C255" s="108"/>
      <c r="D255" s="108"/>
      <c r="E255" s="108"/>
      <c r="F255" s="847"/>
      <c r="G255" s="848"/>
      <c r="H255" s="849"/>
      <c r="I255" s="849"/>
      <c r="J255" s="849"/>
      <c r="K255" s="895"/>
      <c r="L255" s="846"/>
      <c r="M255" s="846"/>
      <c r="N255" s="846"/>
    </row>
    <row r="256" spans="1:23" s="112" customFormat="1" ht="25" customHeight="1">
      <c r="B256" s="647"/>
      <c r="C256" s="108"/>
      <c r="D256" s="108"/>
      <c r="E256" s="108"/>
      <c r="F256" s="847"/>
      <c r="G256" s="848"/>
      <c r="H256" s="849"/>
      <c r="I256" s="849"/>
      <c r="J256" s="849"/>
      <c r="K256" s="895"/>
      <c r="L256" s="846"/>
      <c r="M256" s="846"/>
      <c r="N256" s="846"/>
    </row>
    <row r="257" spans="2:14" s="112" customFormat="1" ht="25" customHeight="1">
      <c r="B257" s="647"/>
      <c r="C257" s="108"/>
      <c r="D257" s="108"/>
      <c r="E257" s="108"/>
      <c r="F257" s="847"/>
      <c r="G257" s="848"/>
      <c r="H257" s="849"/>
      <c r="I257" s="849"/>
      <c r="J257" s="849"/>
      <c r="K257" s="895"/>
      <c r="L257" s="846"/>
      <c r="M257" s="846"/>
      <c r="N257" s="846"/>
    </row>
    <row r="258" spans="2:14" s="112" customFormat="1" ht="25" customHeight="1">
      <c r="B258" s="647"/>
      <c r="C258" s="108"/>
      <c r="D258" s="108"/>
      <c r="E258" s="108"/>
      <c r="F258" s="847"/>
      <c r="G258" s="848"/>
      <c r="H258" s="849"/>
      <c r="I258" s="849"/>
      <c r="J258" s="849"/>
      <c r="K258" s="895"/>
      <c r="L258" s="846"/>
      <c r="M258" s="846"/>
      <c r="N258" s="846"/>
    </row>
    <row r="259" spans="2:14" s="112" customFormat="1" ht="25" customHeight="1">
      <c r="B259" s="647"/>
      <c r="C259" s="108"/>
      <c r="D259" s="108"/>
      <c r="E259" s="108"/>
      <c r="F259" s="847"/>
      <c r="G259" s="848"/>
      <c r="H259" s="849"/>
      <c r="I259" s="849"/>
      <c r="J259" s="849"/>
      <c r="K259" s="895"/>
      <c r="L259" s="846"/>
      <c r="M259" s="846"/>
      <c r="N259" s="846"/>
    </row>
    <row r="260" spans="2:14" s="112" customFormat="1" ht="25" customHeight="1">
      <c r="B260" s="647"/>
      <c r="C260" s="108"/>
      <c r="D260" s="108"/>
      <c r="E260" s="108"/>
      <c r="F260" s="847"/>
      <c r="G260" s="848"/>
      <c r="H260" s="849"/>
      <c r="I260" s="849"/>
      <c r="J260" s="849"/>
      <c r="K260" s="895"/>
      <c r="L260" s="846"/>
      <c r="M260" s="846"/>
      <c r="N260" s="846"/>
    </row>
    <row r="261" spans="2:14" s="112" customFormat="1" ht="25" customHeight="1">
      <c r="B261" s="647"/>
      <c r="C261" s="108"/>
      <c r="D261" s="108"/>
      <c r="E261" s="108"/>
      <c r="F261" s="847"/>
      <c r="G261" s="848"/>
      <c r="H261" s="849"/>
      <c r="I261" s="849"/>
      <c r="J261" s="849"/>
      <c r="K261" s="895"/>
      <c r="L261" s="846"/>
      <c r="M261" s="846"/>
      <c r="N261" s="846"/>
    </row>
    <row r="262" spans="2:14" s="112" customFormat="1" ht="25" customHeight="1">
      <c r="B262" s="647"/>
      <c r="C262" s="108"/>
      <c r="D262" s="108"/>
      <c r="E262" s="108"/>
      <c r="F262" s="847"/>
      <c r="G262" s="848"/>
      <c r="H262" s="849"/>
      <c r="I262" s="849"/>
      <c r="J262" s="849"/>
      <c r="K262" s="895"/>
      <c r="L262" s="846"/>
      <c r="M262" s="846"/>
      <c r="N262" s="846"/>
    </row>
    <row r="263" spans="2:14" s="112" customFormat="1" ht="25" customHeight="1">
      <c r="B263" s="647"/>
      <c r="C263" s="108"/>
      <c r="D263" s="108"/>
      <c r="E263" s="108"/>
      <c r="F263" s="847"/>
      <c r="G263" s="848"/>
      <c r="H263" s="849"/>
      <c r="I263" s="849"/>
      <c r="J263" s="849"/>
      <c r="K263" s="895"/>
      <c r="L263" s="846"/>
      <c r="M263" s="846"/>
      <c r="N263" s="846"/>
    </row>
    <row r="264" spans="2:14" s="112" customFormat="1" ht="25" customHeight="1">
      <c r="B264" s="647"/>
      <c r="C264" s="108"/>
      <c r="D264" s="108"/>
      <c r="E264" s="108"/>
      <c r="F264" s="847"/>
      <c r="G264" s="848"/>
      <c r="H264" s="849"/>
      <c r="I264" s="849"/>
      <c r="J264" s="849"/>
      <c r="K264" s="895"/>
      <c r="L264" s="846"/>
      <c r="M264" s="846"/>
      <c r="N264" s="846"/>
    </row>
    <row r="265" spans="2:14" s="112" customFormat="1" ht="25" customHeight="1">
      <c r="B265" s="647"/>
      <c r="C265" s="108"/>
      <c r="D265" s="108"/>
      <c r="E265" s="108"/>
      <c r="F265" s="847"/>
      <c r="G265" s="848"/>
      <c r="H265" s="849"/>
      <c r="I265" s="849"/>
      <c r="J265" s="849"/>
      <c r="K265" s="895"/>
      <c r="L265" s="846"/>
      <c r="M265" s="846"/>
      <c r="N265" s="846"/>
    </row>
    <row r="266" spans="2:14" s="112" customFormat="1" ht="25" customHeight="1">
      <c r="B266" s="647"/>
      <c r="C266" s="108"/>
      <c r="D266" s="108"/>
      <c r="E266" s="108"/>
      <c r="F266" s="847"/>
      <c r="G266" s="848"/>
      <c r="H266" s="849"/>
      <c r="I266" s="849"/>
      <c r="J266" s="849"/>
      <c r="K266" s="895"/>
      <c r="L266" s="846"/>
      <c r="M266" s="846"/>
      <c r="N266" s="846"/>
    </row>
    <row r="267" spans="2:14" s="112" customFormat="1" ht="25" customHeight="1">
      <c r="B267" s="647"/>
      <c r="C267" s="108"/>
      <c r="D267" s="108"/>
      <c r="E267" s="108"/>
      <c r="F267" s="847"/>
      <c r="G267" s="848"/>
      <c r="H267" s="849"/>
      <c r="I267" s="849"/>
      <c r="J267" s="849"/>
      <c r="K267" s="895"/>
      <c r="L267" s="846"/>
      <c r="M267" s="846"/>
      <c r="N267" s="846"/>
    </row>
    <row r="268" spans="2:14" s="112" customFormat="1" ht="25" customHeight="1">
      <c r="B268" s="648"/>
      <c r="K268" s="895"/>
      <c r="M268" s="851"/>
    </row>
    <row r="269" spans="2:14" s="112" customFormat="1" ht="25" customHeight="1">
      <c r="B269" s="648"/>
      <c r="K269" s="895"/>
      <c r="M269" s="851"/>
    </row>
    <row r="270" spans="2:14" s="112" customFormat="1" ht="25" customHeight="1">
      <c r="B270" s="648"/>
      <c r="K270" s="895"/>
      <c r="M270" s="851"/>
    </row>
    <row r="271" spans="2:14" s="112" customFormat="1" ht="25" customHeight="1">
      <c r="B271" s="648"/>
      <c r="K271" s="895"/>
      <c r="M271" s="851"/>
    </row>
    <row r="272" spans="2:14" s="112" customFormat="1" ht="25" customHeight="1">
      <c r="B272" s="648"/>
      <c r="K272" s="895"/>
      <c r="M272" s="851"/>
    </row>
    <row r="273" spans="2:13" s="112" customFormat="1" ht="25" customHeight="1">
      <c r="B273" s="648"/>
      <c r="K273" s="895"/>
      <c r="M273" s="851"/>
    </row>
    <row r="274" spans="2:13" s="112" customFormat="1" ht="25" customHeight="1">
      <c r="B274" s="648"/>
      <c r="K274" s="895"/>
      <c r="M274" s="851"/>
    </row>
    <row r="275" spans="2:13" s="112" customFormat="1" ht="25" customHeight="1">
      <c r="B275" s="648"/>
      <c r="K275" s="895"/>
      <c r="M275" s="851"/>
    </row>
    <row r="276" spans="2:13" s="112" customFormat="1" ht="25" customHeight="1">
      <c r="B276" s="648"/>
      <c r="K276" s="895"/>
      <c r="M276" s="851"/>
    </row>
    <row r="277" spans="2:13" s="112" customFormat="1" ht="25" customHeight="1">
      <c r="B277" s="648"/>
      <c r="K277" s="895"/>
      <c r="M277" s="851"/>
    </row>
    <row r="278" spans="2:13" s="112" customFormat="1" ht="25" customHeight="1">
      <c r="B278" s="648"/>
      <c r="K278" s="895"/>
      <c r="M278" s="851"/>
    </row>
    <row r="279" spans="2:13" s="112" customFormat="1" ht="25" customHeight="1">
      <c r="B279" s="648"/>
      <c r="K279" s="895"/>
      <c r="M279" s="851"/>
    </row>
    <row r="280" spans="2:13" s="112" customFormat="1" ht="25" customHeight="1">
      <c r="B280" s="648"/>
      <c r="K280" s="895"/>
      <c r="M280" s="851"/>
    </row>
    <row r="281" spans="2:13" s="112" customFormat="1" ht="25" customHeight="1">
      <c r="B281" s="648"/>
      <c r="K281" s="895"/>
      <c r="M281" s="851"/>
    </row>
    <row r="282" spans="2:13" s="112" customFormat="1" ht="25" customHeight="1">
      <c r="B282" s="648"/>
      <c r="K282" s="895"/>
      <c r="M282" s="851"/>
    </row>
    <row r="283" spans="2:13" s="112" customFormat="1" ht="25" customHeight="1">
      <c r="B283" s="648"/>
      <c r="K283" s="895"/>
      <c r="M283" s="851"/>
    </row>
    <row r="284" spans="2:13" s="112" customFormat="1" ht="25" customHeight="1">
      <c r="B284" s="648"/>
      <c r="K284" s="895"/>
      <c r="M284" s="851"/>
    </row>
    <row r="285" spans="2:13" s="112" customFormat="1" ht="25" customHeight="1">
      <c r="B285" s="648"/>
      <c r="K285" s="895"/>
      <c r="M285" s="851"/>
    </row>
    <row r="286" spans="2:13" s="112" customFormat="1" ht="25" customHeight="1">
      <c r="B286" s="648"/>
      <c r="K286" s="895"/>
      <c r="M286" s="851"/>
    </row>
    <row r="287" spans="2:13" s="112" customFormat="1" ht="25" customHeight="1">
      <c r="B287" s="648"/>
      <c r="K287" s="895"/>
      <c r="M287" s="851"/>
    </row>
    <row r="288" spans="2:13" s="112" customFormat="1" ht="25" customHeight="1">
      <c r="B288" s="648"/>
      <c r="K288" s="895"/>
      <c r="M288" s="851"/>
    </row>
    <row r="289" spans="2:13" s="112" customFormat="1" ht="25" customHeight="1">
      <c r="B289" s="648"/>
      <c r="K289" s="895"/>
      <c r="M289" s="851"/>
    </row>
    <row r="290" spans="2:13" s="112" customFormat="1" ht="25" customHeight="1">
      <c r="B290" s="648"/>
      <c r="K290" s="895"/>
      <c r="M290" s="851"/>
    </row>
    <row r="291" spans="2:13" s="112" customFormat="1" ht="25" customHeight="1">
      <c r="B291" s="648"/>
      <c r="K291" s="895"/>
      <c r="M291" s="851"/>
    </row>
    <row r="292" spans="2:13" s="112" customFormat="1" ht="25" customHeight="1">
      <c r="B292" s="648"/>
      <c r="K292" s="895"/>
      <c r="M292" s="851"/>
    </row>
    <row r="293" spans="2:13" s="112" customFormat="1" ht="25" customHeight="1">
      <c r="B293" s="648"/>
      <c r="K293" s="895"/>
      <c r="M293" s="851"/>
    </row>
    <row r="294" spans="2:13" s="112" customFormat="1" ht="25" customHeight="1">
      <c r="B294" s="648"/>
      <c r="K294" s="895"/>
      <c r="M294" s="851"/>
    </row>
    <row r="295" spans="2:13" s="112" customFormat="1" ht="25" customHeight="1">
      <c r="B295" s="648"/>
      <c r="K295" s="895"/>
      <c r="M295" s="851"/>
    </row>
    <row r="296" spans="2:13" s="112" customFormat="1" ht="25" customHeight="1">
      <c r="B296" s="648"/>
      <c r="K296" s="895"/>
      <c r="M296" s="851"/>
    </row>
    <row r="297" spans="2:13" s="112" customFormat="1" ht="25" customHeight="1">
      <c r="B297" s="648"/>
      <c r="K297" s="895"/>
      <c r="M297" s="851"/>
    </row>
    <row r="298" spans="2:13" s="112" customFormat="1" ht="25" customHeight="1">
      <c r="B298" s="648"/>
      <c r="K298" s="895"/>
      <c r="M298" s="851"/>
    </row>
    <row r="299" spans="2:13" s="112" customFormat="1" ht="25" customHeight="1">
      <c r="B299" s="648"/>
      <c r="K299" s="895"/>
      <c r="M299" s="851"/>
    </row>
    <row r="300" spans="2:13" s="112" customFormat="1" ht="25" customHeight="1">
      <c r="B300" s="648"/>
      <c r="K300" s="895"/>
      <c r="M300" s="851"/>
    </row>
    <row r="301" spans="2:13" s="112" customFormat="1" ht="25" customHeight="1">
      <c r="B301" s="648"/>
      <c r="K301" s="895"/>
      <c r="M301" s="851"/>
    </row>
    <row r="302" spans="2:13" s="112" customFormat="1" ht="25" customHeight="1">
      <c r="B302" s="648"/>
      <c r="K302" s="895"/>
      <c r="M302" s="851"/>
    </row>
    <row r="303" spans="2:13" s="112" customFormat="1" ht="25" customHeight="1">
      <c r="B303" s="648"/>
      <c r="K303" s="895"/>
      <c r="M303" s="851"/>
    </row>
    <row r="304" spans="2:13" s="112" customFormat="1" ht="25" customHeight="1">
      <c r="B304" s="648"/>
      <c r="K304" s="895"/>
      <c r="M304" s="851"/>
    </row>
    <row r="305" spans="2:13" s="112" customFormat="1" ht="25" customHeight="1">
      <c r="B305" s="648"/>
      <c r="K305" s="895"/>
      <c r="M305" s="851"/>
    </row>
    <row r="306" spans="2:13" s="112" customFormat="1" ht="25" customHeight="1">
      <c r="B306" s="648"/>
      <c r="K306" s="895"/>
      <c r="M306" s="851"/>
    </row>
    <row r="307" spans="2:13" s="112" customFormat="1" ht="25" customHeight="1">
      <c r="B307" s="648"/>
      <c r="K307" s="895"/>
      <c r="M307" s="851"/>
    </row>
    <row r="308" spans="2:13" s="112" customFormat="1" ht="25" customHeight="1">
      <c r="B308" s="648"/>
      <c r="K308" s="895"/>
      <c r="M308" s="851"/>
    </row>
    <row r="309" spans="2:13" s="112" customFormat="1" ht="25" customHeight="1">
      <c r="B309" s="648"/>
      <c r="K309" s="895"/>
      <c r="M309" s="851"/>
    </row>
    <row r="310" spans="2:13" s="112" customFormat="1" ht="25" customHeight="1">
      <c r="B310" s="648"/>
      <c r="K310" s="895"/>
      <c r="M310" s="851"/>
    </row>
    <row r="311" spans="2:13" s="112" customFormat="1" ht="25" customHeight="1">
      <c r="B311" s="648"/>
      <c r="K311" s="895"/>
      <c r="M311" s="851"/>
    </row>
    <row r="312" spans="2:13" s="112" customFormat="1" ht="25" customHeight="1">
      <c r="B312" s="648"/>
      <c r="K312" s="895"/>
      <c r="M312" s="851"/>
    </row>
    <row r="313" spans="2:13" s="112" customFormat="1" ht="25" customHeight="1">
      <c r="B313" s="648"/>
      <c r="K313" s="895"/>
      <c r="M313" s="851"/>
    </row>
    <row r="314" spans="2:13" s="112" customFormat="1" ht="25" customHeight="1">
      <c r="B314" s="648"/>
      <c r="K314" s="895"/>
      <c r="M314" s="851"/>
    </row>
    <row r="315" spans="2:13" s="112" customFormat="1" ht="25" customHeight="1">
      <c r="B315" s="648"/>
      <c r="K315" s="895"/>
      <c r="M315" s="851"/>
    </row>
    <row r="316" spans="2:13" s="112" customFormat="1" ht="25" customHeight="1">
      <c r="B316" s="648"/>
      <c r="K316" s="895"/>
      <c r="M316" s="851"/>
    </row>
    <row r="317" spans="2:13" s="112" customFormat="1" ht="25" customHeight="1">
      <c r="B317" s="648"/>
      <c r="K317" s="895"/>
      <c r="M317" s="851"/>
    </row>
    <row r="318" spans="2:13" s="112" customFormat="1" ht="25" customHeight="1">
      <c r="B318" s="648"/>
      <c r="K318" s="895"/>
      <c r="M318" s="851"/>
    </row>
    <row r="330" spans="2:4" ht="25" customHeight="1">
      <c r="B330" s="649"/>
      <c r="C330" s="38"/>
      <c r="D330" s="96"/>
    </row>
  </sheetData>
  <sheetProtection algorithmName="SHA-512" hashValue="OGfd0cyYOwjp2S3FNYEDHr5AUYJ4uq6RKZVM0m2S0LevaDOaSWkzoXI9ieX+S+F492j1XK7sdwdwPRT8SajHrQ==" saltValue="lZIg0sI0Evw6AwopiQ68LA==" spinCount="100000" sheet="1" objects="1" scenarios="1" selectLockedCells="1"/>
  <mergeCells count="43">
    <mergeCell ref="B220:G222"/>
    <mergeCell ref="B223:F223"/>
    <mergeCell ref="B137:G139"/>
    <mergeCell ref="B182:G184"/>
    <mergeCell ref="B185:F185"/>
    <mergeCell ref="B186:F186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27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0"/>
  <sheetViews>
    <sheetView showGridLines="0" tabSelected="1" zoomScaleNormal="100" zoomScaleSheetLayoutView="100" workbookViewId="0">
      <selection activeCell="B24" sqref="B24:F24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5" customWidth="1"/>
    <col min="12" max="12" width="14.83203125" style="1" customWidth="1"/>
    <col min="13" max="13" width="14.83203125" style="852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59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59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59"/>
      <c r="L3" s="669"/>
      <c r="M3" s="670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59"/>
      <c r="L4" s="669"/>
      <c r="M4" s="670"/>
    </row>
    <row r="5" spans="1:26" ht="25" customHeight="1">
      <c r="A5" s="2"/>
      <c r="B5" s="633" t="s">
        <v>672</v>
      </c>
      <c r="C5" s="65"/>
      <c r="D5" s="2"/>
      <c r="E5" s="2"/>
      <c r="F5" s="2"/>
      <c r="G5" s="2"/>
      <c r="H5" s="2"/>
      <c r="I5" s="2"/>
      <c r="J5" s="2"/>
      <c r="K5" s="859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59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59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59"/>
      <c r="L8" s="669"/>
      <c r="M8" s="670"/>
    </row>
    <row r="9" spans="1:26" ht="25" customHeight="1">
      <c r="A9" s="2"/>
      <c r="B9" s="418" t="s">
        <v>656</v>
      </c>
      <c r="C9" s="61"/>
      <c r="D9" s="2"/>
      <c r="E9" s="2"/>
      <c r="F9" s="2"/>
      <c r="G9" s="2"/>
      <c r="H9" s="2"/>
      <c r="I9" s="2"/>
      <c r="J9" s="2"/>
      <c r="K9" s="859"/>
      <c r="L9" s="669"/>
      <c r="M9" s="670"/>
    </row>
    <row r="10" spans="1:26" ht="25" customHeight="1">
      <c r="A10" s="2"/>
      <c r="B10" s="964" t="s">
        <v>3</v>
      </c>
      <c r="C10" s="402"/>
      <c r="D10" s="2"/>
      <c r="E10" s="2"/>
      <c r="F10" s="2"/>
      <c r="G10" s="2"/>
      <c r="H10" s="2"/>
      <c r="I10" s="2"/>
      <c r="J10" s="2"/>
      <c r="K10" s="859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0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1"/>
      <c r="L12" s="677"/>
      <c r="M12" s="670"/>
    </row>
    <row r="13" spans="1:26" s="4" customFormat="1" ht="25" customHeight="1">
      <c r="B13" s="638"/>
      <c r="G13" s="678"/>
      <c r="H13" s="678"/>
      <c r="I13" s="679"/>
      <c r="K13" s="862"/>
      <c r="L13" s="680"/>
      <c r="M13" s="670"/>
    </row>
    <row r="14" spans="1:26" s="4" customFormat="1" ht="25" customHeight="1">
      <c r="B14" s="638"/>
      <c r="G14" s="678"/>
      <c r="H14" s="678"/>
      <c r="I14" s="679"/>
      <c r="K14" s="862"/>
      <c r="L14" s="680"/>
      <c r="M14" s="670"/>
    </row>
    <row r="15" spans="1:26" s="4" customFormat="1" ht="25" customHeight="1">
      <c r="B15" s="967" t="s">
        <v>668</v>
      </c>
      <c r="C15" s="967"/>
      <c r="D15" s="967"/>
      <c r="E15" s="967"/>
      <c r="F15" s="967"/>
      <c r="G15" s="967"/>
      <c r="H15" s="679"/>
      <c r="J15" s="681"/>
      <c r="K15" s="862"/>
      <c r="L15" s="680"/>
      <c r="M15" s="670"/>
      <c r="S15" s="682"/>
      <c r="X15" s="682"/>
      <c r="Y15" s="682"/>
      <c r="Z15" s="682"/>
    </row>
    <row r="16" spans="1:26" s="4" customFormat="1" ht="25" customHeight="1">
      <c r="B16" s="967"/>
      <c r="C16" s="967"/>
      <c r="D16" s="967"/>
      <c r="E16" s="967"/>
      <c r="F16" s="967"/>
      <c r="G16" s="967"/>
      <c r="H16" s="679"/>
      <c r="J16" s="681"/>
      <c r="K16" s="862"/>
      <c r="L16" s="680"/>
      <c r="M16" s="670"/>
      <c r="S16" s="682"/>
      <c r="X16" s="682"/>
      <c r="Y16" s="682"/>
      <c r="Z16" s="682"/>
    </row>
    <row r="17" spans="2:26" s="4" customFormat="1" ht="25" customHeight="1">
      <c r="B17" s="967"/>
      <c r="C17" s="967"/>
      <c r="D17" s="967"/>
      <c r="E17" s="967"/>
      <c r="F17" s="967"/>
      <c r="G17" s="967"/>
      <c r="H17" s="679"/>
      <c r="J17" s="681"/>
      <c r="K17" s="862"/>
      <c r="L17" s="680"/>
      <c r="M17" s="670"/>
      <c r="S17" s="682"/>
      <c r="X17" s="682"/>
      <c r="Y17" s="682"/>
      <c r="Z17" s="682"/>
    </row>
    <row r="18" spans="2:26" s="4" customFormat="1" ht="25" customHeight="1">
      <c r="B18" s="551" t="s">
        <v>549</v>
      </c>
      <c r="C18" s="683"/>
      <c r="D18" s="683"/>
      <c r="E18" s="683"/>
      <c r="F18" s="683"/>
      <c r="H18" s="679"/>
      <c r="J18" s="681"/>
      <c r="K18" s="862"/>
      <c r="L18" s="680"/>
      <c r="M18" s="670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4"/>
      <c r="H19" s="685"/>
      <c r="J19" s="686"/>
      <c r="K19" s="863"/>
      <c r="L19" s="687"/>
      <c r="M19" s="670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4"/>
      <c r="H20" s="685"/>
      <c r="I20" s="684"/>
      <c r="J20" s="686"/>
      <c r="K20" s="863"/>
      <c r="L20" s="763"/>
      <c r="M20" s="670"/>
      <c r="O20" s="682"/>
      <c r="P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3"/>
      <c r="L21" s="687"/>
      <c r="M21" s="670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3"/>
      <c r="L22" s="687"/>
      <c r="M22" s="670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90"/>
      <c r="J23" s="690"/>
      <c r="K23" s="864"/>
      <c r="M23" s="670"/>
      <c r="P23" s="693"/>
      <c r="Q23" s="693"/>
      <c r="R23" s="694"/>
    </row>
    <row r="24" spans="2:26" ht="25" customHeight="1">
      <c r="B24" s="989" t="s">
        <v>647</v>
      </c>
      <c r="C24" s="989"/>
      <c r="D24" s="989"/>
      <c r="E24" s="989"/>
      <c r="F24" s="989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6"/>
      <c r="I25" s="697" t="s">
        <v>554</v>
      </c>
      <c r="J25" s="696"/>
      <c r="K25" s="866" t="s">
        <v>17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920">
        <f t="shared" ref="F26:F37" si="0">G26/720</f>
        <v>6.133333333333333E-2</v>
      </c>
      <c r="G26" s="920">
        <f t="shared" ref="G26:G37" si="1">C26*IAAS_vcpu_EUR+D26*IAAS_ram_EUR+E26*IAAS_nvme_EUR</f>
        <v>44.16</v>
      </c>
      <c r="H26" s="44"/>
      <c r="I26" s="701"/>
      <c r="J26" s="44"/>
      <c r="K26" s="922">
        <f t="shared" ref="K26:K37" si="2">ROUNDUP(I26*G26,2)</f>
        <v>0</v>
      </c>
      <c r="M26" s="670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921">
        <f t="shared" si="0"/>
        <v>0.11244444444444443</v>
      </c>
      <c r="G27" s="921">
        <f t="shared" si="1"/>
        <v>80.959999999999994</v>
      </c>
      <c r="H27" s="46"/>
      <c r="I27" s="701"/>
      <c r="J27" s="46"/>
      <c r="K27" s="923">
        <f t="shared" si="2"/>
        <v>0</v>
      </c>
      <c r="M27" s="670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920">
        <f t="shared" si="0"/>
        <v>0.17633333333333331</v>
      </c>
      <c r="G28" s="920">
        <f t="shared" si="1"/>
        <v>126.96</v>
      </c>
      <c r="H28" s="44"/>
      <c r="I28" s="701"/>
      <c r="J28" s="44"/>
      <c r="K28" s="922">
        <f t="shared" si="2"/>
        <v>0</v>
      </c>
      <c r="M28" s="670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921">
        <f t="shared" si="0"/>
        <v>0.10988888888888887</v>
      </c>
      <c r="G29" s="921">
        <f t="shared" si="1"/>
        <v>79.11999999999999</v>
      </c>
      <c r="H29" s="46"/>
      <c r="I29" s="701"/>
      <c r="J29" s="46"/>
      <c r="K29" s="923">
        <f t="shared" si="2"/>
        <v>0</v>
      </c>
      <c r="M29" s="670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920">
        <f t="shared" si="0"/>
        <v>0.16099999999999998</v>
      </c>
      <c r="G30" s="920">
        <f t="shared" si="1"/>
        <v>115.91999999999999</v>
      </c>
      <c r="H30" s="44"/>
      <c r="I30" s="701"/>
      <c r="J30" s="44"/>
      <c r="K30" s="922">
        <f t="shared" si="2"/>
        <v>0</v>
      </c>
      <c r="M30" s="670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921">
        <f t="shared" si="0"/>
        <v>0.22488888888888886</v>
      </c>
      <c r="G31" s="921">
        <f t="shared" si="1"/>
        <v>161.91999999999999</v>
      </c>
      <c r="H31" s="46"/>
      <c r="I31" s="701"/>
      <c r="J31" s="46"/>
      <c r="K31" s="923">
        <f t="shared" si="2"/>
        <v>0</v>
      </c>
      <c r="M31" s="670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920">
        <f t="shared" si="0"/>
        <v>0.20699999999999996</v>
      </c>
      <c r="G32" s="920">
        <f t="shared" si="1"/>
        <v>149.03999999999996</v>
      </c>
      <c r="H32" s="44"/>
      <c r="I32" s="701"/>
      <c r="J32" s="44"/>
      <c r="K32" s="922">
        <f t="shared" si="2"/>
        <v>0</v>
      </c>
      <c r="M32" s="670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921">
        <f t="shared" si="0"/>
        <v>0.25811111111111107</v>
      </c>
      <c r="G33" s="921">
        <f t="shared" si="1"/>
        <v>185.83999999999997</v>
      </c>
      <c r="H33" s="46"/>
      <c r="I33" s="701"/>
      <c r="J33" s="46"/>
      <c r="K33" s="923">
        <f t="shared" si="2"/>
        <v>0</v>
      </c>
      <c r="M33" s="670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920">
        <f t="shared" si="0"/>
        <v>0.32199999999999995</v>
      </c>
      <c r="G34" s="920">
        <f t="shared" si="1"/>
        <v>231.83999999999997</v>
      </c>
      <c r="H34" s="44"/>
      <c r="I34" s="701"/>
      <c r="J34" s="44"/>
      <c r="K34" s="922">
        <f t="shared" si="2"/>
        <v>0</v>
      </c>
      <c r="M34" s="670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921">
        <f t="shared" si="0"/>
        <v>0.40122222222222215</v>
      </c>
      <c r="G35" s="921">
        <f t="shared" si="1"/>
        <v>288.87999999999994</v>
      </c>
      <c r="H35" s="46"/>
      <c r="I35" s="701"/>
      <c r="J35" s="46"/>
      <c r="K35" s="923">
        <f t="shared" si="2"/>
        <v>0</v>
      </c>
      <c r="M35" s="670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920">
        <f t="shared" si="0"/>
        <v>0.45233333333333325</v>
      </c>
      <c r="G36" s="920">
        <f t="shared" si="1"/>
        <v>325.67999999999995</v>
      </c>
      <c r="H36" s="44"/>
      <c r="I36" s="701"/>
      <c r="J36" s="44"/>
      <c r="K36" s="922">
        <f t="shared" si="2"/>
        <v>0</v>
      </c>
      <c r="M36" s="670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921">
        <f t="shared" si="0"/>
        <v>0.51622222222222214</v>
      </c>
      <c r="G37" s="921">
        <f t="shared" si="1"/>
        <v>371.67999999999995</v>
      </c>
      <c r="H37" s="46"/>
      <c r="I37" s="701"/>
      <c r="J37" s="46"/>
      <c r="K37" s="923">
        <f t="shared" si="2"/>
        <v>0</v>
      </c>
      <c r="M37" s="670"/>
      <c r="P37" s="689"/>
      <c r="R37" s="689"/>
    </row>
    <row r="38" spans="2:18" s="903" customFormat="1" ht="25" customHeight="1">
      <c r="B38" s="899" t="s">
        <v>30</v>
      </c>
      <c r="C38" s="900" cm="1">
        <f t="array" ref="C38">SUM(C26:C37*I26:I37)</f>
        <v>0</v>
      </c>
      <c r="D38" s="900" cm="1">
        <f t="array" ref="D38">SUM(D26:D37*I26:I37)</f>
        <v>0</v>
      </c>
      <c r="E38" s="925" cm="1">
        <f t="array" ref="E38">SUM(E26:E37*I26:I37)</f>
        <v>0</v>
      </c>
      <c r="F38" s="900"/>
      <c r="G38" s="900"/>
      <c r="H38" s="900"/>
      <c r="I38" s="900">
        <f>SUM(I26:I37)</f>
        <v>0</v>
      </c>
      <c r="J38" s="900"/>
      <c r="K38" s="924">
        <f>SUM(K26:K37)</f>
        <v>0</v>
      </c>
      <c r="M38" s="670"/>
      <c r="P38" s="905"/>
      <c r="R38" s="905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69"/>
      <c r="M39" s="670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69"/>
      <c r="M40" s="670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0"/>
      <c r="M41" s="670"/>
      <c r="P41" s="689"/>
      <c r="Q41" s="689"/>
      <c r="R41" s="698"/>
    </row>
    <row r="42" spans="2:18" s="653" customFormat="1" ht="25" customHeight="1">
      <c r="B42" s="654" t="s">
        <v>604</v>
      </c>
      <c r="C42" s="652"/>
      <c r="D42" s="652"/>
      <c r="K42" s="871"/>
      <c r="M42" s="670"/>
    </row>
    <row r="43" spans="2:18" ht="25" customHeight="1">
      <c r="B43" s="989" t="s">
        <v>647</v>
      </c>
      <c r="C43" s="989"/>
      <c r="D43" s="989"/>
      <c r="E43" s="989"/>
      <c r="F43" s="989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6"/>
      <c r="I44" s="697" t="s">
        <v>554</v>
      </c>
      <c r="J44" s="696"/>
      <c r="K44" s="866" t="s">
        <v>17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920">
        <f t="shared" ref="F45:F54" si="3">G45/720</f>
        <v>2.4277777777777773E-2</v>
      </c>
      <c r="G45" s="920">
        <f t="shared" ref="G45:G54" si="4">C45*IAAS_vcpu_EUR+D45*IAAS_ram_EUR+E45*IAAS_ssd_EUR</f>
        <v>17.479999999999997</v>
      </c>
      <c r="H45" s="44"/>
      <c r="I45" s="701"/>
      <c r="J45" s="44"/>
      <c r="K45" s="922">
        <f t="shared" ref="K45:K54" si="5">ROUNDUP(I45*G45,2)</f>
        <v>0</v>
      </c>
      <c r="M45" s="670"/>
      <c r="N45" s="720"/>
      <c r="O45" s="721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921">
        <f t="shared" si="3"/>
        <v>3.833333333333333E-2</v>
      </c>
      <c r="G46" s="921">
        <f t="shared" si="4"/>
        <v>27.599999999999998</v>
      </c>
      <c r="H46" s="46"/>
      <c r="I46" s="701"/>
      <c r="J46" s="46"/>
      <c r="K46" s="923">
        <f t="shared" si="5"/>
        <v>0</v>
      </c>
      <c r="L46" s="722"/>
      <c r="M46" s="670"/>
      <c r="N46" s="720"/>
      <c r="O46" s="721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920">
        <f t="shared" si="3"/>
        <v>4.8555555555555546E-2</v>
      </c>
      <c r="G47" s="920">
        <f t="shared" si="4"/>
        <v>34.959999999999994</v>
      </c>
      <c r="H47" s="44"/>
      <c r="I47" s="701"/>
      <c r="J47" s="44"/>
      <c r="K47" s="922">
        <f t="shared" si="5"/>
        <v>0</v>
      </c>
      <c r="L47" s="722"/>
      <c r="M47" s="670"/>
      <c r="N47" s="720"/>
      <c r="O47" s="721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921">
        <f t="shared" si="3"/>
        <v>7.6666666666666661E-2</v>
      </c>
      <c r="G48" s="921">
        <f t="shared" si="4"/>
        <v>55.199999999999996</v>
      </c>
      <c r="H48" s="46"/>
      <c r="I48" s="701"/>
      <c r="J48" s="46"/>
      <c r="K48" s="923">
        <f t="shared" si="5"/>
        <v>0</v>
      </c>
      <c r="L48" s="722"/>
      <c r="M48" s="670"/>
      <c r="N48" s="720"/>
      <c r="O48" s="957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920">
        <f t="shared" si="3"/>
        <v>9.7111111111111093E-2</v>
      </c>
      <c r="G49" s="920">
        <f t="shared" si="4"/>
        <v>69.919999999999987</v>
      </c>
      <c r="H49" s="44"/>
      <c r="I49" s="701"/>
      <c r="J49" s="44"/>
      <c r="K49" s="922">
        <f t="shared" si="5"/>
        <v>0</v>
      </c>
      <c r="L49" s="722"/>
      <c r="M49" s="670"/>
      <c r="N49" s="720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921">
        <f t="shared" si="3"/>
        <v>0.15333333333333332</v>
      </c>
      <c r="G50" s="921">
        <f t="shared" si="4"/>
        <v>110.39999999999999</v>
      </c>
      <c r="H50" s="46"/>
      <c r="I50" s="701"/>
      <c r="J50" s="46"/>
      <c r="K50" s="923">
        <f t="shared" si="5"/>
        <v>0</v>
      </c>
      <c r="L50" s="722"/>
      <c r="M50" s="670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920">
        <f t="shared" si="3"/>
        <v>0.19422222222222219</v>
      </c>
      <c r="G51" s="920">
        <f t="shared" si="4"/>
        <v>139.83999999999997</v>
      </c>
      <c r="H51" s="44"/>
      <c r="I51" s="701"/>
      <c r="J51" s="44"/>
      <c r="K51" s="922">
        <f t="shared" si="5"/>
        <v>0</v>
      </c>
      <c r="L51" s="722"/>
      <c r="M51" s="670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921">
        <f t="shared" si="3"/>
        <v>0.30666666666666664</v>
      </c>
      <c r="G52" s="921">
        <f t="shared" si="4"/>
        <v>220.79999999999998</v>
      </c>
      <c r="H52" s="46"/>
      <c r="I52" s="701"/>
      <c r="J52" s="46"/>
      <c r="K52" s="923">
        <f t="shared" si="5"/>
        <v>0</v>
      </c>
      <c r="L52" s="722"/>
      <c r="M52" s="670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920">
        <f t="shared" si="3"/>
        <v>0.38844444444444437</v>
      </c>
      <c r="G53" s="920">
        <f t="shared" si="4"/>
        <v>279.67999999999995</v>
      </c>
      <c r="H53" s="44"/>
      <c r="I53" s="701"/>
      <c r="J53" s="44"/>
      <c r="K53" s="922">
        <f t="shared" si="5"/>
        <v>0</v>
      </c>
      <c r="L53" s="722"/>
      <c r="M53" s="670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921">
        <f t="shared" si="3"/>
        <v>0.61333333333333329</v>
      </c>
      <c r="G54" s="921">
        <f t="shared" si="4"/>
        <v>441.59999999999997</v>
      </c>
      <c r="H54" s="46"/>
      <c r="I54" s="701"/>
      <c r="J54" s="46"/>
      <c r="K54" s="923">
        <f t="shared" si="5"/>
        <v>0</v>
      </c>
      <c r="L54" s="722"/>
      <c r="M54" s="670"/>
      <c r="P54" s="689"/>
      <c r="Q54" s="689"/>
      <c r="R54" s="689"/>
    </row>
    <row r="55" spans="1:20" s="903" customFormat="1" ht="25" customHeight="1">
      <c r="B55" s="899" t="s">
        <v>30</v>
      </c>
      <c r="C55" s="900" cm="1">
        <f t="array" ref="C55">SUM(b2_list_vCPU*b2_list_Antal_instanser)</f>
        <v>0</v>
      </c>
      <c r="D55" s="900" cm="1">
        <f t="array" ref="D55">SUM(b2_list_ram*b2_list_vCPU)</f>
        <v>0</v>
      </c>
      <c r="E55" s="906" t="s">
        <v>94</v>
      </c>
      <c r="F55" s="900"/>
      <c r="G55" s="900"/>
      <c r="H55" s="900"/>
      <c r="I55" s="900">
        <f>SUM(I45:I54)</f>
        <v>0</v>
      </c>
      <c r="J55" s="900"/>
      <c r="K55" s="927">
        <f>SUM(K45:K54)</f>
        <v>0</v>
      </c>
      <c r="M55" s="670"/>
      <c r="P55" s="905"/>
      <c r="R55" s="905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69"/>
      <c r="M56" s="670"/>
      <c r="P56" s="689"/>
      <c r="Q56" s="689"/>
      <c r="R56" s="698"/>
    </row>
    <row r="57" spans="1:20" s="723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2"/>
      <c r="L57" s="724"/>
      <c r="M57" s="670"/>
      <c r="R57" s="726"/>
      <c r="S57" s="726"/>
      <c r="T57" s="727"/>
    </row>
    <row r="58" spans="1:20" ht="25" hidden="1" customHeight="1">
      <c r="B58" s="985" t="s">
        <v>538</v>
      </c>
      <c r="C58" s="985"/>
      <c r="D58" s="985"/>
      <c r="E58" s="985"/>
      <c r="M58" s="670"/>
    </row>
    <row r="59" spans="1:20" s="728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6" t="s">
        <v>215</v>
      </c>
      <c r="L59" s="729"/>
      <c r="M59" s="670"/>
      <c r="Q59" s="731"/>
      <c r="R59" s="731"/>
      <c r="S59" s="732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3">
        <f t="shared" ref="G60:G63" si="6">H60/720</f>
        <v>9.6527777777777786</v>
      </c>
      <c r="H60" s="700">
        <f>C60*IAAS_vcpu_SEK+D60*IAAS_ram_SEK+E60*IAAS_nvme_SEK+F60*IAAS_gpu_SEK</f>
        <v>6950</v>
      </c>
      <c r="I60" s="956"/>
      <c r="J60" s="14"/>
      <c r="K60" s="867">
        <f>ROUNDUP(I60*H60,2)</f>
        <v>0</v>
      </c>
      <c r="M60" s="670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4">
        <f t="shared" si="6"/>
        <v>19.305555555555557</v>
      </c>
      <c r="H61" s="704">
        <f>C61*IAAS_vcpu_SEK+D61*IAAS_ram_SEK+E61*IAAS_nvme_SEK+F61*IAAS_gpu_SEK</f>
        <v>13900</v>
      </c>
      <c r="I61" s="956"/>
      <c r="J61" s="16"/>
      <c r="K61" s="868">
        <f>ROUNDUP(I61*H61,2)</f>
        <v>0</v>
      </c>
      <c r="M61" s="670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3">
        <f t="shared" si="6"/>
        <v>38.611111111111114</v>
      </c>
      <c r="H62" s="700">
        <f>C62*IAAS_vcpu_SEK+D62*IAAS_ram_SEK+E62*IAAS_nvme_SEK+F62*IAAS_gpu_SEK</f>
        <v>27800</v>
      </c>
      <c r="I62" s="956"/>
      <c r="J62" s="14"/>
      <c r="K62" s="867">
        <f>ROUNDUP(I62*H62,2)</f>
        <v>0</v>
      </c>
      <c r="M62" s="670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4">
        <f t="shared" si="6"/>
        <v>60.555555555555557</v>
      </c>
      <c r="H63" s="704">
        <f>C63*IAAS_vcpu_SEK+D63*IAAS_ram_SEK+E63*IAAS_nvme_SEK+F63*IAAS_gpu_SEK</f>
        <v>43600</v>
      </c>
      <c r="I63" s="956"/>
      <c r="J63" s="16"/>
      <c r="K63" s="868">
        <f>ROUNDUP(I63*H63,2)</f>
        <v>0</v>
      </c>
      <c r="M63" s="670"/>
      <c r="P63" s="689"/>
      <c r="R63" s="689"/>
    </row>
    <row r="64" spans="1:20" s="903" customFormat="1" ht="25" hidden="1" customHeight="1">
      <c r="B64" s="899" t="s">
        <v>222</v>
      </c>
      <c r="C64" s="900" t="str" cm="1">
        <f t="array" ref="C64">SUM(I60:I63*C60:C63)&amp;" st"</f>
        <v>0 st</v>
      </c>
      <c r="D64" s="900" t="str" cm="1">
        <f t="array" ref="D64">SUM(I60:I63*D60:D63)&amp;" GB"</f>
        <v>0 GB</v>
      </c>
      <c r="E64" s="901" t="str" cm="1">
        <f t="array" ref="E64">SUM(I60:I63*E60:E63)&amp;" GB"</f>
        <v>0 GB</v>
      </c>
      <c r="F64" s="901" t="str" cm="1">
        <f t="array" ref="F64">SUM(I60:I63*F60:F63)&amp;" st"</f>
        <v>0 st</v>
      </c>
      <c r="G64" s="900"/>
      <c r="H64" s="900"/>
      <c r="I64" s="900" t="str">
        <f>SUM(I60:I63)&amp;" st"</f>
        <v>0 st</v>
      </c>
      <c r="J64" s="900"/>
      <c r="K64" s="902">
        <f>SUM(K60:K63)</f>
        <v>0</v>
      </c>
      <c r="M64" s="670"/>
      <c r="P64" s="905"/>
      <c r="R64" s="905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3"/>
      <c r="M65" s="670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3"/>
      <c r="M66" s="670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3"/>
      <c r="M67" s="670"/>
      <c r="N67" s="8"/>
      <c r="O67" s="8"/>
      <c r="P67" s="693"/>
      <c r="Q67" s="8"/>
      <c r="R67" s="694"/>
    </row>
    <row r="68" spans="2:20" ht="25" hidden="1" customHeight="1">
      <c r="B68" s="985" t="s">
        <v>538</v>
      </c>
      <c r="C68" s="985"/>
      <c r="D68" s="985"/>
      <c r="E68" s="985"/>
      <c r="M68" s="670"/>
    </row>
    <row r="69" spans="2:20" s="728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6" t="s">
        <v>215</v>
      </c>
      <c r="L69" s="729"/>
      <c r="M69" s="670"/>
      <c r="Q69" s="731"/>
      <c r="R69" s="731"/>
      <c r="S69" s="732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8">
        <f t="shared" ref="F70:F72" si="7">G70/720</f>
        <v>9.5</v>
      </c>
      <c r="G70" s="739">
        <f>INSTANCE_p1.2xlarge.16d_SEK</f>
        <v>6840</v>
      </c>
      <c r="H70" s="14"/>
      <c r="I70" s="956"/>
      <c r="J70" s="14"/>
      <c r="K70" s="867">
        <f>ROUNDUP(I70*G70,2)</f>
        <v>0</v>
      </c>
      <c r="L70" s="8"/>
      <c r="M70" s="670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0">
        <f t="shared" si="7"/>
        <v>19</v>
      </c>
      <c r="G71" s="96">
        <f>INSTANCE_p1.4xlarge.16d_SEK</f>
        <v>13680</v>
      </c>
      <c r="H71" s="16"/>
      <c r="I71" s="956"/>
      <c r="J71" s="16"/>
      <c r="K71" s="868">
        <f>ROUNDUP(I71*G71,2)</f>
        <v>0</v>
      </c>
      <c r="L71" s="8"/>
      <c r="M71" s="670"/>
      <c r="S71" s="689"/>
    </row>
    <row r="72" spans="2:20" s="736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1">
        <f t="shared" si="7"/>
        <v>38</v>
      </c>
      <c r="G72" s="739">
        <f>INSTANCE_p1.8xlarge.32d_SEK</f>
        <v>27360</v>
      </c>
      <c r="H72" s="14"/>
      <c r="I72" s="956"/>
      <c r="J72" s="14"/>
      <c r="K72" s="867">
        <f>ROUNDUP(I72*G72,2)</f>
        <v>0</v>
      </c>
      <c r="L72" s="742"/>
      <c r="M72" s="670"/>
    </row>
    <row r="73" spans="2:20" s="903" customFormat="1" ht="25" hidden="1" customHeight="1">
      <c r="B73" s="899" t="s">
        <v>222</v>
      </c>
      <c r="C73" s="900" t="str" cm="1">
        <f t="array" ref="C73">SUM(I70:I72*C70:C72)&amp;" st"</f>
        <v>0 st</v>
      </c>
      <c r="D73" s="900" t="str" cm="1">
        <f t="array" ref="D73">SUM(I70:I72*D70:D72)&amp;" GB"</f>
        <v>0 GB</v>
      </c>
      <c r="E73" s="901" t="str" cm="1">
        <f t="array" ref="E73">SUM(I70:I72*E70:E72)&amp;" GB"</f>
        <v>0 GB</v>
      </c>
      <c r="F73" s="900"/>
      <c r="G73" s="900"/>
      <c r="H73" s="900"/>
      <c r="I73" s="900" t="str">
        <f>SUM(I70:I72)&amp;" st"</f>
        <v>0 st</v>
      </c>
      <c r="J73" s="900"/>
      <c r="K73" s="902">
        <f>SUM(K70:K72)</f>
        <v>0</v>
      </c>
      <c r="M73" s="670"/>
      <c r="P73" s="905"/>
      <c r="R73" s="905"/>
    </row>
    <row r="74" spans="2:20" ht="25" customHeight="1">
      <c r="B74" s="452"/>
      <c r="C74" s="76"/>
      <c r="D74" s="76"/>
      <c r="E74" s="76"/>
      <c r="F74" s="76"/>
      <c r="G74" s="76"/>
      <c r="H74" s="736"/>
      <c r="I74" s="710"/>
      <c r="J74" s="710"/>
      <c r="K74" s="874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3"/>
      <c r="L75" s="737"/>
      <c r="M75" s="670"/>
      <c r="Q75" s="689"/>
      <c r="S75" s="689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73"/>
      <c r="L76" s="737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551</v>
      </c>
      <c r="M77" s="670"/>
    </row>
    <row r="78" spans="2:20" s="74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43" t="s">
        <v>561</v>
      </c>
      <c r="J78" s="24"/>
      <c r="K78" s="614" t="s">
        <v>83</v>
      </c>
      <c r="L78" s="719"/>
      <c r="M78" s="670"/>
      <c r="N78" s="719"/>
      <c r="R78" s="746"/>
      <c r="S78" s="746"/>
      <c r="T78" s="747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932">
        <f>G79/720</f>
        <v>1.5333333333333334E-4</v>
      </c>
      <c r="G79" s="933">
        <f>VOLUME_large_EUR</f>
        <v>0.1104</v>
      </c>
      <c r="H79" s="748"/>
      <c r="I79" s="749"/>
      <c r="J79" s="399"/>
      <c r="K79" s="928">
        <f>ROUNDUP(I79*G79,2)</f>
        <v>0</v>
      </c>
      <c r="L79" s="8"/>
      <c r="M79" s="670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934">
        <f>G80/720</f>
        <v>4.6000000000000001E-4</v>
      </c>
      <c r="G80" s="935">
        <f>VOLUME_fast_EUR</f>
        <v>0.33119999999999999</v>
      </c>
      <c r="H80" s="751"/>
      <c r="I80" s="753"/>
      <c r="J80" s="754"/>
      <c r="K80" s="929">
        <f>ROUNDUP(I80*G80,2)</f>
        <v>0</v>
      </c>
      <c r="L80" s="8"/>
      <c r="M80" s="670"/>
      <c r="T80" s="689"/>
    </row>
    <row r="81" spans="2:20" s="682" customFormat="1" ht="25" customHeight="1">
      <c r="B81" s="134" t="s">
        <v>493</v>
      </c>
      <c r="C81" s="39" t="s">
        <v>434</v>
      </c>
      <c r="D81" s="78"/>
      <c r="E81" s="78"/>
      <c r="F81" s="932">
        <f>G81/720</f>
        <v>1.5333333333333334E-4</v>
      </c>
      <c r="G81" s="933">
        <f>VOLUME_large_EUR</f>
        <v>0.1104</v>
      </c>
      <c r="H81" s="755"/>
      <c r="I81" s="749"/>
      <c r="J81" s="399"/>
      <c r="K81" s="928">
        <f>ROUNDUP(I81*G81,2)</f>
        <v>0</v>
      </c>
      <c r="L81" s="8"/>
      <c r="M81" s="670"/>
    </row>
    <row r="82" spans="2:20" s="903" customFormat="1" ht="25" customHeight="1">
      <c r="B82" s="899" t="s">
        <v>30</v>
      </c>
      <c r="C82" s="900"/>
      <c r="D82" s="900"/>
      <c r="E82" s="900"/>
      <c r="F82" s="900"/>
      <c r="G82" s="900"/>
      <c r="H82" s="900"/>
      <c r="I82" s="900" t="str">
        <f>SUM(I79:I81)&amp;" GB"</f>
        <v>0 GB</v>
      </c>
      <c r="J82" s="900"/>
      <c r="K82" s="926">
        <f>SUM(K79:K81)</f>
        <v>0</v>
      </c>
      <c r="M82" s="670"/>
      <c r="P82" s="905"/>
      <c r="R82" s="905"/>
    </row>
    <row r="83" spans="2:20" ht="25" customHeight="1">
      <c r="B83" s="452"/>
      <c r="C83" s="76"/>
      <c r="D83" s="76"/>
      <c r="E83" s="76"/>
      <c r="F83" s="76"/>
      <c r="G83" s="76"/>
      <c r="H83" s="736"/>
      <c r="I83" s="756"/>
      <c r="J83" s="756"/>
      <c r="K83" s="875"/>
      <c r="L83" s="75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56"/>
      <c r="I84" s="756"/>
      <c r="J84" s="756"/>
      <c r="K84" s="876"/>
      <c r="L84" s="757"/>
      <c r="M84" s="670"/>
    </row>
    <row r="85" spans="2:20" s="4" customFormat="1" ht="25" customHeight="1">
      <c r="B85" s="967" t="s">
        <v>669</v>
      </c>
      <c r="C85" s="967"/>
      <c r="D85" s="967"/>
      <c r="E85" s="967"/>
      <c r="F85" s="967"/>
      <c r="G85" s="967"/>
      <c r="H85" s="679"/>
      <c r="J85" s="681"/>
      <c r="K85" s="862"/>
      <c r="M85" s="670"/>
    </row>
    <row r="86" spans="2:20" s="4" customFormat="1" ht="25" customHeight="1">
      <c r="B86" s="967"/>
      <c r="C86" s="967"/>
      <c r="D86" s="967"/>
      <c r="E86" s="967"/>
      <c r="F86" s="967"/>
      <c r="G86" s="967"/>
      <c r="H86" s="679"/>
      <c r="J86" s="681"/>
      <c r="K86" s="862"/>
      <c r="M86" s="670"/>
    </row>
    <row r="87" spans="2:20" s="4" customFormat="1" ht="25" customHeight="1">
      <c r="B87" s="967"/>
      <c r="C87" s="967"/>
      <c r="D87" s="967"/>
      <c r="E87" s="967"/>
      <c r="F87" s="967"/>
      <c r="G87" s="967"/>
      <c r="H87" s="679"/>
      <c r="J87" s="681"/>
      <c r="K87" s="862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9"/>
      <c r="J88" s="681"/>
      <c r="K88" s="862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59"/>
      <c r="H89" s="760"/>
      <c r="I89" s="759"/>
      <c r="J89" s="761"/>
      <c r="K89" s="877"/>
      <c r="L89" s="75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4"/>
      <c r="H90" s="685"/>
      <c r="I90" s="684"/>
      <c r="J90" s="686"/>
      <c r="K90" s="863"/>
      <c r="L90" s="763"/>
      <c r="M90" s="670"/>
      <c r="O90" s="682"/>
      <c r="P90" s="682"/>
    </row>
    <row r="91" spans="2:20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3"/>
      <c r="L91" s="737"/>
      <c r="M91" s="670"/>
      <c r="R91" s="689"/>
      <c r="T91" s="689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43" t="s">
        <v>560</v>
      </c>
      <c r="J92" s="131"/>
      <c r="K92" s="614" t="s">
        <v>83</v>
      </c>
      <c r="L92" s="687"/>
      <c r="M92" s="670"/>
      <c r="N92" s="682"/>
    </row>
    <row r="93" spans="2:20" s="769" customFormat="1" ht="25" customHeight="1">
      <c r="B93" s="445" t="s">
        <v>535</v>
      </c>
      <c r="C93" s="78"/>
      <c r="D93" s="524"/>
      <c r="E93" s="524"/>
      <c r="F93" s="765"/>
      <c r="G93" s="936">
        <f>S3_archive.50_EUR</f>
        <v>32.200000000000003</v>
      </c>
      <c r="H93" s="765"/>
      <c r="I93" s="766"/>
      <c r="J93" s="767"/>
      <c r="K93" s="928">
        <f>I93*G93</f>
        <v>0</v>
      </c>
      <c r="L93" s="768"/>
      <c r="M93" s="670"/>
      <c r="N93" s="736"/>
    </row>
    <row r="94" spans="2:20" s="682" customFormat="1" ht="25" customHeight="1">
      <c r="B94" s="137" t="s">
        <v>494</v>
      </c>
      <c r="C94" s="41"/>
      <c r="D94" s="79"/>
      <c r="E94" s="79"/>
      <c r="F94" s="751"/>
      <c r="G94" s="931">
        <f>S3_storage50_EUR</f>
        <v>46</v>
      </c>
      <c r="H94" s="752"/>
      <c r="I94" s="770"/>
      <c r="J94" s="754"/>
      <c r="K94" s="929">
        <f>I94*G94</f>
        <v>0</v>
      </c>
      <c r="L94" s="8"/>
      <c r="M94" s="670"/>
      <c r="T94" s="689"/>
    </row>
    <row r="95" spans="2:20" s="903" customFormat="1" ht="25" customHeight="1">
      <c r="B95" s="899" t="s">
        <v>30</v>
      </c>
      <c r="C95" s="900"/>
      <c r="D95" s="900"/>
      <c r="E95" s="900"/>
      <c r="F95" s="900"/>
      <c r="G95" s="900"/>
      <c r="H95" s="900"/>
      <c r="I95" s="900"/>
      <c r="J95" s="900"/>
      <c r="K95" s="926">
        <f>SUM(K93:K94)</f>
        <v>0</v>
      </c>
      <c r="M95" s="670"/>
      <c r="P95" s="905"/>
      <c r="R95" s="905"/>
    </row>
    <row r="96" spans="2:20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3" customFormat="1" ht="25" hidden="1" customHeight="1">
      <c r="B97" s="416" t="s">
        <v>422</v>
      </c>
      <c r="C97" s="771"/>
      <c r="D97" s="771"/>
      <c r="E97" s="771"/>
      <c r="F97" s="771"/>
      <c r="G97" s="771"/>
      <c r="H97" s="27"/>
      <c r="I97" s="27"/>
      <c r="J97" s="27"/>
      <c r="K97" s="873"/>
      <c r="M97" s="670"/>
      <c r="N97" s="27"/>
      <c r="O97" s="27"/>
      <c r="P97" s="726"/>
      <c r="Q97" s="27"/>
      <c r="R97" s="727"/>
    </row>
    <row r="98" spans="2:26" s="4" customFormat="1" ht="25" hidden="1" customHeight="1">
      <c r="B98" s="444" t="s">
        <v>208</v>
      </c>
      <c r="C98" s="10" t="s">
        <v>224</v>
      </c>
      <c r="D98" s="981" t="s">
        <v>225</v>
      </c>
      <c r="E98" s="981"/>
      <c r="F98" s="981"/>
      <c r="G98" s="981"/>
      <c r="H98" s="981"/>
      <c r="I98" s="981"/>
      <c r="J98" s="131"/>
      <c r="K98" s="614"/>
      <c r="L98" s="687"/>
      <c r="M98" s="670"/>
      <c r="N98" s="682"/>
    </row>
    <row r="99" spans="2:26" s="769" customFormat="1" ht="25" hidden="1" customHeight="1">
      <c r="B99" s="466" t="s">
        <v>423</v>
      </c>
      <c r="C99" s="82"/>
      <c r="D99" s="25"/>
      <c r="E99" s="772" cm="1">
        <f t="array" ref="E99">_xlfn.IFS(H99&lt;50,D100,H99&lt;100,D101,H99&lt;500,D102,H99&lt;1000,D103,H99&gt;999,D104)</f>
        <v>185</v>
      </c>
      <c r="F99" s="772"/>
      <c r="G99" s="772"/>
      <c r="H99" s="958">
        <v>600</v>
      </c>
      <c r="I99" s="774" t="s">
        <v>84</v>
      </c>
      <c r="J99" s="775"/>
      <c r="K99" s="596" cm="1">
        <f t="array" ref="K99">_xlfn.IFS(H99&lt;1000,ROUNDUP(H99*E99,2),H99&gt;999,E99)</f>
        <v>111000</v>
      </c>
      <c r="L99" s="768"/>
      <c r="M99" s="670"/>
      <c r="N99" s="736"/>
    </row>
    <row r="100" spans="2:26" s="4" customFormat="1" ht="25" hidden="1" customHeight="1">
      <c r="B100" s="605" t="s">
        <v>423</v>
      </c>
      <c r="C100" s="606" t="s">
        <v>429</v>
      </c>
      <c r="D100" s="980">
        <f>S3_archive.50_SEK</f>
        <v>350</v>
      </c>
      <c r="E100" s="980"/>
      <c r="F100" s="980"/>
      <c r="G100" s="980"/>
      <c r="H100" s="980"/>
      <c r="I100" s="980"/>
      <c r="J100" s="916"/>
      <c r="K100" s="878"/>
      <c r="L100" s="687"/>
      <c r="M100" s="670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8">
        <f>S3_archive.100_SEK</f>
        <v>270</v>
      </c>
      <c r="E101" s="978"/>
      <c r="F101" s="978"/>
      <c r="G101" s="978"/>
      <c r="H101" s="978"/>
      <c r="I101" s="978"/>
      <c r="J101" s="918"/>
      <c r="K101" s="879"/>
      <c r="L101" s="687"/>
      <c r="M101" s="670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9">
        <f>S3_archive.500_SEK</f>
        <v>200</v>
      </c>
      <c r="E102" s="969"/>
      <c r="F102" s="969"/>
      <c r="G102" s="969"/>
      <c r="H102" s="969"/>
      <c r="I102" s="969"/>
      <c r="J102" s="919"/>
      <c r="K102" s="880"/>
      <c r="L102" s="687"/>
      <c r="M102" s="670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8">
        <f>S3_archive.1000_SEK</f>
        <v>185</v>
      </c>
      <c r="E103" s="978"/>
      <c r="F103" s="978"/>
      <c r="G103" s="978"/>
      <c r="H103" s="978"/>
      <c r="I103" s="978"/>
      <c r="J103" s="918"/>
      <c r="K103" s="879"/>
      <c r="L103" s="687"/>
      <c r="M103" s="670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9" t="str">
        <f>S3_archive.quote_SEK</f>
        <v>Be om offert</v>
      </c>
      <c r="E104" s="979"/>
      <c r="F104" s="979"/>
      <c r="G104" s="979"/>
      <c r="H104" s="979"/>
      <c r="I104" s="979"/>
      <c r="J104" s="917"/>
      <c r="K104" s="881"/>
      <c r="L104" s="687"/>
      <c r="M104" s="670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6"/>
      <c r="K105" s="869">
        <f>K99</f>
        <v>111000</v>
      </c>
      <c r="L105" s="687"/>
      <c r="M105" s="670"/>
      <c r="N105" s="682"/>
    </row>
    <row r="106" spans="2:26" s="728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3"/>
      <c r="K106" s="863"/>
      <c r="L106" s="687"/>
      <c r="M106" s="670"/>
      <c r="N106" s="745"/>
      <c r="O106" s="745"/>
      <c r="P106" s="745"/>
      <c r="Q106" s="745"/>
      <c r="R106" s="745"/>
      <c r="S106" s="745"/>
    </row>
    <row r="107" spans="2:26" ht="25" customHeight="1">
      <c r="B107" s="639"/>
      <c r="C107" s="26"/>
      <c r="D107" s="26"/>
      <c r="E107" s="26"/>
      <c r="F107" s="777"/>
      <c r="G107" s="778"/>
      <c r="H107" s="756"/>
      <c r="I107" s="756"/>
      <c r="J107" s="779"/>
      <c r="K107" s="875"/>
      <c r="L107" s="758"/>
      <c r="M107" s="670"/>
      <c r="N107" s="682"/>
      <c r="Q107" s="4"/>
    </row>
    <row r="108" spans="2:26" s="4" customFormat="1" ht="25" customHeight="1">
      <c r="B108" s="967" t="s">
        <v>670</v>
      </c>
      <c r="C108" s="967"/>
      <c r="D108" s="967"/>
      <c r="E108" s="967"/>
      <c r="F108" s="967"/>
      <c r="G108" s="967"/>
      <c r="H108" s="679"/>
      <c r="J108" s="681"/>
      <c r="K108" s="862"/>
      <c r="L108" s="681"/>
      <c r="M108" s="670"/>
    </row>
    <row r="109" spans="2:26" s="4" customFormat="1" ht="25" customHeight="1">
      <c r="B109" s="967"/>
      <c r="C109" s="967"/>
      <c r="D109" s="967"/>
      <c r="E109" s="967"/>
      <c r="F109" s="967"/>
      <c r="G109" s="967"/>
      <c r="H109" s="679"/>
      <c r="J109" s="681"/>
      <c r="K109" s="862"/>
      <c r="L109" s="681"/>
      <c r="M109" s="670"/>
    </row>
    <row r="110" spans="2:26" s="4" customFormat="1" ht="25" customHeight="1">
      <c r="B110" s="967"/>
      <c r="C110" s="967"/>
      <c r="D110" s="967"/>
      <c r="E110" s="967"/>
      <c r="F110" s="967"/>
      <c r="G110" s="967"/>
      <c r="H110" s="679"/>
      <c r="J110" s="681"/>
      <c r="K110" s="862"/>
      <c r="L110" s="681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9"/>
      <c r="J111" s="681"/>
      <c r="K111" s="862"/>
      <c r="L111" s="681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4"/>
      <c r="H112" s="685"/>
      <c r="J112" s="686"/>
      <c r="K112" s="863"/>
      <c r="L112" s="687"/>
      <c r="M112" s="670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4"/>
      <c r="H113" s="685"/>
      <c r="I113" s="684"/>
      <c r="J113" s="686"/>
      <c r="K113" s="863"/>
      <c r="L113" s="763"/>
      <c r="M113" s="670"/>
      <c r="O113" s="682"/>
      <c r="P113" s="682"/>
    </row>
    <row r="114" spans="2:32" s="728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3"/>
      <c r="L114" s="8"/>
      <c r="M114" s="670"/>
      <c r="P114" s="745"/>
      <c r="Q114" s="745"/>
      <c r="R114" s="745"/>
      <c r="S114" s="745"/>
      <c r="T114" s="745"/>
      <c r="U114" s="745"/>
    </row>
    <row r="115" spans="2:32" ht="25" customHeight="1">
      <c r="B115" s="444" t="s">
        <v>9</v>
      </c>
      <c r="C115" s="788"/>
      <c r="D115" s="788"/>
      <c r="E115" s="131" t="s">
        <v>562</v>
      </c>
      <c r="F115" s="788"/>
      <c r="G115" s="131" t="s">
        <v>563</v>
      </c>
      <c r="H115" s="24"/>
      <c r="I115" s="743" t="s">
        <v>561</v>
      </c>
      <c r="J115" s="743" t="s">
        <v>564</v>
      </c>
      <c r="K115" s="614" t="s">
        <v>605</v>
      </c>
      <c r="L115" s="737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37">
        <f>BAAS_on.demand_EUR</f>
        <v>0.22540000000000002</v>
      </c>
      <c r="H116" s="399"/>
      <c r="I116" s="766"/>
      <c r="J116" s="908" t="s">
        <v>94</v>
      </c>
      <c r="K116" s="928">
        <f>ROUNDUP(I116*G116,2)</f>
        <v>0</v>
      </c>
      <c r="L116" s="737"/>
      <c r="M116" s="670"/>
    </row>
    <row r="117" spans="2:32" ht="25" customHeight="1">
      <c r="B117" s="137" t="s">
        <v>496</v>
      </c>
      <c r="C117" s="79"/>
      <c r="D117" s="79"/>
      <c r="E117" s="946">
        <f>BAAS_small.fee_EUR</f>
        <v>506</v>
      </c>
      <c r="F117" s="754"/>
      <c r="G117" s="938">
        <f>BAAS_small_EUR</f>
        <v>0.161</v>
      </c>
      <c r="H117" s="754"/>
      <c r="I117" s="783"/>
      <c r="J117" s="784">
        <v>0.75</v>
      </c>
      <c r="K117" s="929">
        <f>IF(I117&gt;0,$E$117+($G$117*(I117*(1-$J$117))),0)</f>
        <v>0</v>
      </c>
      <c r="L117" s="737"/>
      <c r="M117" s="670"/>
    </row>
    <row r="118" spans="2:32" s="785" customFormat="1" ht="25" customHeight="1">
      <c r="B118" s="466" t="s">
        <v>497</v>
      </c>
      <c r="C118" s="82"/>
      <c r="D118" s="82"/>
      <c r="E118" s="947">
        <f>BAAS_large.fee_EUR</f>
        <v>874</v>
      </c>
      <c r="F118" s="774"/>
      <c r="G118" s="937">
        <f>BAAS_large_EUR</f>
        <v>8.4640000000000007E-2</v>
      </c>
      <c r="H118" s="774"/>
      <c r="I118" s="773"/>
      <c r="J118" s="786">
        <v>0.75</v>
      </c>
      <c r="K118" s="582">
        <f>IF(I118&gt;0,$E$118+($G$118*(I118*(1-$J$118))),0)</f>
        <v>0</v>
      </c>
      <c r="L118" s="737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3" customFormat="1" ht="25" customHeight="1">
      <c r="B119" s="899" t="s">
        <v>30</v>
      </c>
      <c r="C119" s="900"/>
      <c r="D119" s="900"/>
      <c r="E119" s="900"/>
      <c r="F119" s="900"/>
      <c r="G119" s="900"/>
      <c r="H119" s="900"/>
      <c r="I119" s="900" t="str">
        <f>SUM(I116:I118)&amp;" GB"</f>
        <v>0 GB</v>
      </c>
      <c r="J119" s="900"/>
      <c r="K119" s="926">
        <f>SUM(K116:K118)</f>
        <v>0</v>
      </c>
      <c r="M119" s="670"/>
      <c r="P119" s="905"/>
      <c r="R119" s="905"/>
    </row>
    <row r="120" spans="2:32" s="785" customFormat="1" ht="25" customHeight="1">
      <c r="B120" s="448"/>
      <c r="C120" s="19"/>
      <c r="D120" s="19"/>
      <c r="E120" s="19"/>
      <c r="F120" s="907"/>
      <c r="G120" s="709"/>
      <c r="H120" s="709"/>
      <c r="I120" s="709"/>
      <c r="J120" s="709"/>
      <c r="K120" s="882"/>
      <c r="L120" s="776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7"/>
      <c r="G121" s="778"/>
      <c r="H121" s="756"/>
      <c r="I121" s="756"/>
      <c r="J121" s="779"/>
      <c r="K121" s="875"/>
      <c r="L121" s="768"/>
      <c r="M121" s="670"/>
      <c r="N121" s="682"/>
    </row>
    <row r="122" spans="2:32" ht="25" customHeight="1">
      <c r="B122" s="639"/>
      <c r="C122" s="26"/>
      <c r="D122" s="26"/>
      <c r="E122" s="26"/>
      <c r="F122" s="777"/>
      <c r="G122" s="778"/>
      <c r="H122" s="756"/>
      <c r="I122" s="756"/>
      <c r="J122" s="779"/>
      <c r="K122" s="875"/>
      <c r="L122" s="758"/>
      <c r="M122" s="670"/>
      <c r="N122" s="682"/>
      <c r="Q122" s="4"/>
    </row>
    <row r="123" spans="2:32" s="4" customFormat="1" ht="25" customHeight="1">
      <c r="B123" s="967" t="s">
        <v>442</v>
      </c>
      <c r="C123" s="967"/>
      <c r="D123" s="967"/>
      <c r="E123" s="967"/>
      <c r="F123" s="967"/>
      <c r="G123" s="967"/>
      <c r="H123" s="679"/>
      <c r="J123" s="681"/>
      <c r="K123" s="862"/>
      <c r="L123" s="681"/>
      <c r="M123" s="670"/>
    </row>
    <row r="124" spans="2:32" s="4" customFormat="1" ht="25" customHeight="1">
      <c r="B124" s="967"/>
      <c r="C124" s="967"/>
      <c r="D124" s="967"/>
      <c r="E124" s="967"/>
      <c r="F124" s="967"/>
      <c r="G124" s="967"/>
      <c r="H124" s="679"/>
      <c r="J124" s="681"/>
      <c r="K124" s="862"/>
      <c r="L124" s="681"/>
      <c r="M124" s="670"/>
    </row>
    <row r="125" spans="2:32" s="4" customFormat="1" ht="25" customHeight="1">
      <c r="B125" s="967"/>
      <c r="C125" s="967"/>
      <c r="D125" s="967"/>
      <c r="E125" s="967"/>
      <c r="F125" s="967"/>
      <c r="G125" s="967"/>
      <c r="H125" s="679"/>
      <c r="J125" s="681"/>
      <c r="K125" s="862"/>
      <c r="L125" s="681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9"/>
      <c r="J126" s="681"/>
      <c r="K126" s="862"/>
      <c r="L126" s="681"/>
      <c r="M126" s="670"/>
    </row>
    <row r="127" spans="2:32" s="4" customFormat="1" ht="25" customHeight="1">
      <c r="B127" s="465" t="s">
        <v>663</v>
      </c>
      <c r="C127" s="465"/>
      <c r="D127" s="465"/>
      <c r="E127" s="465"/>
      <c r="F127" s="465"/>
      <c r="G127" s="684"/>
      <c r="H127" s="685"/>
      <c r="J127" s="686"/>
      <c r="K127" s="863"/>
      <c r="L127" s="687"/>
      <c r="M127" s="670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4"/>
      <c r="H128" s="685"/>
      <c r="I128" s="684"/>
      <c r="J128" s="686"/>
      <c r="K128" s="863"/>
      <c r="L128" s="763"/>
      <c r="M128" s="670"/>
      <c r="O128" s="682"/>
      <c r="P128" s="682"/>
    </row>
    <row r="129" spans="2:32" s="728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3"/>
      <c r="L129" s="8"/>
      <c r="M129" s="670"/>
      <c r="P129" s="745"/>
      <c r="Q129" s="745"/>
      <c r="R129" s="745"/>
      <c r="S129" s="745"/>
      <c r="T129" s="745"/>
      <c r="U129" s="745"/>
    </row>
    <row r="130" spans="2:32" ht="25" customHeight="1">
      <c r="B130" s="444" t="s">
        <v>9</v>
      </c>
      <c r="C130" s="968" t="s">
        <v>570</v>
      </c>
      <c r="D130" s="968"/>
      <c r="E130" s="968" t="s">
        <v>571</v>
      </c>
      <c r="F130" s="968"/>
      <c r="G130" s="990" t="s">
        <v>562</v>
      </c>
      <c r="H130" s="990"/>
      <c r="I130" s="24"/>
      <c r="J130" s="24"/>
      <c r="K130" s="614" t="s">
        <v>92</v>
      </c>
      <c r="L130" s="737"/>
      <c r="M130" s="670"/>
    </row>
    <row r="131" spans="2:32" ht="25" customHeight="1">
      <c r="B131" s="853" t="s">
        <v>498</v>
      </c>
      <c r="C131" s="974" t="s">
        <v>575</v>
      </c>
      <c r="D131" s="974"/>
      <c r="E131" s="976" t="s">
        <v>574</v>
      </c>
      <c r="F131" s="976"/>
      <c r="G131" s="944">
        <f>PAAS_man.kubernetes_EUR</f>
        <v>2208</v>
      </c>
      <c r="H131" s="942"/>
      <c r="I131" s="766"/>
      <c r="J131" s="962">
        <v>2</v>
      </c>
      <c r="K131" s="940" t="str">
        <f>IF(J131=1,G131," ")</f>
        <v xml:space="preserve"> </v>
      </c>
      <c r="L131" s="737"/>
      <c r="M131" s="670"/>
    </row>
    <row r="132" spans="2:32" ht="25" customHeight="1">
      <c r="B132" s="137" t="s">
        <v>499</v>
      </c>
      <c r="C132" s="975" t="s">
        <v>572</v>
      </c>
      <c r="D132" s="975"/>
      <c r="E132" s="977" t="s">
        <v>573</v>
      </c>
      <c r="F132" s="977"/>
      <c r="G132" s="945">
        <f>PAAS_man.kubernetes8_EUR</f>
        <v>1380</v>
      </c>
      <c r="H132" s="943"/>
      <c r="I132" s="770"/>
      <c r="J132" s="754"/>
      <c r="K132" s="941" t="str">
        <f>IF(J131=3,G132," ")</f>
        <v xml:space="preserve"> </v>
      </c>
      <c r="L132" s="737"/>
      <c r="M132" s="670"/>
    </row>
    <row r="133" spans="2:32" s="903" customFormat="1" ht="25" customHeight="1">
      <c r="B133" s="899" t="s">
        <v>30</v>
      </c>
      <c r="C133" s="900"/>
      <c r="D133" s="900"/>
      <c r="E133" s="900"/>
      <c r="F133" s="900"/>
      <c r="G133" s="900"/>
      <c r="H133" s="900"/>
      <c r="I133" s="961"/>
      <c r="J133" s="900"/>
      <c r="K133" s="926">
        <f>SUM(K131:K132)</f>
        <v>0</v>
      </c>
      <c r="M133" s="670"/>
      <c r="P133" s="905"/>
      <c r="R133" s="905"/>
    </row>
    <row r="134" spans="2:32" s="785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69"/>
      <c r="L134" s="737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5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2"/>
      <c r="L135" s="776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8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3"/>
      <c r="K136" s="863"/>
      <c r="L136" s="687"/>
      <c r="M136" s="670"/>
      <c r="N136" s="745"/>
      <c r="O136" s="745"/>
      <c r="P136" s="745"/>
      <c r="Q136" s="745"/>
      <c r="R136" s="745"/>
      <c r="S136" s="745"/>
    </row>
    <row r="137" spans="2:32" s="4" customFormat="1" ht="25" customHeight="1">
      <c r="B137" s="967" t="s">
        <v>100</v>
      </c>
      <c r="C137" s="967"/>
      <c r="D137" s="967"/>
      <c r="E137" s="967"/>
      <c r="F137" s="967"/>
      <c r="G137" s="967"/>
      <c r="H137" s="679"/>
      <c r="J137" s="681"/>
      <c r="K137" s="862"/>
      <c r="M137" s="670"/>
    </row>
    <row r="138" spans="2:32" s="4" customFormat="1" ht="25" customHeight="1">
      <c r="B138" s="967"/>
      <c r="C138" s="967"/>
      <c r="D138" s="967"/>
      <c r="E138" s="967"/>
      <c r="F138" s="967"/>
      <c r="G138" s="967"/>
      <c r="H138" s="679"/>
      <c r="J138" s="681"/>
      <c r="K138" s="862"/>
      <c r="M138" s="670"/>
    </row>
    <row r="139" spans="2:32" s="4" customFormat="1" ht="25" customHeight="1">
      <c r="B139" s="967"/>
      <c r="C139" s="967"/>
      <c r="D139" s="967"/>
      <c r="E139" s="967"/>
      <c r="F139" s="967"/>
      <c r="G139" s="967"/>
      <c r="H139" s="679"/>
      <c r="J139" s="681"/>
      <c r="K139" s="862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4"/>
      <c r="H140" s="685"/>
      <c r="J140" s="686"/>
      <c r="K140" s="863"/>
      <c r="L140" s="687"/>
      <c r="M140" s="670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465"/>
      <c r="C141" s="133"/>
      <c r="D141" s="133"/>
      <c r="E141" s="133"/>
      <c r="F141" s="133"/>
      <c r="G141" s="684"/>
      <c r="H141" s="685"/>
      <c r="I141" s="684"/>
      <c r="J141" s="686"/>
      <c r="K141" s="863"/>
      <c r="L141" s="684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4"/>
      <c r="H142" s="684"/>
      <c r="I142" s="684"/>
      <c r="J142" s="686"/>
      <c r="K142" s="863"/>
      <c r="L142" s="684"/>
      <c r="M142" s="670"/>
      <c r="N142" s="682"/>
      <c r="O142" s="682"/>
      <c r="P142" s="682"/>
      <c r="Q142" s="682"/>
      <c r="R142" s="682"/>
      <c r="S142" s="682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5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91" t="s">
        <v>578</v>
      </c>
      <c r="K145" s="948">
        <f>NET_publicv4_EUR</f>
        <v>2.2999999999999998</v>
      </c>
      <c r="M145" s="670"/>
      <c r="N145" s="75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92"/>
      <c r="G146" s="792"/>
      <c r="H146" s="792"/>
      <c r="I146" s="792"/>
      <c r="J146" s="793" t="s">
        <v>94</v>
      </c>
      <c r="K146" s="949">
        <f>NET_publicv6_EUR</f>
        <v>0</v>
      </c>
      <c r="M146" s="670"/>
      <c r="N146" s="75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91" t="s">
        <v>69</v>
      </c>
      <c r="K147" s="948">
        <f>NET_ingress_EUR</f>
        <v>0</v>
      </c>
      <c r="M147" s="670"/>
      <c r="N147" s="75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92"/>
      <c r="G148" s="792"/>
      <c r="H148" s="792"/>
      <c r="I148" s="792"/>
      <c r="J148" s="794" t="s">
        <v>69</v>
      </c>
      <c r="K148" s="949">
        <f>NET_egress_EUR</f>
        <v>2.3E-2</v>
      </c>
      <c r="M148" s="670"/>
      <c r="N148" s="75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91" t="s">
        <v>116</v>
      </c>
      <c r="K149" s="930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92"/>
      <c r="G150" s="792"/>
      <c r="H150" s="792"/>
      <c r="I150" s="792"/>
      <c r="J150" s="793" t="s">
        <v>94</v>
      </c>
      <c r="K150" s="949">
        <f>NET_rdns_EUR</f>
        <v>0</v>
      </c>
      <c r="M150" s="670"/>
      <c r="N150" s="75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96" t="s">
        <v>94</v>
      </c>
      <c r="K151" s="948">
        <v>0</v>
      </c>
      <c r="M151" s="670"/>
      <c r="N151" s="75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85"/>
      <c r="M152" s="670"/>
      <c r="N152" s="758"/>
      <c r="O152" s="8"/>
    </row>
    <row r="153" spans="2:18" ht="25" customHeight="1">
      <c r="C153" s="43"/>
      <c r="J153" s="43"/>
      <c r="M153" s="670"/>
      <c r="N153" s="758"/>
      <c r="O153" s="8"/>
    </row>
    <row r="154" spans="2:18" ht="25" customHeight="1">
      <c r="C154" s="43"/>
      <c r="J154" s="43"/>
      <c r="M154" s="670"/>
      <c r="N154" s="75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97"/>
      <c r="M155" s="670"/>
      <c r="N155" s="75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5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91" t="s">
        <v>10</v>
      </c>
      <c r="K158" s="928">
        <f>SW_win.ser.201X_EUR</f>
        <v>7.1760000000000002</v>
      </c>
      <c r="L158" s="756"/>
      <c r="M158" s="670"/>
      <c r="N158" s="758"/>
      <c r="O158" s="8"/>
      <c r="Q158" s="682"/>
      <c r="R158" s="682"/>
    </row>
    <row r="159" spans="2:18" ht="25" customHeight="1">
      <c r="B159" s="137" t="s">
        <v>508</v>
      </c>
      <c r="C159" s="130"/>
      <c r="D159" s="38"/>
      <c r="E159" s="38" t="s">
        <v>125</v>
      </c>
      <c r="F159" s="792"/>
      <c r="G159" s="792"/>
      <c r="H159" s="792"/>
      <c r="I159" s="792"/>
      <c r="J159" s="794" t="s">
        <v>10</v>
      </c>
      <c r="K159" s="929">
        <f>SW_win.ser.201X_EUR</f>
        <v>7.1760000000000002</v>
      </c>
      <c r="L159" s="756"/>
      <c r="M159" s="670"/>
      <c r="N159" s="758"/>
      <c r="O159" s="8"/>
      <c r="Q159" s="682"/>
      <c r="R159" s="682"/>
    </row>
    <row r="160" spans="2:18" ht="25" customHeight="1">
      <c r="B160" s="134" t="s">
        <v>665</v>
      </c>
      <c r="C160" s="129"/>
      <c r="D160" s="30"/>
      <c r="E160" s="30" t="s">
        <v>666</v>
      </c>
      <c r="F160" s="30"/>
      <c r="G160" s="30"/>
      <c r="H160" s="30"/>
      <c r="I160" s="30"/>
      <c r="J160" s="791" t="s">
        <v>10</v>
      </c>
      <c r="K160" s="928">
        <f>SW_win.ser.201X_EUR</f>
        <v>7.1760000000000002</v>
      </c>
      <c r="L160" s="756"/>
      <c r="M160" s="670"/>
      <c r="N160" s="758"/>
      <c r="O160" s="8"/>
      <c r="Q160" s="682"/>
      <c r="R160" s="682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92"/>
      <c r="G161" s="792"/>
      <c r="H161" s="792"/>
      <c r="I161" s="792"/>
      <c r="J161" s="794" t="s">
        <v>10</v>
      </c>
      <c r="K161" s="929">
        <f>SW_ms.sql.ser_EUR</f>
        <v>137.816</v>
      </c>
      <c r="M161" s="670"/>
      <c r="N161" s="75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91" t="s">
        <v>94</v>
      </c>
      <c r="K162" s="965" t="str">
        <f>SW_nextcloud_EUR</f>
        <v>Request a quote</v>
      </c>
      <c r="L162" s="756"/>
      <c r="M162" s="670"/>
      <c r="N162" s="758"/>
      <c r="O162" s="8"/>
      <c r="Q162" s="682"/>
      <c r="R162" s="682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92"/>
      <c r="G163" s="792"/>
      <c r="H163" s="792"/>
      <c r="I163" s="792"/>
      <c r="J163" s="794" t="s">
        <v>94</v>
      </c>
      <c r="K163" s="966" t="str">
        <f>SW_suse_EUR</f>
        <v>Request a quote</v>
      </c>
      <c r="M163" s="670"/>
      <c r="N163" s="75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91" t="s">
        <v>94</v>
      </c>
      <c r="K164" s="965" t="str">
        <f>SW_cluster.control_EUR</f>
        <v>3x instance price</v>
      </c>
      <c r="M164" s="670"/>
      <c r="N164" s="75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92"/>
      <c r="G165" s="792"/>
      <c r="H165" s="792"/>
      <c r="I165" s="792"/>
      <c r="J165" s="794" t="s">
        <v>140</v>
      </c>
      <c r="K165" s="929">
        <f>SW_backup.ninja_EUR</f>
        <v>36.799999999999997</v>
      </c>
      <c r="M165" s="670"/>
      <c r="N165" s="758"/>
      <c r="O165" s="8"/>
    </row>
    <row r="166" spans="2:18" ht="25" customHeight="1">
      <c r="B166" s="106"/>
      <c r="C166" s="103"/>
      <c r="D166" s="104"/>
      <c r="E166" s="105"/>
      <c r="F166" s="798"/>
      <c r="G166" s="798"/>
      <c r="H166" s="798"/>
      <c r="I166" s="798"/>
      <c r="J166" s="799"/>
      <c r="K166" s="886"/>
      <c r="M166" s="670"/>
      <c r="N166" s="758"/>
      <c r="O166" s="8"/>
    </row>
    <row r="167" spans="2:18" ht="25" customHeight="1">
      <c r="B167" s="137"/>
      <c r="C167" s="130"/>
      <c r="D167" s="41"/>
      <c r="E167" s="31"/>
      <c r="F167" s="792"/>
      <c r="G167" s="792"/>
      <c r="H167" s="792"/>
      <c r="I167" s="792"/>
      <c r="J167" s="800"/>
      <c r="K167" s="556"/>
      <c r="M167" s="670"/>
      <c r="N167" s="758"/>
      <c r="O167" s="8"/>
    </row>
    <row r="168" spans="2:18" ht="25" customHeight="1">
      <c r="M168" s="670"/>
      <c r="N168" s="75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5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5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50">
        <f>PAAS_man.kubernetes_EUR</f>
        <v>2208</v>
      </c>
      <c r="M172" s="670"/>
      <c r="N172" s="75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92"/>
      <c r="G173" s="792"/>
      <c r="H173" s="792"/>
      <c r="I173" s="792"/>
      <c r="J173" s="800"/>
      <c r="K173" s="929">
        <f>PAAS_man.postgres.sql_EUR</f>
        <v>1380</v>
      </c>
      <c r="M173" s="670"/>
      <c r="N173" s="75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28" t="str">
        <f>PAAS_man.elasticsearch_EUR</f>
        <v>Requests for quotation</v>
      </c>
      <c r="M174" s="670"/>
      <c r="N174" s="75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92"/>
      <c r="G175" s="792"/>
      <c r="H175" s="792"/>
      <c r="I175" s="792"/>
      <c r="J175" s="800"/>
      <c r="K175" s="929">
        <f>PAAS_openshift_EUR</f>
        <v>0</v>
      </c>
      <c r="M175" s="670"/>
      <c r="N175" s="75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28" t="str">
        <f>PAAS_man.nats_EUR</f>
        <v>Requests for quotation</v>
      </c>
      <c r="M176" s="670"/>
      <c r="N176" s="75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92"/>
      <c r="G177" s="792"/>
      <c r="H177" s="792"/>
      <c r="I177" s="792"/>
      <c r="J177" s="800"/>
      <c r="K177" s="929" t="str">
        <f>PAAS_man.mariadb_EUR</f>
        <v>Requests for quotation</v>
      </c>
      <c r="M177" s="670"/>
      <c r="N177" s="75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28" t="str">
        <f>PAAS_man.redis_EUR</f>
        <v>Requests for quotation</v>
      </c>
      <c r="M178" s="670"/>
      <c r="N178" s="758"/>
      <c r="O178" s="8"/>
    </row>
    <row r="179" spans="2:20" ht="25" customHeight="1">
      <c r="B179" s="106"/>
      <c r="C179" s="103"/>
      <c r="D179" s="397"/>
      <c r="E179" s="105"/>
      <c r="F179" s="798"/>
      <c r="G179" s="798"/>
      <c r="H179" s="798"/>
      <c r="I179" s="798"/>
      <c r="J179" s="799"/>
      <c r="K179" s="886"/>
      <c r="M179" s="670"/>
      <c r="N179" s="758"/>
      <c r="O179" s="8"/>
    </row>
    <row r="180" spans="2:20" ht="25" customHeight="1">
      <c r="B180" s="137"/>
      <c r="C180" s="130"/>
      <c r="D180" s="38"/>
      <c r="E180" s="31"/>
      <c r="F180" s="792"/>
      <c r="G180" s="800"/>
      <c r="H180" s="794"/>
      <c r="I180" s="441"/>
      <c r="M180" s="670"/>
    </row>
    <row r="181" spans="2:20" ht="25" customHeight="1">
      <c r="B181" s="417"/>
      <c r="C181" s="26"/>
      <c r="D181" s="26"/>
      <c r="E181" s="26"/>
      <c r="F181" s="777"/>
      <c r="G181" s="778"/>
      <c r="H181" s="26"/>
      <c r="I181" s="756"/>
      <c r="J181" s="756"/>
      <c r="K181" s="875"/>
      <c r="L181" s="758"/>
      <c r="M181" s="670"/>
      <c r="N181" s="682"/>
      <c r="O181" s="682"/>
    </row>
    <row r="182" spans="2:20" s="4" customFormat="1" ht="25" customHeight="1">
      <c r="B182" s="967" t="s">
        <v>585</v>
      </c>
      <c r="C182" s="967"/>
      <c r="D182" s="967"/>
      <c r="E182" s="967"/>
      <c r="F182" s="967"/>
      <c r="G182" s="967"/>
      <c r="H182" s="801"/>
      <c r="J182" s="681"/>
      <c r="K182" s="862"/>
      <c r="M182" s="670"/>
    </row>
    <row r="183" spans="2:20" s="4" customFormat="1" ht="25" customHeight="1">
      <c r="B183" s="967"/>
      <c r="C183" s="967"/>
      <c r="D183" s="967"/>
      <c r="E183" s="967"/>
      <c r="F183" s="967"/>
      <c r="G183" s="967"/>
      <c r="H183" s="801"/>
      <c r="J183" s="681"/>
      <c r="K183" s="862"/>
      <c r="M183" s="670"/>
    </row>
    <row r="184" spans="2:20" s="4" customFormat="1" ht="25" customHeight="1">
      <c r="B184" s="967"/>
      <c r="C184" s="967"/>
      <c r="D184" s="967"/>
      <c r="E184" s="967"/>
      <c r="F184" s="967"/>
      <c r="G184" s="967"/>
      <c r="H184" s="801"/>
      <c r="J184" s="681"/>
      <c r="K184" s="862"/>
      <c r="M184" s="670"/>
    </row>
    <row r="185" spans="2:20" s="4" customFormat="1" ht="25" customHeight="1">
      <c r="B185" s="988" t="s">
        <v>586</v>
      </c>
      <c r="C185" s="988"/>
      <c r="D185" s="988"/>
      <c r="E185" s="988"/>
      <c r="F185" s="988"/>
      <c r="H185" s="801"/>
      <c r="J185" s="681"/>
      <c r="K185" s="862"/>
      <c r="M185" s="670"/>
    </row>
    <row r="186" spans="2:20" s="4" customFormat="1" ht="25" customHeight="1">
      <c r="B186" s="983" t="s">
        <v>587</v>
      </c>
      <c r="C186" s="983"/>
      <c r="D186" s="983"/>
      <c r="E186" s="983"/>
      <c r="F186" s="983"/>
      <c r="G186" s="684"/>
      <c r="H186" s="685"/>
      <c r="I186" s="684"/>
      <c r="J186" s="686"/>
      <c r="K186" s="863"/>
      <c r="L186" s="684"/>
      <c r="M186" s="670"/>
    </row>
    <row r="187" spans="2:20" s="4" customFormat="1" ht="25" customHeight="1">
      <c r="B187" s="465"/>
      <c r="C187" s="133"/>
      <c r="D187" s="133"/>
      <c r="E187" s="133"/>
      <c r="F187" s="133"/>
      <c r="G187" s="684"/>
      <c r="H187" s="685"/>
      <c r="I187" s="684"/>
      <c r="J187" s="686"/>
      <c r="K187" s="863"/>
      <c r="L187" s="684"/>
      <c r="M187" s="670"/>
    </row>
    <row r="188" spans="2:20" ht="25" customHeight="1">
      <c r="B188" s="651" t="s">
        <v>152</v>
      </c>
      <c r="C188" s="13"/>
      <c r="D188" s="13"/>
      <c r="F188" s="13"/>
      <c r="G188" s="13"/>
      <c r="H188" s="13"/>
      <c r="I188" s="13"/>
      <c r="J188" s="13"/>
      <c r="K188" s="887"/>
      <c r="L188" s="13"/>
      <c r="M188" s="670"/>
      <c r="O188" s="758"/>
      <c r="P188" s="758"/>
      <c r="Q188" s="8"/>
      <c r="S188" s="682"/>
      <c r="T188" s="682"/>
    </row>
    <row r="189" spans="2:20" ht="25" customHeight="1">
      <c r="B189" s="630" t="s">
        <v>588</v>
      </c>
      <c r="M189" s="670"/>
    </row>
    <row r="190" spans="2:20" ht="25" customHeight="1">
      <c r="B190" s="470" t="s">
        <v>9</v>
      </c>
      <c r="C190" s="23"/>
      <c r="D190" s="24" t="s">
        <v>64</v>
      </c>
      <c r="E190" s="24"/>
      <c r="F190" s="24"/>
      <c r="G190" s="24"/>
      <c r="H190" s="24"/>
      <c r="I190" s="23" t="s">
        <v>577</v>
      </c>
      <c r="J190" s="23"/>
      <c r="K190" s="614" t="s">
        <v>14</v>
      </c>
      <c r="L190" s="756"/>
      <c r="M190" s="670"/>
      <c r="N190" s="758"/>
      <c r="O190" s="8"/>
      <c r="Q190" s="682"/>
      <c r="R190" s="682"/>
    </row>
    <row r="191" spans="2:20" ht="25" customHeight="1">
      <c r="B191" s="134" t="s">
        <v>519</v>
      </c>
      <c r="C191" s="129"/>
      <c r="D191" s="30" t="s">
        <v>589</v>
      </c>
      <c r="E191" s="40"/>
      <c r="F191" s="30"/>
      <c r="G191" s="40"/>
      <c r="H191" s="40"/>
      <c r="I191" s="796" t="s">
        <v>606</v>
      </c>
      <c r="J191" s="796"/>
      <c r="K191" s="928">
        <v>0</v>
      </c>
      <c r="L191" s="756"/>
      <c r="M191" s="670"/>
      <c r="N191" s="758"/>
      <c r="O191" s="8"/>
      <c r="Q191" s="682"/>
      <c r="R191" s="682"/>
    </row>
    <row r="192" spans="2:20" ht="25" customHeight="1">
      <c r="B192" s="137" t="s">
        <v>520</v>
      </c>
      <c r="C192" s="130"/>
      <c r="D192" s="38" t="s">
        <v>156</v>
      </c>
      <c r="E192" s="31"/>
      <c r="F192" s="792"/>
      <c r="G192" s="800"/>
      <c r="H192" s="800"/>
      <c r="I192" s="794" t="s">
        <v>157</v>
      </c>
      <c r="J192" s="794"/>
      <c r="K192" s="556" t="s">
        <v>590</v>
      </c>
      <c r="L192" s="756"/>
      <c r="M192" s="670"/>
      <c r="N192" s="758"/>
      <c r="O192" s="8"/>
      <c r="Q192" s="682"/>
      <c r="R192" s="682"/>
    </row>
    <row r="193" spans="2:18" ht="25" customHeight="1">
      <c r="B193" s="134" t="s">
        <v>521</v>
      </c>
      <c r="C193" s="129"/>
      <c r="D193" s="30" t="s">
        <v>160</v>
      </c>
      <c r="E193" s="129"/>
      <c r="F193" s="129"/>
      <c r="G193" s="129"/>
      <c r="H193" s="40"/>
      <c r="I193" s="791" t="s">
        <v>161</v>
      </c>
      <c r="J193" s="791"/>
      <c r="K193" s="557" t="s">
        <v>592</v>
      </c>
      <c r="L193" s="756"/>
      <c r="M193" s="670"/>
      <c r="N193" s="758"/>
      <c r="O193" s="8"/>
      <c r="Q193" s="682"/>
      <c r="R193" s="682"/>
    </row>
    <row r="194" spans="2:18" ht="25" customHeight="1">
      <c r="B194" s="106"/>
      <c r="C194" s="103"/>
      <c r="D194" s="103"/>
      <c r="E194" s="105"/>
      <c r="F194" s="798"/>
      <c r="G194" s="799"/>
      <c r="H194" s="799"/>
      <c r="I194" s="802"/>
      <c r="J194" s="802"/>
      <c r="K194" s="886"/>
      <c r="L194" s="756"/>
      <c r="M194" s="670"/>
      <c r="N194" s="758"/>
      <c r="O194" s="8"/>
      <c r="Q194" s="682"/>
      <c r="R194" s="682"/>
    </row>
    <row r="195" spans="2:18" ht="25" customHeight="1">
      <c r="B195" s="137"/>
      <c r="C195" s="130"/>
      <c r="D195" s="38"/>
      <c r="E195" s="31"/>
      <c r="F195" s="792"/>
      <c r="G195" s="800"/>
      <c r="H195" s="800"/>
      <c r="I195" s="794"/>
      <c r="J195" s="794"/>
      <c r="K195" s="556"/>
      <c r="L195" s="756"/>
      <c r="M195" s="670"/>
      <c r="N195" s="758"/>
      <c r="O195" s="8"/>
      <c r="Q195" s="682"/>
      <c r="R195" s="682"/>
    </row>
    <row r="196" spans="2:18" s="653" customFormat="1" ht="25" customHeight="1">
      <c r="B196" s="651" t="s">
        <v>593</v>
      </c>
      <c r="C196" s="909"/>
      <c r="D196" s="909"/>
      <c r="F196" s="909"/>
      <c r="G196" s="909"/>
      <c r="H196" s="909"/>
      <c r="I196" s="910"/>
      <c r="J196" s="910"/>
      <c r="K196" s="715"/>
      <c r="L196" s="911"/>
      <c r="M196" s="670"/>
      <c r="N196" s="913"/>
      <c r="O196" s="914"/>
      <c r="Q196" s="914"/>
      <c r="R196" s="914"/>
    </row>
    <row r="197" spans="2:18" ht="25" customHeight="1">
      <c r="B197" s="630" t="s">
        <v>594</v>
      </c>
      <c r="M197" s="670"/>
    </row>
    <row r="198" spans="2:18" ht="25" customHeight="1">
      <c r="B198" s="470" t="s">
        <v>9</v>
      </c>
      <c r="C198" s="23"/>
      <c r="D198" s="24" t="s">
        <v>64</v>
      </c>
      <c r="E198" s="24"/>
      <c r="F198" s="24"/>
      <c r="G198" s="24"/>
      <c r="H198" s="24"/>
      <c r="I198" s="23" t="s">
        <v>577</v>
      </c>
      <c r="J198" s="23"/>
      <c r="K198" s="614" t="s">
        <v>14</v>
      </c>
      <c r="L198" s="756"/>
      <c r="M198" s="670"/>
      <c r="N198" s="758"/>
      <c r="O198" s="8"/>
      <c r="Q198" s="682"/>
      <c r="R198" s="682"/>
    </row>
    <row r="199" spans="2:18" ht="25" customHeight="1">
      <c r="B199" s="134" t="s">
        <v>522</v>
      </c>
      <c r="C199" s="129"/>
      <c r="D199" s="30" t="s">
        <v>166</v>
      </c>
      <c r="E199" s="40"/>
      <c r="F199" s="30"/>
      <c r="G199" s="40"/>
      <c r="H199" s="40"/>
      <c r="I199" s="791" t="s">
        <v>161</v>
      </c>
      <c r="J199" s="791"/>
      <c r="K199" s="928">
        <f>PS_consult.jun_EUR</f>
        <v>103.684</v>
      </c>
      <c r="L199" s="756"/>
      <c r="M199" s="670"/>
      <c r="N199" s="758"/>
      <c r="O199" s="8"/>
      <c r="Q199" s="682"/>
      <c r="R199" s="682"/>
    </row>
    <row r="200" spans="2:18" ht="25" customHeight="1">
      <c r="B200" s="137" t="s">
        <v>523</v>
      </c>
      <c r="C200" s="130"/>
      <c r="D200" s="38" t="s">
        <v>168</v>
      </c>
      <c r="E200" s="31"/>
      <c r="F200" s="792"/>
      <c r="G200" s="800"/>
      <c r="H200" s="800"/>
      <c r="I200" s="794" t="s">
        <v>161</v>
      </c>
      <c r="J200" s="794"/>
      <c r="K200" s="929">
        <f>PS_consult.sen_EUR</f>
        <v>126.408</v>
      </c>
      <c r="L200" s="756"/>
      <c r="M200" s="670"/>
      <c r="N200" s="758"/>
      <c r="O200" s="8"/>
      <c r="Q200" s="682"/>
      <c r="R200" s="682"/>
    </row>
    <row r="201" spans="2:18" ht="25" customHeight="1">
      <c r="B201" s="134" t="s">
        <v>524</v>
      </c>
      <c r="C201" s="129"/>
      <c r="D201" s="30" t="s">
        <v>170</v>
      </c>
      <c r="E201" s="40"/>
      <c r="F201" s="30"/>
      <c r="G201" s="40"/>
      <c r="H201" s="40"/>
      <c r="I201" s="791" t="s">
        <v>161</v>
      </c>
      <c r="J201" s="791"/>
      <c r="K201" s="928">
        <f>PS_cloudarch.jun_EUR</f>
        <v>117.48399999999999</v>
      </c>
      <c r="L201" s="756"/>
      <c r="M201" s="670"/>
      <c r="N201" s="758"/>
      <c r="O201" s="8"/>
      <c r="Q201" s="682"/>
      <c r="R201" s="682"/>
    </row>
    <row r="202" spans="2:18" ht="25" customHeight="1">
      <c r="B202" s="137" t="s">
        <v>525</v>
      </c>
      <c r="C202" s="130"/>
      <c r="D202" s="38" t="s">
        <v>172</v>
      </c>
      <c r="E202" s="38"/>
      <c r="F202" s="38"/>
      <c r="G202" s="800"/>
      <c r="H202" s="800"/>
      <c r="I202" s="794" t="s">
        <v>161</v>
      </c>
      <c r="J202" s="794"/>
      <c r="K202" s="929">
        <f>PS_cloudarch.sen_EUR</f>
        <v>126.408</v>
      </c>
      <c r="L202" s="756"/>
      <c r="M202" s="670"/>
      <c r="N202" s="758"/>
      <c r="O202" s="8"/>
      <c r="Q202" s="682"/>
      <c r="R202" s="682"/>
    </row>
    <row r="203" spans="2:18" ht="25" customHeight="1">
      <c r="B203" s="134" t="s">
        <v>526</v>
      </c>
      <c r="C203" s="129"/>
      <c r="D203" s="30" t="s">
        <v>174</v>
      </c>
      <c r="E203" s="40"/>
      <c r="F203" s="30"/>
      <c r="G203" s="40"/>
      <c r="H203" s="40"/>
      <c r="I203" s="791" t="s">
        <v>161</v>
      </c>
      <c r="J203" s="791"/>
      <c r="K203" s="928">
        <f>PS_pm.jun_EUR</f>
        <v>104.788</v>
      </c>
      <c r="L203" s="756"/>
      <c r="M203" s="670"/>
      <c r="N203" s="758"/>
      <c r="O203" s="8"/>
      <c r="Q203" s="682"/>
      <c r="R203" s="682"/>
    </row>
    <row r="204" spans="2:18" ht="25" customHeight="1">
      <c r="B204" s="137" t="s">
        <v>527</v>
      </c>
      <c r="C204" s="130"/>
      <c r="D204" s="38" t="s">
        <v>176</v>
      </c>
      <c r="E204" s="31"/>
      <c r="F204" s="792"/>
      <c r="G204" s="800"/>
      <c r="H204" s="800"/>
      <c r="I204" s="794" t="s">
        <v>161</v>
      </c>
      <c r="J204" s="794"/>
      <c r="K204" s="929">
        <f>PS_pm.sen_EUR</f>
        <v>126.408</v>
      </c>
      <c r="L204" s="756"/>
      <c r="M204" s="670"/>
      <c r="N204" s="758"/>
      <c r="O204" s="8"/>
      <c r="Q204" s="682"/>
      <c r="R204" s="682"/>
    </row>
    <row r="205" spans="2:18" ht="25" customHeight="1">
      <c r="B205" s="106"/>
      <c r="C205" s="103"/>
      <c r="D205" s="397"/>
      <c r="E205" s="105"/>
      <c r="F205" s="798"/>
      <c r="G205" s="799"/>
      <c r="H205" s="799"/>
      <c r="I205" s="802"/>
      <c r="J205" s="802"/>
      <c r="K205" s="886"/>
      <c r="L205" s="756"/>
      <c r="M205" s="670"/>
      <c r="N205" s="758"/>
      <c r="O205" s="8"/>
      <c r="Q205" s="682"/>
      <c r="R205" s="682"/>
    </row>
    <row r="206" spans="2:18" ht="25" customHeight="1">
      <c r="B206" s="137"/>
      <c r="C206" s="130"/>
      <c r="D206" s="38"/>
      <c r="E206" s="31"/>
      <c r="F206" s="792"/>
      <c r="G206" s="800"/>
      <c r="H206" s="800"/>
      <c r="I206" s="794"/>
      <c r="J206" s="794"/>
      <c r="K206" s="556"/>
      <c r="M206" s="670"/>
      <c r="N206" s="758"/>
      <c r="O206" s="8"/>
    </row>
    <row r="207" spans="2:18" ht="25" customHeight="1">
      <c r="B207" s="651" t="s">
        <v>595</v>
      </c>
      <c r="C207" s="13"/>
      <c r="D207" s="13"/>
      <c r="F207" s="13"/>
      <c r="G207" s="13"/>
      <c r="H207" s="13"/>
      <c r="I207" s="797"/>
      <c r="J207" s="797"/>
      <c r="L207" s="756"/>
      <c r="M207" s="670"/>
      <c r="N207" s="758"/>
      <c r="O207" s="8"/>
      <c r="Q207" s="682"/>
      <c r="R207" s="682"/>
    </row>
    <row r="208" spans="2:18" ht="25" customHeight="1">
      <c r="B208" s="630" t="s">
        <v>596</v>
      </c>
      <c r="M208" s="670"/>
    </row>
    <row r="209" spans="1:18" ht="25" customHeight="1">
      <c r="B209" s="470" t="s">
        <v>9</v>
      </c>
      <c r="C209" s="23"/>
      <c r="D209" s="24" t="s">
        <v>64</v>
      </c>
      <c r="E209" s="132"/>
      <c r="F209" s="24"/>
      <c r="G209" s="131" t="s">
        <v>178</v>
      </c>
      <c r="H209" s="23"/>
      <c r="I209" s="132" t="s">
        <v>577</v>
      </c>
      <c r="J209" s="23"/>
      <c r="K209" s="614" t="s">
        <v>179</v>
      </c>
      <c r="L209" s="756"/>
      <c r="M209" s="670"/>
      <c r="N209" s="758"/>
      <c r="O209" s="8"/>
      <c r="Q209" s="682"/>
      <c r="R209" s="682"/>
    </row>
    <row r="210" spans="1:18" ht="25" customHeight="1">
      <c r="B210" s="134" t="s">
        <v>528</v>
      </c>
      <c r="C210" s="129"/>
      <c r="D210" s="30" t="s">
        <v>182</v>
      </c>
      <c r="E210" s="40"/>
      <c r="F210" s="30"/>
      <c r="G210" s="40" t="s">
        <v>181</v>
      </c>
      <c r="H210" s="791"/>
      <c r="I210" s="951" t="s">
        <v>183</v>
      </c>
      <c r="J210" s="791"/>
      <c r="K210" s="557" t="s">
        <v>592</v>
      </c>
      <c r="L210" s="756"/>
      <c r="M210" s="670"/>
      <c r="N210" s="758"/>
      <c r="O210" s="8"/>
      <c r="Q210" s="682"/>
      <c r="R210" s="682"/>
    </row>
    <row r="211" spans="1:18" ht="25" customHeight="1">
      <c r="B211" s="137" t="s">
        <v>529</v>
      </c>
      <c r="C211" s="130"/>
      <c r="D211" s="38" t="s">
        <v>597</v>
      </c>
      <c r="E211" s="31"/>
      <c r="F211" s="792"/>
      <c r="G211" s="800" t="s">
        <v>181</v>
      </c>
      <c r="H211" s="794"/>
      <c r="I211" s="952" t="s">
        <v>183</v>
      </c>
      <c r="J211" s="794"/>
      <c r="K211" s="556" t="s">
        <v>592</v>
      </c>
      <c r="L211" s="756"/>
      <c r="M211" s="670"/>
      <c r="N211" s="758"/>
      <c r="O211" s="8"/>
      <c r="Q211" s="682"/>
      <c r="R211" s="682"/>
    </row>
    <row r="212" spans="1:18" ht="25" customHeight="1">
      <c r="B212" s="134" t="s">
        <v>530</v>
      </c>
      <c r="C212" s="129"/>
      <c r="D212" s="30" t="s">
        <v>598</v>
      </c>
      <c r="E212" s="40"/>
      <c r="F212" s="30"/>
      <c r="G212" s="40" t="s">
        <v>187</v>
      </c>
      <c r="H212" s="791"/>
      <c r="I212" s="951" t="s">
        <v>183</v>
      </c>
      <c r="J212" s="791"/>
      <c r="K212" s="557" t="s">
        <v>592</v>
      </c>
      <c r="L212" s="756"/>
      <c r="M212" s="670"/>
      <c r="N212" s="758"/>
      <c r="O212" s="8"/>
      <c r="Q212" s="682"/>
      <c r="R212" s="682"/>
    </row>
    <row r="213" spans="1:18" ht="25" customHeight="1">
      <c r="B213" s="137" t="s">
        <v>531</v>
      </c>
      <c r="C213" s="130"/>
      <c r="D213" s="38" t="s">
        <v>599</v>
      </c>
      <c r="E213" s="31"/>
      <c r="F213" s="792"/>
      <c r="G213" s="800" t="s">
        <v>187</v>
      </c>
      <c r="H213" s="794"/>
      <c r="I213" s="952" t="s">
        <v>183</v>
      </c>
      <c r="J213" s="794"/>
      <c r="K213" s="556" t="s">
        <v>592</v>
      </c>
      <c r="L213" s="756"/>
      <c r="M213" s="670"/>
      <c r="N213" s="758"/>
      <c r="O213" s="8"/>
      <c r="Q213" s="682"/>
      <c r="R213" s="682"/>
    </row>
    <row r="214" spans="1:18" ht="25" customHeight="1">
      <c r="B214" s="106"/>
      <c r="C214" s="103"/>
      <c r="D214" s="397"/>
      <c r="E214" s="105"/>
      <c r="F214" s="798"/>
      <c r="G214" s="799"/>
      <c r="H214" s="799"/>
      <c r="I214" s="799"/>
      <c r="J214" s="799"/>
      <c r="K214" s="886"/>
      <c r="L214" s="756"/>
      <c r="M214" s="670"/>
      <c r="N214" s="758"/>
      <c r="O214" s="8"/>
      <c r="Q214" s="682"/>
      <c r="R214" s="682"/>
    </row>
    <row r="215" spans="1:18" ht="25" customHeight="1">
      <c r="B215" s="417"/>
      <c r="C215" s="26"/>
      <c r="D215" s="26"/>
      <c r="E215" s="26"/>
      <c r="F215" s="777"/>
      <c r="G215" s="778"/>
      <c r="H215" s="756"/>
      <c r="I215" s="756"/>
      <c r="J215" s="756"/>
      <c r="K215" s="876"/>
      <c r="L215" s="758"/>
      <c r="M215" s="670"/>
      <c r="N215" s="682"/>
      <c r="O215" s="682"/>
    </row>
    <row r="216" spans="1:18" ht="25" customHeight="1">
      <c r="A216" s="788"/>
      <c r="B216" s="642"/>
      <c r="C216" s="60"/>
      <c r="D216" s="60"/>
      <c r="E216" s="60"/>
      <c r="F216" s="803"/>
      <c r="G216" s="804"/>
      <c r="H216" s="805"/>
      <c r="I216" s="806"/>
      <c r="J216" s="807"/>
      <c r="K216" s="888"/>
      <c r="L216" s="808"/>
      <c r="M216" s="670"/>
      <c r="N216" s="682"/>
      <c r="O216" s="682"/>
    </row>
    <row r="217" spans="1:18" s="4" customFormat="1" ht="25" customHeight="1">
      <c r="A217" s="3"/>
      <c r="B217" s="643"/>
      <c r="C217" s="54"/>
      <c r="D217" s="54"/>
      <c r="E217" s="54"/>
      <c r="F217" s="809"/>
      <c r="G217" s="810"/>
      <c r="H217" s="811"/>
      <c r="I217" s="812"/>
      <c r="J217" s="813"/>
      <c r="K217" s="889"/>
      <c r="L217" s="3"/>
      <c r="M217" s="670"/>
    </row>
    <row r="218" spans="1:18" s="4" customFormat="1" ht="25" customHeight="1">
      <c r="A218" s="3"/>
      <c r="B218" s="643"/>
      <c r="C218" s="54"/>
      <c r="D218" s="54"/>
      <c r="E218" s="54"/>
      <c r="F218" s="809"/>
      <c r="G218" s="810"/>
      <c r="H218" s="811"/>
      <c r="I218" s="812"/>
      <c r="J218" s="813"/>
      <c r="K218" s="889"/>
      <c r="L218" s="3"/>
      <c r="M218" s="670"/>
    </row>
    <row r="219" spans="1:18" s="4" customFormat="1" ht="25" customHeight="1">
      <c r="A219" s="3"/>
      <c r="B219" s="643"/>
      <c r="C219" s="54"/>
      <c r="D219" s="54"/>
      <c r="E219" s="54"/>
      <c r="F219" s="809"/>
      <c r="G219" s="810"/>
      <c r="H219" s="811"/>
      <c r="I219" s="812"/>
      <c r="J219" s="813"/>
      <c r="K219" s="889"/>
      <c r="L219" s="3"/>
      <c r="M219" s="670"/>
    </row>
    <row r="220" spans="1:18" s="4" customFormat="1" ht="25" customHeight="1">
      <c r="A220" s="3"/>
      <c r="B220" s="986" t="s">
        <v>191</v>
      </c>
      <c r="C220" s="986"/>
      <c r="D220" s="986"/>
      <c r="E220" s="986"/>
      <c r="F220" s="986"/>
      <c r="G220" s="986"/>
      <c r="H220" s="672"/>
      <c r="I220" s="814"/>
      <c r="J220" s="3"/>
      <c r="K220" s="860"/>
      <c r="L220" s="3"/>
      <c r="M220" s="670"/>
    </row>
    <row r="221" spans="1:18" s="4" customFormat="1" ht="25" customHeight="1">
      <c r="A221" s="3"/>
      <c r="B221" s="986"/>
      <c r="C221" s="986"/>
      <c r="D221" s="986"/>
      <c r="E221" s="986"/>
      <c r="F221" s="986"/>
      <c r="G221" s="986"/>
      <c r="H221" s="672"/>
      <c r="I221" s="814"/>
      <c r="J221" s="3"/>
      <c r="K221" s="860"/>
      <c r="L221" s="3"/>
      <c r="M221" s="670"/>
    </row>
    <row r="222" spans="1:18" s="4" customFormat="1" ht="25" customHeight="1">
      <c r="A222" s="3"/>
      <c r="B222" s="986"/>
      <c r="C222" s="986"/>
      <c r="D222" s="986"/>
      <c r="E222" s="986"/>
      <c r="F222" s="986"/>
      <c r="G222" s="986"/>
      <c r="H222" s="672"/>
      <c r="I222" s="814"/>
      <c r="J222" s="3"/>
      <c r="K222" s="860"/>
      <c r="L222" s="3"/>
      <c r="M222" s="670"/>
    </row>
    <row r="223" spans="1:18" s="4" customFormat="1" ht="25" customHeight="1">
      <c r="A223" s="3"/>
      <c r="B223" s="987" t="s">
        <v>587</v>
      </c>
      <c r="C223" s="987"/>
      <c r="D223" s="987"/>
      <c r="E223" s="987"/>
      <c r="F223" s="987"/>
      <c r="G223" s="3"/>
      <c r="H223" s="672"/>
      <c r="I223" s="814"/>
      <c r="J223" s="3"/>
      <c r="K223" s="860"/>
      <c r="L223" s="815"/>
      <c r="M223" s="670"/>
    </row>
    <row r="224" spans="1:18" s="4" customFormat="1" ht="25" customHeight="1">
      <c r="A224" s="3"/>
      <c r="B224" s="636"/>
      <c r="C224" s="62"/>
      <c r="D224" s="62"/>
      <c r="E224" s="62"/>
      <c r="F224" s="62"/>
      <c r="G224" s="3"/>
      <c r="H224" s="672"/>
      <c r="I224" s="814"/>
      <c r="J224" s="3"/>
      <c r="K224" s="860"/>
      <c r="L224" s="815"/>
      <c r="M224" s="670"/>
    </row>
    <row r="225" spans="1:20" s="4" customFormat="1" ht="25" customHeight="1">
      <c r="A225" s="3"/>
      <c r="B225" s="422" t="s">
        <v>601</v>
      </c>
      <c r="C225" s="62"/>
      <c r="D225" s="62"/>
      <c r="E225" s="62"/>
      <c r="F225" s="62"/>
      <c r="G225" s="3"/>
      <c r="H225" s="672"/>
      <c r="I225" s="814"/>
      <c r="J225" s="3"/>
      <c r="K225" s="860"/>
      <c r="L225" s="815"/>
      <c r="M225" s="670"/>
    </row>
    <row r="226" spans="1:20" s="4" customFormat="1" ht="25" customHeight="1">
      <c r="A226" s="3"/>
      <c r="B226" s="418" t="s">
        <v>602</v>
      </c>
      <c r="C226" s="62"/>
      <c r="D226" s="62"/>
      <c r="E226" s="62"/>
      <c r="F226" s="62"/>
      <c r="G226" s="3"/>
      <c r="H226" s="672"/>
      <c r="I226" s="3"/>
      <c r="J226" s="673"/>
      <c r="K226" s="860"/>
      <c r="L226" s="815"/>
      <c r="M226" s="670"/>
    </row>
    <row r="227" spans="1:20" s="4" customFormat="1" ht="25" customHeight="1">
      <c r="A227" s="3"/>
      <c r="B227" s="964" t="s">
        <v>3</v>
      </c>
      <c r="C227" s="67"/>
      <c r="D227" s="67"/>
      <c r="E227" s="67"/>
      <c r="F227" s="67"/>
      <c r="G227" s="815"/>
      <c r="H227" s="816"/>
      <c r="I227" s="815"/>
      <c r="J227" s="817"/>
      <c r="K227" s="890"/>
      <c r="L227" s="815"/>
      <c r="M227" s="670"/>
    </row>
    <row r="228" spans="1:20" s="728" customFormat="1" ht="25" customHeight="1">
      <c r="A228" s="818"/>
      <c r="B228" s="915"/>
      <c r="C228" s="135"/>
      <c r="D228" s="135"/>
      <c r="E228" s="135"/>
      <c r="F228" s="135"/>
      <c r="G228" s="815"/>
      <c r="H228" s="816"/>
      <c r="I228" s="815"/>
      <c r="J228" s="817"/>
      <c r="K228" s="890"/>
      <c r="L228" s="818"/>
      <c r="M228" s="670"/>
      <c r="N228" s="819"/>
      <c r="O228" s="745"/>
      <c r="P228" s="745"/>
      <c r="Q228" s="745"/>
      <c r="R228" s="745"/>
      <c r="S228" s="745"/>
      <c r="T228" s="745"/>
    </row>
    <row r="229" spans="1:20" ht="25" customHeight="1">
      <c r="A229" s="2"/>
      <c r="B229" s="644" t="s">
        <v>603</v>
      </c>
      <c r="C229" s="56"/>
      <c r="D229" s="57"/>
      <c r="E229" s="56"/>
      <c r="F229" s="665"/>
      <c r="G229" s="665"/>
      <c r="H229" s="665"/>
      <c r="I229" s="56"/>
      <c r="J229" s="665" t="s">
        <v>600</v>
      </c>
      <c r="K229" s="891"/>
      <c r="L229" s="820"/>
      <c r="M229" s="670"/>
      <c r="N229" s="28"/>
    </row>
    <row r="230" spans="1:20" ht="25" customHeight="1">
      <c r="A230" s="2"/>
      <c r="B230" s="854" t="s">
        <v>4</v>
      </c>
      <c r="C230" s="661" t="str" cm="1">
        <f t="array" ref="C230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0" s="71"/>
      <c r="E230" s="661"/>
      <c r="F230" s="661"/>
      <c r="G230" s="662"/>
      <c r="H230" s="821"/>
      <c r="I230" s="822"/>
      <c r="J230" s="953">
        <f>K64+K73+K55+K38+K82</f>
        <v>0</v>
      </c>
      <c r="K230" s="857"/>
      <c r="L230" s="2"/>
      <c r="M230" s="670"/>
      <c r="N230" s="28"/>
    </row>
    <row r="231" spans="1:20" ht="25" customHeight="1">
      <c r="A231" s="2"/>
      <c r="B231" s="493" t="s">
        <v>72</v>
      </c>
      <c r="C231" s="612" t="str">
        <f>K94&amp;" TB - S3"&amp;"     /     "&amp;K93&amp;" TB - Archive"</f>
        <v>0 TB - S3     /     0 TB - Archive</v>
      </c>
      <c r="D231" s="663"/>
      <c r="E231" s="663"/>
      <c r="F231" s="823"/>
      <c r="G231" s="824"/>
      <c r="H231" s="824"/>
      <c r="I231" s="825"/>
      <c r="J231" s="954">
        <f>K95</f>
        <v>0</v>
      </c>
      <c r="K231" s="857"/>
      <c r="L231" s="2"/>
      <c r="M231" s="670"/>
      <c r="N231" s="28"/>
    </row>
    <row r="232" spans="1:20" ht="25" customHeight="1">
      <c r="A232" s="2"/>
      <c r="B232" s="493" t="s">
        <v>86</v>
      </c>
      <c r="C232" s="136"/>
      <c r="D232" s="72"/>
      <c r="E232" s="73"/>
      <c r="F232" s="823"/>
      <c r="G232" s="824"/>
      <c r="H232" s="824"/>
      <c r="I232" s="825"/>
      <c r="J232" s="954">
        <f>K119</f>
        <v>0</v>
      </c>
      <c r="K232" s="857"/>
      <c r="L232" s="2"/>
      <c r="M232" s="670"/>
      <c r="N232" s="28"/>
    </row>
    <row r="233" spans="1:20" s="829" customFormat="1" ht="25" customHeight="1">
      <c r="A233" s="826"/>
      <c r="B233" s="466" t="s">
        <v>442</v>
      </c>
      <c r="C233" s="656" t="str">
        <f>IF(J131=1,"Fully managed service - support weekdays 08: 00-17: 00",IF(J131=3,"Fully managed service - support around the clock, every day",""))</f>
        <v/>
      </c>
      <c r="D233" s="33"/>
      <c r="E233" s="34"/>
      <c r="F233" s="35"/>
      <c r="G233" s="827"/>
      <c r="H233" s="827"/>
      <c r="I233" s="774"/>
      <c r="J233" s="939">
        <f>K133</f>
        <v>0</v>
      </c>
      <c r="K233" s="857"/>
      <c r="L233" s="826"/>
      <c r="M233" s="670"/>
    </row>
    <row r="234" spans="1:20" s="835" customFormat="1" ht="25" customHeight="1">
      <c r="A234" s="830"/>
      <c r="B234" s="664" t="s">
        <v>30</v>
      </c>
      <c r="C234" s="659"/>
      <c r="D234" s="660"/>
      <c r="E234" s="660"/>
      <c r="F234" s="831"/>
      <c r="G234" s="832"/>
      <c r="H234" s="832"/>
      <c r="I234" s="833"/>
      <c r="J234" s="955">
        <f>SUM(J230:J233)</f>
        <v>0</v>
      </c>
      <c r="K234" s="892"/>
      <c r="L234" s="830"/>
      <c r="M234" s="670"/>
    </row>
    <row r="235" spans="1:20" ht="25" customHeight="1">
      <c r="A235" s="2"/>
      <c r="B235" s="421"/>
      <c r="C235" s="59"/>
      <c r="D235" s="59"/>
      <c r="E235" s="59"/>
      <c r="F235" s="836"/>
      <c r="G235" s="837"/>
      <c r="H235" s="837"/>
      <c r="I235" s="838"/>
      <c r="J235" s="838"/>
      <c r="K235" s="893"/>
      <c r="L235" s="2"/>
      <c r="M235" s="670"/>
    </row>
    <row r="236" spans="1:20" ht="25" customHeight="1">
      <c r="A236" s="2"/>
      <c r="B236" s="645"/>
      <c r="C236" s="30"/>
      <c r="D236" s="36"/>
      <c r="E236" s="37"/>
      <c r="F236" s="40"/>
      <c r="G236" s="442"/>
      <c r="H236" s="30"/>
      <c r="I236" s="795"/>
      <c r="J236" s="750"/>
      <c r="K236" s="857"/>
      <c r="L236" s="2"/>
      <c r="M236" s="670"/>
    </row>
    <row r="237" spans="1:20" ht="25" customHeight="1">
      <c r="A237" s="839"/>
      <c r="B237" s="646"/>
      <c r="C237" s="42"/>
      <c r="D237" s="33"/>
      <c r="E237" s="34"/>
      <c r="F237" s="840"/>
      <c r="G237" s="827"/>
      <c r="H237" s="42"/>
      <c r="I237" s="841"/>
      <c r="J237" s="437"/>
      <c r="K237" s="596"/>
      <c r="L237" s="842"/>
      <c r="M237" s="670"/>
    </row>
    <row r="238" spans="1:20" s="112" customFormat="1" ht="25" customHeight="1">
      <c r="B238" s="647"/>
      <c r="C238" s="108"/>
      <c r="D238" s="109"/>
      <c r="E238" s="110"/>
      <c r="F238" s="843"/>
      <c r="G238" s="844"/>
      <c r="H238" s="108"/>
      <c r="I238" s="845"/>
      <c r="J238" s="846"/>
      <c r="K238" s="894"/>
    </row>
    <row r="239" spans="1:20" s="112" customFormat="1" ht="25" customHeight="1">
      <c r="B239" s="1089" t="s">
        <v>565</v>
      </c>
      <c r="C239" s="108"/>
      <c r="D239" s="108"/>
      <c r="E239" s="108"/>
      <c r="F239" s="847"/>
      <c r="G239" s="848"/>
      <c r="H239" s="849"/>
      <c r="I239" s="849"/>
      <c r="J239" s="849"/>
      <c r="K239" s="895"/>
      <c r="L239" s="846"/>
      <c r="M239" s="846"/>
      <c r="N239" s="846"/>
    </row>
    <row r="240" spans="1:20" s="112" customFormat="1" ht="25" customHeight="1">
      <c r="B240" s="1090" t="s">
        <v>566</v>
      </c>
      <c r="C240" s="108"/>
      <c r="D240" s="108"/>
      <c r="E240" s="108"/>
      <c r="F240" s="847"/>
      <c r="G240" s="848"/>
      <c r="H240" s="849"/>
      <c r="I240" s="849"/>
      <c r="J240" s="849"/>
      <c r="K240" s="895"/>
      <c r="L240" s="846"/>
      <c r="M240" s="846"/>
      <c r="N240" s="846"/>
    </row>
    <row r="241" spans="1:23" s="112" customFormat="1" ht="25" customHeight="1">
      <c r="B241" s="1091" t="s">
        <v>567</v>
      </c>
      <c r="C241" s="108"/>
      <c r="D241" s="108"/>
      <c r="E241" s="108"/>
      <c r="F241" s="847"/>
      <c r="G241" s="848"/>
      <c r="H241" s="849"/>
      <c r="I241" s="849"/>
      <c r="J241" s="849"/>
      <c r="K241" s="895"/>
      <c r="L241" s="846"/>
      <c r="M241" s="846"/>
      <c r="N241" s="846"/>
    </row>
    <row r="242" spans="1:23" s="112" customFormat="1" ht="25" customHeight="1">
      <c r="B242" s="1090" t="s">
        <v>568</v>
      </c>
      <c r="C242" s="108"/>
      <c r="D242" s="108"/>
      <c r="E242" s="108"/>
      <c r="F242" s="847"/>
      <c r="G242" s="848"/>
      <c r="H242" s="849"/>
      <c r="I242" s="849"/>
      <c r="J242" s="849"/>
      <c r="K242" s="895"/>
      <c r="L242" s="846"/>
      <c r="M242" s="846"/>
      <c r="N242" s="846"/>
    </row>
    <row r="243" spans="1:23" s="112" customFormat="1" ht="25" customHeight="1">
      <c r="B243" s="1092" t="s">
        <v>675</v>
      </c>
      <c r="C243" s="108"/>
      <c r="D243" s="108"/>
      <c r="E243" s="108"/>
      <c r="F243" s="847"/>
      <c r="G243" s="848"/>
      <c r="H243" s="849"/>
      <c r="I243" s="849"/>
      <c r="J243" s="849"/>
      <c r="K243" s="895"/>
      <c r="L243" s="846"/>
      <c r="M243" s="846"/>
      <c r="N243" s="846"/>
    </row>
    <row r="244" spans="1:23" s="112" customFormat="1" ht="25" customHeight="1">
      <c r="B244" s="647"/>
      <c r="C244" s="108"/>
      <c r="D244" s="108"/>
      <c r="E244" s="108"/>
      <c r="F244" s="847"/>
      <c r="G244" s="848"/>
      <c r="H244" s="849"/>
      <c r="I244" s="849"/>
      <c r="J244" s="849"/>
      <c r="K244" s="895"/>
      <c r="L244" s="846"/>
      <c r="M244" s="846"/>
      <c r="N244" s="846"/>
    </row>
    <row r="245" spans="1:23" s="112" customFormat="1" ht="25" customHeight="1">
      <c r="B245" s="647"/>
      <c r="C245" s="108"/>
      <c r="D245" s="108"/>
      <c r="E245" s="108"/>
      <c r="F245" s="847"/>
      <c r="G245" s="848"/>
      <c r="H245" s="849"/>
      <c r="I245" s="849"/>
      <c r="J245" s="849"/>
      <c r="K245" s="895"/>
      <c r="L245" s="846"/>
      <c r="M245" s="846"/>
      <c r="N245" s="846"/>
    </row>
    <row r="246" spans="1:23" s="112" customFormat="1" ht="25" customHeight="1">
      <c r="B246" s="647"/>
      <c r="C246" s="108"/>
      <c r="D246" s="108"/>
      <c r="E246" s="108"/>
      <c r="F246" s="847"/>
      <c r="G246" s="848"/>
      <c r="H246" s="849"/>
      <c r="I246" s="849"/>
      <c r="J246" s="849"/>
      <c r="K246" s="895"/>
      <c r="L246" s="846"/>
      <c r="M246" s="846"/>
      <c r="N246" s="846"/>
    </row>
    <row r="247" spans="1:23" s="112" customFormat="1" ht="25" customHeight="1">
      <c r="B247" s="647"/>
      <c r="C247" s="108"/>
      <c r="D247" s="108"/>
      <c r="E247" s="108"/>
      <c r="F247" s="847"/>
      <c r="G247" s="848"/>
      <c r="H247" s="849"/>
      <c r="I247" s="849"/>
      <c r="J247" s="849"/>
      <c r="K247" s="895"/>
      <c r="L247" s="846"/>
      <c r="M247" s="846"/>
      <c r="N247" s="846"/>
    </row>
    <row r="248" spans="1:23" s="850" customFormat="1" ht="25" customHeight="1">
      <c r="A248" s="112"/>
      <c r="B248" s="647"/>
      <c r="C248" s="108"/>
      <c r="D248" s="108"/>
      <c r="E248" s="108"/>
      <c r="F248" s="847"/>
      <c r="G248" s="848"/>
      <c r="H248" s="849"/>
      <c r="I248" s="849"/>
      <c r="J248" s="849"/>
      <c r="K248" s="895"/>
      <c r="L248" s="846"/>
      <c r="M248" s="846"/>
      <c r="N248" s="846"/>
      <c r="O248" s="112"/>
      <c r="P248" s="112"/>
      <c r="Q248" s="112"/>
      <c r="R248" s="112"/>
      <c r="S248" s="112"/>
      <c r="T248" s="112"/>
      <c r="U248" s="112"/>
      <c r="V248" s="112"/>
      <c r="W248" s="112"/>
    </row>
    <row r="249" spans="1:23" s="112" customFormat="1" ht="25" customHeight="1">
      <c r="B249" s="647"/>
      <c r="C249" s="108"/>
      <c r="D249" s="108"/>
      <c r="E249" s="108"/>
      <c r="F249" s="847"/>
      <c r="G249" s="848"/>
      <c r="H249" s="849"/>
      <c r="I249" s="849"/>
      <c r="J249" s="849"/>
      <c r="K249" s="895"/>
      <c r="L249" s="846"/>
      <c r="M249" s="846"/>
      <c r="N249" s="846"/>
    </row>
    <row r="250" spans="1:23" s="112" customFormat="1" ht="25" customHeight="1">
      <c r="B250" s="647"/>
      <c r="C250" s="108"/>
      <c r="D250" s="108"/>
      <c r="E250" s="108"/>
      <c r="F250" s="847"/>
      <c r="G250" s="848"/>
      <c r="H250" s="849"/>
      <c r="I250" s="849"/>
      <c r="J250" s="849"/>
      <c r="K250" s="895"/>
      <c r="L250" s="846"/>
      <c r="M250" s="846"/>
      <c r="N250" s="846"/>
    </row>
    <row r="251" spans="1:23" s="112" customFormat="1" ht="25" customHeight="1">
      <c r="B251" s="647"/>
      <c r="C251" s="108"/>
      <c r="D251" s="108"/>
      <c r="E251" s="108"/>
      <c r="F251" s="847"/>
      <c r="G251" s="848"/>
      <c r="H251" s="849"/>
      <c r="I251" s="849"/>
      <c r="J251" s="849"/>
      <c r="K251" s="895"/>
      <c r="L251" s="846"/>
      <c r="M251" s="846"/>
      <c r="N251" s="846"/>
    </row>
    <row r="252" spans="1:23" s="112" customFormat="1" ht="25" customHeight="1">
      <c r="B252" s="647"/>
      <c r="C252" s="108"/>
      <c r="D252" s="108"/>
      <c r="E252" s="108"/>
      <c r="F252" s="847"/>
      <c r="G252" s="848"/>
      <c r="H252" s="849"/>
      <c r="I252" s="849"/>
      <c r="J252" s="849"/>
      <c r="K252" s="895"/>
      <c r="L252" s="846"/>
      <c r="M252" s="846"/>
      <c r="N252" s="846"/>
    </row>
    <row r="253" spans="1:23" s="112" customFormat="1" ht="25" customHeight="1">
      <c r="B253" s="647"/>
      <c r="C253" s="108"/>
      <c r="D253" s="108"/>
      <c r="E253" s="108"/>
      <c r="F253" s="847"/>
      <c r="G253" s="848"/>
      <c r="H253" s="849"/>
      <c r="I253" s="849"/>
      <c r="J253" s="849"/>
      <c r="K253" s="895"/>
      <c r="L253" s="846"/>
      <c r="M253" s="846"/>
      <c r="N253" s="846"/>
    </row>
    <row r="254" spans="1:23" s="112" customFormat="1" ht="25" customHeight="1">
      <c r="B254" s="647"/>
      <c r="C254" s="108"/>
      <c r="D254" s="108"/>
      <c r="E254" s="108"/>
      <c r="F254" s="847"/>
      <c r="G254" s="848"/>
      <c r="H254" s="849"/>
      <c r="I254" s="849"/>
      <c r="J254" s="849"/>
      <c r="K254" s="895"/>
      <c r="L254" s="846"/>
      <c r="M254" s="846"/>
      <c r="N254" s="846"/>
    </row>
    <row r="255" spans="1:23" s="112" customFormat="1" ht="25" customHeight="1">
      <c r="B255" s="647"/>
      <c r="C255" s="108"/>
      <c r="D255" s="108"/>
      <c r="E255" s="108"/>
      <c r="F255" s="847"/>
      <c r="G255" s="848"/>
      <c r="H255" s="849"/>
      <c r="I255" s="849"/>
      <c r="J255" s="849"/>
      <c r="K255" s="895"/>
      <c r="L255" s="846"/>
      <c r="M255" s="846"/>
      <c r="N255" s="846"/>
    </row>
    <row r="256" spans="1:23" s="112" customFormat="1" ht="25" customHeight="1">
      <c r="B256" s="647"/>
      <c r="C256" s="108"/>
      <c r="D256" s="108"/>
      <c r="E256" s="108"/>
      <c r="F256" s="847"/>
      <c r="G256" s="848"/>
      <c r="H256" s="849"/>
      <c r="I256" s="849"/>
      <c r="J256" s="849"/>
      <c r="K256" s="895"/>
      <c r="L256" s="846"/>
      <c r="M256" s="846"/>
      <c r="N256" s="846"/>
    </row>
    <row r="257" spans="2:14" s="112" customFormat="1" ht="25" customHeight="1">
      <c r="B257" s="647"/>
      <c r="C257" s="108"/>
      <c r="D257" s="108"/>
      <c r="E257" s="108"/>
      <c r="F257" s="847"/>
      <c r="G257" s="848"/>
      <c r="H257" s="849"/>
      <c r="I257" s="849"/>
      <c r="J257" s="849"/>
      <c r="K257" s="895"/>
      <c r="L257" s="846"/>
      <c r="M257" s="846"/>
      <c r="N257" s="846"/>
    </row>
    <row r="258" spans="2:14" s="112" customFormat="1" ht="25" customHeight="1">
      <c r="B258" s="647"/>
      <c r="C258" s="108"/>
      <c r="D258" s="108"/>
      <c r="E258" s="108"/>
      <c r="F258" s="847"/>
      <c r="G258" s="848"/>
      <c r="H258" s="849"/>
      <c r="I258" s="849"/>
      <c r="J258" s="849"/>
      <c r="K258" s="895"/>
      <c r="L258" s="846"/>
      <c r="M258" s="846"/>
      <c r="N258" s="846"/>
    </row>
    <row r="259" spans="2:14" s="112" customFormat="1" ht="25" customHeight="1">
      <c r="B259" s="647"/>
      <c r="C259" s="108"/>
      <c r="D259" s="108"/>
      <c r="E259" s="108"/>
      <c r="F259" s="847"/>
      <c r="G259" s="848"/>
      <c r="H259" s="849"/>
      <c r="I259" s="849"/>
      <c r="J259" s="849"/>
      <c r="K259" s="895"/>
      <c r="L259" s="846"/>
      <c r="M259" s="846"/>
      <c r="N259" s="846"/>
    </row>
    <row r="260" spans="2:14" s="112" customFormat="1" ht="25" customHeight="1">
      <c r="B260" s="647"/>
      <c r="C260" s="108"/>
      <c r="D260" s="108"/>
      <c r="E260" s="108"/>
      <c r="F260" s="847"/>
      <c r="G260" s="848"/>
      <c r="H260" s="849"/>
      <c r="I260" s="849"/>
      <c r="J260" s="849"/>
      <c r="K260" s="895"/>
      <c r="L260" s="846"/>
      <c r="M260" s="846"/>
      <c r="N260" s="846"/>
    </row>
    <row r="261" spans="2:14" s="112" customFormat="1" ht="25" customHeight="1">
      <c r="B261" s="647"/>
      <c r="C261" s="108"/>
      <c r="D261" s="108"/>
      <c r="E261" s="108"/>
      <c r="F261" s="847"/>
      <c r="G261" s="848"/>
      <c r="H261" s="849"/>
      <c r="I261" s="849"/>
      <c r="J261" s="849"/>
      <c r="K261" s="895"/>
      <c r="L261" s="846"/>
      <c r="M261" s="846"/>
      <c r="N261" s="846"/>
    </row>
    <row r="262" spans="2:14" s="112" customFormat="1" ht="25" customHeight="1">
      <c r="B262" s="647"/>
      <c r="C262" s="108"/>
      <c r="D262" s="108"/>
      <c r="E262" s="108"/>
      <c r="F262" s="847"/>
      <c r="G262" s="848"/>
      <c r="H262" s="849"/>
      <c r="I262" s="849"/>
      <c r="J262" s="849"/>
      <c r="K262" s="895"/>
      <c r="L262" s="846"/>
      <c r="M262" s="846"/>
      <c r="N262" s="846"/>
    </row>
    <row r="263" spans="2:14" s="112" customFormat="1" ht="25" customHeight="1">
      <c r="B263" s="647"/>
      <c r="C263" s="108"/>
      <c r="D263" s="108"/>
      <c r="E263" s="108"/>
      <c r="F263" s="847"/>
      <c r="G263" s="848"/>
      <c r="H263" s="849"/>
      <c r="I263" s="849"/>
      <c r="J263" s="849"/>
      <c r="K263" s="895"/>
      <c r="L263" s="846"/>
      <c r="M263" s="846"/>
      <c r="N263" s="846"/>
    </row>
    <row r="264" spans="2:14" s="112" customFormat="1" ht="25" customHeight="1">
      <c r="B264" s="647"/>
      <c r="C264" s="108"/>
      <c r="D264" s="108"/>
      <c r="E264" s="108"/>
      <c r="F264" s="847"/>
      <c r="G264" s="848"/>
      <c r="H264" s="849"/>
      <c r="I264" s="849"/>
      <c r="J264" s="849"/>
      <c r="K264" s="895"/>
      <c r="L264" s="846"/>
      <c r="M264" s="846"/>
      <c r="N264" s="846"/>
    </row>
    <row r="265" spans="2:14" s="112" customFormat="1" ht="25" customHeight="1">
      <c r="B265" s="647"/>
      <c r="C265" s="108"/>
      <c r="D265" s="108"/>
      <c r="E265" s="108"/>
      <c r="F265" s="847"/>
      <c r="G265" s="848"/>
      <c r="H265" s="849"/>
      <c r="I265" s="849"/>
      <c r="J265" s="849"/>
      <c r="K265" s="895"/>
      <c r="L265" s="846"/>
      <c r="M265" s="846"/>
      <c r="N265" s="846"/>
    </row>
    <row r="266" spans="2:14" s="112" customFormat="1" ht="25" customHeight="1">
      <c r="B266" s="647"/>
      <c r="C266" s="108"/>
      <c r="D266" s="108"/>
      <c r="E266" s="108"/>
      <c r="F266" s="847"/>
      <c r="G266" s="848"/>
      <c r="H266" s="849"/>
      <c r="I266" s="849"/>
      <c r="J266" s="849"/>
      <c r="K266" s="895"/>
      <c r="L266" s="846"/>
      <c r="M266" s="846"/>
      <c r="N266" s="846"/>
    </row>
    <row r="267" spans="2:14" s="112" customFormat="1" ht="25" customHeight="1">
      <c r="B267" s="647"/>
      <c r="C267" s="108"/>
      <c r="D267" s="108"/>
      <c r="E267" s="108"/>
      <c r="F267" s="847"/>
      <c r="G267" s="848"/>
      <c r="H267" s="849"/>
      <c r="I267" s="849"/>
      <c r="J267" s="849"/>
      <c r="K267" s="895"/>
      <c r="L267" s="846"/>
      <c r="M267" s="846"/>
      <c r="N267" s="846"/>
    </row>
    <row r="268" spans="2:14" s="112" customFormat="1" ht="25" customHeight="1">
      <c r="B268" s="648"/>
      <c r="K268" s="895"/>
      <c r="M268" s="851"/>
    </row>
    <row r="269" spans="2:14" s="112" customFormat="1" ht="25" customHeight="1">
      <c r="B269" s="648"/>
      <c r="K269" s="895"/>
      <c r="M269" s="851"/>
    </row>
    <row r="270" spans="2:14" s="112" customFormat="1" ht="25" customHeight="1">
      <c r="B270" s="648"/>
      <c r="K270" s="895"/>
      <c r="M270" s="851"/>
    </row>
    <row r="271" spans="2:14" s="112" customFormat="1" ht="25" customHeight="1">
      <c r="B271" s="648"/>
      <c r="K271" s="895"/>
      <c r="M271" s="851"/>
    </row>
    <row r="272" spans="2:14" s="112" customFormat="1" ht="25" customHeight="1">
      <c r="B272" s="648"/>
      <c r="K272" s="895"/>
      <c r="M272" s="851"/>
    </row>
    <row r="273" spans="2:13" s="112" customFormat="1" ht="25" customHeight="1">
      <c r="B273" s="648"/>
      <c r="K273" s="895"/>
      <c r="M273" s="851"/>
    </row>
    <row r="274" spans="2:13" s="112" customFormat="1" ht="25" customHeight="1">
      <c r="B274" s="648"/>
      <c r="K274" s="895"/>
      <c r="M274" s="851"/>
    </row>
    <row r="275" spans="2:13" s="112" customFormat="1" ht="25" customHeight="1">
      <c r="B275" s="648"/>
      <c r="K275" s="895"/>
      <c r="M275" s="851"/>
    </row>
    <row r="276" spans="2:13" s="112" customFormat="1" ht="25" customHeight="1">
      <c r="B276" s="648"/>
      <c r="K276" s="895"/>
      <c r="M276" s="851"/>
    </row>
    <row r="277" spans="2:13" s="112" customFormat="1" ht="25" customHeight="1">
      <c r="B277" s="648"/>
      <c r="K277" s="895"/>
      <c r="M277" s="851"/>
    </row>
    <row r="278" spans="2:13" s="112" customFormat="1" ht="25" customHeight="1">
      <c r="B278" s="648"/>
      <c r="K278" s="895"/>
      <c r="M278" s="851"/>
    </row>
    <row r="279" spans="2:13" s="112" customFormat="1" ht="25" customHeight="1">
      <c r="B279" s="648"/>
      <c r="K279" s="895"/>
      <c r="M279" s="851"/>
    </row>
    <row r="280" spans="2:13" s="112" customFormat="1" ht="25" customHeight="1">
      <c r="B280" s="648"/>
      <c r="K280" s="895"/>
      <c r="M280" s="851"/>
    </row>
    <row r="281" spans="2:13" s="112" customFormat="1" ht="25" customHeight="1">
      <c r="B281" s="648"/>
      <c r="K281" s="895"/>
      <c r="M281" s="851"/>
    </row>
    <row r="282" spans="2:13" s="112" customFormat="1" ht="25" customHeight="1">
      <c r="B282" s="648"/>
      <c r="K282" s="895"/>
      <c r="M282" s="851"/>
    </row>
    <row r="283" spans="2:13" s="112" customFormat="1" ht="25" customHeight="1">
      <c r="B283" s="648"/>
      <c r="K283" s="895"/>
      <c r="M283" s="851"/>
    </row>
    <row r="284" spans="2:13" s="112" customFormat="1" ht="25" customHeight="1">
      <c r="B284" s="648"/>
      <c r="K284" s="895"/>
      <c r="M284" s="851"/>
    </row>
    <row r="285" spans="2:13" s="112" customFormat="1" ht="25" customHeight="1">
      <c r="B285" s="648"/>
      <c r="K285" s="895"/>
      <c r="M285" s="851"/>
    </row>
    <row r="286" spans="2:13" s="112" customFormat="1" ht="25" customHeight="1">
      <c r="B286" s="648"/>
      <c r="K286" s="895"/>
      <c r="M286" s="851"/>
    </row>
    <row r="287" spans="2:13" s="112" customFormat="1" ht="25" customHeight="1">
      <c r="B287" s="648"/>
      <c r="K287" s="895"/>
      <c r="M287" s="851"/>
    </row>
    <row r="288" spans="2:13" s="112" customFormat="1" ht="25" customHeight="1">
      <c r="B288" s="648"/>
      <c r="K288" s="895"/>
      <c r="M288" s="851"/>
    </row>
    <row r="289" spans="2:13" s="112" customFormat="1" ht="25" customHeight="1">
      <c r="B289" s="648"/>
      <c r="K289" s="895"/>
      <c r="M289" s="851"/>
    </row>
    <row r="290" spans="2:13" s="112" customFormat="1" ht="25" customHeight="1">
      <c r="B290" s="648"/>
      <c r="K290" s="895"/>
      <c r="M290" s="851"/>
    </row>
    <row r="291" spans="2:13" s="112" customFormat="1" ht="25" customHeight="1">
      <c r="B291" s="648"/>
      <c r="K291" s="895"/>
      <c r="M291" s="851"/>
    </row>
    <row r="292" spans="2:13" s="112" customFormat="1" ht="25" customHeight="1">
      <c r="B292" s="648"/>
      <c r="K292" s="895"/>
      <c r="M292" s="851"/>
    </row>
    <row r="293" spans="2:13" s="112" customFormat="1" ht="25" customHeight="1">
      <c r="B293" s="648"/>
      <c r="K293" s="895"/>
      <c r="M293" s="851"/>
    </row>
    <row r="294" spans="2:13" s="112" customFormat="1" ht="25" customHeight="1">
      <c r="B294" s="648"/>
      <c r="K294" s="895"/>
      <c r="M294" s="851"/>
    </row>
    <row r="295" spans="2:13" s="112" customFormat="1" ht="25" customHeight="1">
      <c r="B295" s="648"/>
      <c r="K295" s="895"/>
      <c r="M295" s="851"/>
    </row>
    <row r="296" spans="2:13" s="112" customFormat="1" ht="25" customHeight="1">
      <c r="B296" s="648"/>
      <c r="K296" s="895"/>
      <c r="M296" s="851"/>
    </row>
    <row r="297" spans="2:13" s="112" customFormat="1" ht="25" customHeight="1">
      <c r="B297" s="648"/>
      <c r="K297" s="895"/>
      <c r="M297" s="851"/>
    </row>
    <row r="298" spans="2:13" s="112" customFormat="1" ht="25" customHeight="1">
      <c r="B298" s="648"/>
      <c r="K298" s="895"/>
      <c r="M298" s="851"/>
    </row>
    <row r="299" spans="2:13" s="112" customFormat="1" ht="25" customHeight="1">
      <c r="B299" s="648"/>
      <c r="K299" s="895"/>
      <c r="M299" s="851"/>
    </row>
    <row r="300" spans="2:13" s="112" customFormat="1" ht="25" customHeight="1">
      <c r="B300" s="648"/>
      <c r="K300" s="895"/>
      <c r="M300" s="851"/>
    </row>
    <row r="301" spans="2:13" s="112" customFormat="1" ht="25" customHeight="1">
      <c r="B301" s="648"/>
      <c r="K301" s="895"/>
      <c r="M301" s="851"/>
    </row>
    <row r="302" spans="2:13" s="112" customFormat="1" ht="25" customHeight="1">
      <c r="B302" s="648"/>
      <c r="K302" s="895"/>
      <c r="M302" s="851"/>
    </row>
    <row r="303" spans="2:13" s="112" customFormat="1" ht="25" customHeight="1">
      <c r="B303" s="648"/>
      <c r="K303" s="895"/>
      <c r="M303" s="851"/>
    </row>
    <row r="304" spans="2:13" s="112" customFormat="1" ht="25" customHeight="1">
      <c r="B304" s="648"/>
      <c r="K304" s="895"/>
      <c r="M304" s="851"/>
    </row>
    <row r="305" spans="2:13" s="112" customFormat="1" ht="25" customHeight="1">
      <c r="B305" s="648"/>
      <c r="K305" s="895"/>
      <c r="M305" s="851"/>
    </row>
    <row r="306" spans="2:13" s="112" customFormat="1" ht="25" customHeight="1">
      <c r="B306" s="648"/>
      <c r="K306" s="895"/>
      <c r="M306" s="851"/>
    </row>
    <row r="307" spans="2:13" s="112" customFormat="1" ht="25" customHeight="1">
      <c r="B307" s="648"/>
      <c r="K307" s="895"/>
      <c r="M307" s="851"/>
    </row>
    <row r="308" spans="2:13" s="112" customFormat="1" ht="25" customHeight="1">
      <c r="B308" s="648"/>
      <c r="K308" s="895"/>
      <c r="M308" s="851"/>
    </row>
    <row r="309" spans="2:13" s="112" customFormat="1" ht="25" customHeight="1">
      <c r="B309" s="648"/>
      <c r="K309" s="895"/>
      <c r="M309" s="851"/>
    </row>
    <row r="310" spans="2:13" s="112" customFormat="1" ht="25" customHeight="1">
      <c r="B310" s="648"/>
      <c r="K310" s="895"/>
      <c r="M310" s="851"/>
    </row>
    <row r="311" spans="2:13" s="112" customFormat="1" ht="25" customHeight="1">
      <c r="B311" s="648"/>
      <c r="K311" s="895"/>
      <c r="M311" s="851"/>
    </row>
    <row r="312" spans="2:13" s="112" customFormat="1" ht="25" customHeight="1">
      <c r="B312" s="648"/>
      <c r="K312" s="895"/>
      <c r="M312" s="851"/>
    </row>
    <row r="313" spans="2:13" s="112" customFormat="1" ht="25" customHeight="1">
      <c r="B313" s="648"/>
      <c r="K313" s="895"/>
      <c r="M313" s="851"/>
    </row>
    <row r="314" spans="2:13" s="112" customFormat="1" ht="25" customHeight="1">
      <c r="B314" s="648"/>
      <c r="K314" s="895"/>
      <c r="M314" s="851"/>
    </row>
    <row r="315" spans="2:13" s="112" customFormat="1" ht="25" customHeight="1">
      <c r="B315" s="648"/>
      <c r="K315" s="895"/>
      <c r="M315" s="851"/>
    </row>
    <row r="316" spans="2:13" s="112" customFormat="1" ht="25" customHeight="1">
      <c r="B316" s="648"/>
      <c r="K316" s="895"/>
      <c r="M316" s="851"/>
    </row>
    <row r="317" spans="2:13" s="112" customFormat="1" ht="25" customHeight="1">
      <c r="B317" s="648"/>
      <c r="K317" s="895"/>
      <c r="M317" s="851"/>
    </row>
    <row r="318" spans="2:13" s="112" customFormat="1" ht="25" customHeight="1">
      <c r="B318" s="648"/>
      <c r="K318" s="895"/>
      <c r="M318" s="851"/>
    </row>
    <row r="330" spans="2:4" ht="25" customHeight="1">
      <c r="B330" s="649"/>
      <c r="C330" s="38"/>
      <c r="D330" s="96"/>
    </row>
  </sheetData>
  <sheetProtection algorithmName="SHA-512" hashValue="hwgSjyg8WltAn8CLvQ+3HeZE2XOg+pQfYBdSgrNocZBKJ1tupeoxNj0G5vKIZSeetr0Igh/Smf1iR43UFEe2Ww==" saltValue="/m8a4ObwgQcpA+O1zdQE8w==" spinCount="100000" sheet="1" objects="1" scenarios="1" selectLockedCells="1"/>
  <mergeCells count="40">
    <mergeCell ref="B185:F185"/>
    <mergeCell ref="B186:F186"/>
    <mergeCell ref="B220:G222"/>
    <mergeCell ref="B223:F223"/>
    <mergeCell ref="C132:D132"/>
    <mergeCell ref="E132:F132"/>
    <mergeCell ref="B137:G139"/>
    <mergeCell ref="B182:G184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27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37" max="11" man="1"/>
    <brk id="257" max="13" man="1"/>
    <brk id="279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22" t="str">
        <f>"1 SEK = "&amp;EUR&amp;" EUR"</f>
        <v>1 SEK = 0,092 EUR</v>
      </c>
      <c r="E11" s="1022"/>
      <c r="F11" s="1022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94"/>
      <c r="C16" s="994"/>
      <c r="D16" s="994"/>
      <c r="E16" s="994"/>
      <c r="F16" s="994"/>
      <c r="G16" s="994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94"/>
      <c r="C17" s="994"/>
      <c r="D17" s="994"/>
      <c r="E17" s="994"/>
      <c r="F17" s="994"/>
      <c r="G17" s="994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21" t="s">
        <v>6</v>
      </c>
      <c r="C19" s="1021"/>
      <c r="D19" s="1021"/>
      <c r="E19" s="1021"/>
      <c r="F19" s="1021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1013" t="s">
        <v>65</v>
      </c>
      <c r="G88" s="1013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26">
        <f>VOLUME_large_EUR</f>
        <v>0.1104</v>
      </c>
      <c r="G89" s="1026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42">
        <f>VOLUME_fast_EUR</f>
        <v>0.33119999999999999</v>
      </c>
      <c r="G90" s="1042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567"/>
      <c r="O95" s="168"/>
    </row>
    <row r="96" spans="2:23" s="169" customFormat="1" ht="2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567"/>
      <c r="O96" s="168"/>
    </row>
    <row r="97" spans="2:22" s="169" customFormat="1" ht="2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567"/>
      <c r="O97" s="168"/>
    </row>
    <row r="98" spans="2:22" s="169" customFormat="1" ht="25" customHeight="1">
      <c r="B98" s="1043" t="s">
        <v>73</v>
      </c>
      <c r="C98" s="1043"/>
      <c r="D98" s="1043"/>
      <c r="E98" s="1043"/>
      <c r="F98" s="1043"/>
      <c r="H98" s="177"/>
      <c r="J98" s="178"/>
      <c r="K98" s="178"/>
      <c r="M98" s="567"/>
      <c r="N98" s="182"/>
      <c r="O98" s="187"/>
    </row>
    <row r="99" spans="2:22" s="291" customFormat="1" ht="25" customHeight="1">
      <c r="B99" s="1021" t="s">
        <v>74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1013" t="s">
        <v>76</v>
      </c>
      <c r="E102" s="1013"/>
      <c r="F102" s="1013"/>
      <c r="G102" s="1013"/>
      <c r="H102" s="266" t="s">
        <v>75</v>
      </c>
      <c r="I102" s="265"/>
      <c r="J102" s="1013"/>
      <c r="K102" s="1013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24">
        <f>S3_storage.50_EUR</f>
        <v>32.200000000000003</v>
      </c>
      <c r="E104" s="1024"/>
      <c r="F104" s="1025"/>
      <c r="G104" s="1025"/>
      <c r="H104" s="1025"/>
      <c r="I104" s="1025"/>
      <c r="J104" s="1025"/>
      <c r="K104" s="1025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1012">
        <f>S3_storage.100_EUR</f>
        <v>24.84</v>
      </c>
      <c r="E105" s="1012"/>
      <c r="F105" s="1017"/>
      <c r="G105" s="1017"/>
      <c r="H105" s="1017"/>
      <c r="I105" s="1017"/>
      <c r="J105" s="1017"/>
      <c r="K105" s="1017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16">
        <f>S3_storage.500_EUR</f>
        <v>18.399999999999999</v>
      </c>
      <c r="E106" s="1016"/>
      <c r="F106" s="1011"/>
      <c r="G106" s="1011"/>
      <c r="H106" s="1011"/>
      <c r="I106" s="1011"/>
      <c r="J106" s="1011"/>
      <c r="K106" s="1011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1012">
        <f>S3_storage.1000_EUR</f>
        <v>17.02</v>
      </c>
      <c r="E107" s="1012"/>
      <c r="F107" s="1017"/>
      <c r="G107" s="1017"/>
      <c r="H107" s="1017"/>
      <c r="I107" s="1017"/>
      <c r="J107" s="1017"/>
      <c r="K107" s="1017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18" t="str">
        <f>S3_storage.quote_EUR</f>
        <v>Request a quote</v>
      </c>
      <c r="E108" s="1018"/>
      <c r="F108" s="1019"/>
      <c r="G108" s="1019"/>
      <c r="H108" s="1019"/>
      <c r="I108" s="1019"/>
      <c r="J108" s="1019"/>
      <c r="K108" s="1019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23" t="s">
        <v>76</v>
      </c>
      <c r="E111" s="1023"/>
      <c r="F111" s="1013"/>
      <c r="G111" s="1013"/>
      <c r="H111" s="266" t="s">
        <v>75</v>
      </c>
      <c r="I111" s="266"/>
      <c r="J111" s="1013"/>
      <c r="K111" s="1013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24">
        <f>S3_archive.50_EUR</f>
        <v>32.200000000000003</v>
      </c>
      <c r="E113" s="1024"/>
      <c r="F113" s="1025"/>
      <c r="G113" s="1025"/>
      <c r="H113" s="1025"/>
      <c r="I113" s="1025"/>
      <c r="J113" s="1025"/>
      <c r="K113" s="1025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1012">
        <f>S3_archive.100_EUR</f>
        <v>24.84</v>
      </c>
      <c r="E114" s="1012"/>
      <c r="F114" s="1017"/>
      <c r="G114" s="1017"/>
      <c r="H114" s="1017"/>
      <c r="I114" s="1017"/>
      <c r="J114" s="1017"/>
      <c r="K114" s="1017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16">
        <f>S3_archive.500_EUR</f>
        <v>18.399999999999999</v>
      </c>
      <c r="E115" s="1016"/>
      <c r="F115" s="1011"/>
      <c r="G115" s="1011"/>
      <c r="H115" s="1011"/>
      <c r="I115" s="1011"/>
      <c r="J115" s="1011"/>
      <c r="K115" s="1011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1012">
        <f>S3_archive.1000_EUR</f>
        <v>17.02</v>
      </c>
      <c r="E116" s="1012"/>
      <c r="F116" s="1017"/>
      <c r="G116" s="1017"/>
      <c r="H116" s="1017"/>
      <c r="I116" s="1017"/>
      <c r="J116" s="1017"/>
      <c r="K116" s="1017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18" t="str">
        <f>S3_archive.quote_EUR</f>
        <v>Request a quote</v>
      </c>
      <c r="E117" s="1018"/>
      <c r="F117" s="1019"/>
      <c r="G117" s="1019"/>
      <c r="H117" s="1019"/>
      <c r="I117" s="1019"/>
      <c r="J117" s="1019"/>
      <c r="K117" s="1019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94" t="s">
        <v>86</v>
      </c>
      <c r="C122" s="994"/>
      <c r="D122" s="994"/>
      <c r="E122" s="994"/>
      <c r="F122" s="994"/>
      <c r="G122" s="994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94"/>
      <c r="C123" s="994"/>
      <c r="D123" s="994"/>
      <c r="E123" s="994"/>
      <c r="F123" s="994"/>
      <c r="G123" s="994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94"/>
      <c r="C124" s="994"/>
      <c r="D124" s="994"/>
      <c r="E124" s="994"/>
      <c r="F124" s="994"/>
      <c r="G124" s="994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1015" t="s">
        <v>87</v>
      </c>
      <c r="C125" s="1015"/>
      <c r="D125" s="1015"/>
      <c r="E125" s="1015"/>
      <c r="F125" s="1015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95" t="s">
        <v>6</v>
      </c>
      <c r="C126" s="995"/>
      <c r="D126" s="995"/>
      <c r="E126" s="995"/>
      <c r="F126" s="995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1013" t="s">
        <v>89</v>
      </c>
      <c r="G129" s="1013"/>
      <c r="H129" s="266" t="s">
        <v>90</v>
      </c>
      <c r="I129" s="265"/>
      <c r="J129" s="1027" t="s">
        <v>91</v>
      </c>
      <c r="K129" s="1027"/>
      <c r="L129" s="535"/>
      <c r="M129" s="577" t="s">
        <v>92</v>
      </c>
      <c r="N129" s="252"/>
      <c r="O129" s="160"/>
    </row>
    <row r="130" spans="2:34" ht="25" customHeight="1">
      <c r="B130" s="1028" t="s">
        <v>93</v>
      </c>
      <c r="C130" s="1028"/>
      <c r="D130" s="467" t="s">
        <v>94</v>
      </c>
      <c r="E130" s="29"/>
      <c r="F130" s="1029">
        <f>BAAS_on.demand_EUR</f>
        <v>0.22540000000000002</v>
      </c>
      <c r="G130" s="1030"/>
      <c r="H130" s="307">
        <v>0</v>
      </c>
      <c r="I130" s="272" t="s">
        <v>69</v>
      </c>
      <c r="J130" s="1031" t="s">
        <v>94</v>
      </c>
      <c r="K130" s="1031"/>
      <c r="L130" s="308"/>
      <c r="M130" s="578">
        <f>ROUNDUP(H130*F130,2)</f>
        <v>0</v>
      </c>
      <c r="N130" s="252"/>
      <c r="O130" s="160"/>
    </row>
    <row r="131" spans="2:34" ht="25" customHeight="1">
      <c r="B131" s="1032" t="s">
        <v>95</v>
      </c>
      <c r="C131" s="1032"/>
      <c r="D131" s="468">
        <f>BAAS_small.fee_EUR</f>
        <v>506</v>
      </c>
      <c r="E131" s="32"/>
      <c r="F131" s="1033">
        <f>BAAS_small_EUR</f>
        <v>0.161</v>
      </c>
      <c r="G131" s="1034"/>
      <c r="H131" s="309">
        <v>0</v>
      </c>
      <c r="I131" s="276" t="s">
        <v>69</v>
      </c>
      <c r="J131" s="1035">
        <v>0.75</v>
      </c>
      <c r="K131" s="1036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37" t="s">
        <v>96</v>
      </c>
      <c r="C132" s="1037"/>
      <c r="D132" s="469">
        <f>BAAS_large.fee_EUR</f>
        <v>874</v>
      </c>
      <c r="E132" s="35"/>
      <c r="F132" s="1038">
        <f>BAAS_large_EUR</f>
        <v>8.4640000000000007E-2</v>
      </c>
      <c r="G132" s="1039"/>
      <c r="H132" s="298">
        <v>0</v>
      </c>
      <c r="I132" s="299" t="s">
        <v>69</v>
      </c>
      <c r="J132" s="1040">
        <v>0.75</v>
      </c>
      <c r="K132" s="1041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1014" t="s">
        <v>97</v>
      </c>
      <c r="C135" s="1014"/>
      <c r="D135" s="1014"/>
      <c r="E135" s="1014"/>
      <c r="F135" s="1014"/>
      <c r="G135" s="1014"/>
      <c r="H135" s="1014"/>
      <c r="I135" s="1014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1014" t="s">
        <v>98</v>
      </c>
      <c r="C136" s="1014"/>
      <c r="D136" s="1014"/>
      <c r="E136" s="1014"/>
      <c r="F136" s="1014"/>
      <c r="G136" s="1014"/>
      <c r="H136" s="1014"/>
      <c r="I136" s="1014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1014" t="s">
        <v>99</v>
      </c>
      <c r="C137" s="1014"/>
      <c r="D137" s="1014"/>
      <c r="E137" s="1014"/>
      <c r="F137" s="1014"/>
      <c r="G137" s="1014"/>
      <c r="H137" s="1014"/>
      <c r="I137" s="1014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1014" t="s">
        <v>418</v>
      </c>
      <c r="C138" s="1014"/>
      <c r="D138" s="1014"/>
      <c r="E138" s="1014"/>
      <c r="F138" s="1014"/>
      <c r="G138" s="1014"/>
      <c r="H138" s="1014"/>
      <c r="I138" s="1014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94" t="s">
        <v>100</v>
      </c>
      <c r="C143" s="994"/>
      <c r="D143" s="994"/>
      <c r="E143" s="994"/>
      <c r="F143" s="994"/>
      <c r="G143" s="994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94"/>
      <c r="C144" s="994"/>
      <c r="D144" s="994"/>
      <c r="E144" s="994"/>
      <c r="F144" s="994"/>
      <c r="G144" s="994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94"/>
      <c r="C145" s="994"/>
      <c r="D145" s="994"/>
      <c r="E145" s="994"/>
      <c r="F145" s="994"/>
      <c r="G145" s="994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95" t="s">
        <v>6</v>
      </c>
      <c r="C146" s="995"/>
      <c r="D146" s="995"/>
      <c r="E146" s="995"/>
      <c r="F146" s="995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96"/>
      <c r="C147" s="996"/>
      <c r="D147" s="996"/>
      <c r="E147" s="996"/>
      <c r="F147" s="996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92" t="s">
        <v>14</v>
      </c>
      <c r="M150" s="992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93">
        <f>NET_publicv4_EUR</f>
        <v>2.2999999999999998</v>
      </c>
      <c r="M151" s="993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45">
        <f>NET_publicv6_EUR</f>
        <v>0</v>
      </c>
      <c r="M152" s="1045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46">
        <f>NET_ingress_EUR</f>
        <v>0</v>
      </c>
      <c r="M153" s="1046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45">
        <f>NET_egress_EUR</f>
        <v>2.3E-2</v>
      </c>
      <c r="M154" s="1045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1007" t="str">
        <f>NET_mgn.slb_EUR</f>
        <v>Request a quote</v>
      </c>
      <c r="M155" s="1007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45">
        <f>NET_rdns_EUR</f>
        <v>0</v>
      </c>
      <c r="M156" s="1045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1007">
        <f>NET_byoip_EUR</f>
        <v>0</v>
      </c>
      <c r="M157" s="1007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44"/>
      <c r="M158" s="1044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91"/>
      <c r="M159" s="991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92" t="s">
        <v>14</v>
      </c>
      <c r="M160" s="992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93">
        <f>SW_win.ser.201X_EUR</f>
        <v>7.1760000000000002</v>
      </c>
      <c r="M161" s="993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50">
        <f>SW_win.ser.201X_EUR</f>
        <v>7.1760000000000002</v>
      </c>
      <c r="M162" s="1050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1007">
        <f>SW_ms.sql.ser_EUR</f>
        <v>137.816</v>
      </c>
      <c r="M163" s="1007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51" t="str">
        <f>SW_stackn_EUR</f>
        <v>Request a quote</v>
      </c>
      <c r="M164" s="1051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52" t="str">
        <f>SW_nextcloud_EUR</f>
        <v>Request a quote</v>
      </c>
      <c r="M165" s="1052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51" t="str">
        <f>SW_suse_EUR</f>
        <v>Request a quote</v>
      </c>
      <c r="M166" s="1051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52" t="str">
        <f>SW_cluster.control_EUR</f>
        <v>3x instance price</v>
      </c>
      <c r="M167" s="1052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1008">
        <f>SW_backup.ninja_EUR</f>
        <v>36.799999999999997</v>
      </c>
      <c r="M168" s="1008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1009"/>
      <c r="M169" s="1009"/>
      <c r="O169" s="205"/>
      <c r="P169" s="190"/>
      <c r="R169" s="284"/>
      <c r="S169" s="189"/>
    </row>
    <row r="170" spans="2:22" ht="25" customHeight="1">
      <c r="B170" s="471"/>
      <c r="K170" s="334"/>
      <c r="L170" s="1047"/>
      <c r="M170" s="1047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91"/>
      <c r="M171" s="991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92" t="s">
        <v>14</v>
      </c>
      <c r="M172" s="992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57">
        <f>PAAS_man.kubernetes24_EUR</f>
        <v>2208</v>
      </c>
      <c r="M173" s="1057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58">
        <f>PAAS_man.kubernetes8_EUR</f>
        <v>1380</v>
      </c>
      <c r="M174" s="1058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48" t="str">
        <f>PAAS_man.elasticsearch_EUR</f>
        <v>Requests for quotation</v>
      </c>
      <c r="M175" s="1048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58" t="str">
        <f>PAAS_man.redis_EUR</f>
        <v>Requests for quotation</v>
      </c>
      <c r="M176" s="1058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48" t="str">
        <f>PAAS_man.nats_EUR</f>
        <v>Requests for quotation</v>
      </c>
      <c r="M177" s="1048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49" t="str">
        <f>PAAS_man.mariadb_EUR</f>
        <v>Requests for quotation</v>
      </c>
      <c r="M178" s="1049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1009"/>
      <c r="M179" s="1009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55"/>
      <c r="M180" s="1055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56"/>
      <c r="M181" s="1056"/>
      <c r="N181" s="189"/>
      <c r="O181" s="205"/>
      <c r="P181" s="180"/>
      <c r="Q181" s="180"/>
    </row>
    <row r="182" spans="2:19" s="169" customFormat="1" ht="25" customHeight="1">
      <c r="B182" s="994" t="s">
        <v>151</v>
      </c>
      <c r="C182" s="994"/>
      <c r="D182" s="994"/>
      <c r="E182" s="994"/>
      <c r="F182" s="994"/>
      <c r="G182" s="994"/>
      <c r="H182" s="335"/>
      <c r="J182" s="178"/>
      <c r="L182" s="1000"/>
      <c r="M182" s="1000"/>
      <c r="N182" s="189"/>
      <c r="O182" s="205"/>
    </row>
    <row r="183" spans="2:19" s="169" customFormat="1" ht="25" customHeight="1">
      <c r="B183" s="994"/>
      <c r="C183" s="994"/>
      <c r="D183" s="994"/>
      <c r="E183" s="994"/>
      <c r="F183" s="994"/>
      <c r="G183" s="994"/>
      <c r="H183" s="335"/>
      <c r="J183" s="178"/>
      <c r="L183" s="1000"/>
      <c r="M183" s="1000"/>
      <c r="N183" s="189"/>
      <c r="O183" s="205"/>
    </row>
    <row r="184" spans="2:19" s="169" customFormat="1" ht="25" customHeight="1">
      <c r="B184" s="994"/>
      <c r="C184" s="994"/>
      <c r="D184" s="994"/>
      <c r="E184" s="994"/>
      <c r="F184" s="994"/>
      <c r="G184" s="994"/>
      <c r="H184" s="335"/>
      <c r="J184" s="178"/>
      <c r="L184" s="1000"/>
      <c r="M184" s="1000"/>
      <c r="N184" s="189"/>
      <c r="O184" s="205"/>
    </row>
    <row r="185" spans="2:19" s="169" customFormat="1" ht="25" customHeight="1">
      <c r="B185" s="995" t="s">
        <v>6</v>
      </c>
      <c r="C185" s="995"/>
      <c r="D185" s="995"/>
      <c r="E185" s="995"/>
      <c r="F185" s="995"/>
      <c r="H185" s="335"/>
      <c r="J185" s="178"/>
      <c r="L185" s="1000"/>
      <c r="M185" s="1000"/>
      <c r="N185" s="189"/>
      <c r="O185" s="205"/>
    </row>
    <row r="186" spans="2:19" s="169" customFormat="1" ht="25" customHeight="1">
      <c r="B186" s="996"/>
      <c r="C186" s="996"/>
      <c r="D186" s="996"/>
      <c r="E186" s="996"/>
      <c r="F186" s="996"/>
      <c r="G186" s="182"/>
      <c r="H186" s="183"/>
      <c r="I186" s="182"/>
      <c r="J186" s="184"/>
      <c r="K186" s="182"/>
      <c r="L186" s="1001"/>
      <c r="M186" s="1001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1001"/>
      <c r="M187" s="1001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1002"/>
      <c r="M188" s="1002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92" t="s">
        <v>14</v>
      </c>
      <c r="M189" s="992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1003">
        <v>0</v>
      </c>
      <c r="M190" s="1003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53" t="s">
        <v>158</v>
      </c>
      <c r="M191" s="1053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54" t="s">
        <v>162</v>
      </c>
      <c r="M192" s="1054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1009"/>
      <c r="M193" s="1009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1010"/>
      <c r="M194" s="1010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91"/>
      <c r="M195" s="991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92" t="s">
        <v>14</v>
      </c>
      <c r="M196" s="992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93">
        <f>PS_consult.jun_EUR</f>
        <v>103.684</v>
      </c>
      <c r="M197" s="993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50">
        <f>PS_consult.sen_EUR</f>
        <v>126.408</v>
      </c>
      <c r="M198" s="1050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1007">
        <f>PS_cloudarch.jun_EUR</f>
        <v>117.48399999999999</v>
      </c>
      <c r="M199" s="1007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50">
        <f>PS_cloudarch.sen_EUR</f>
        <v>126.408</v>
      </c>
      <c r="M200" s="1050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1007">
        <f>PS_pm.jun_EUR</f>
        <v>104.788</v>
      </c>
      <c r="M201" s="1007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1008">
        <f>PS_pm.sen_EUR</f>
        <v>126.408</v>
      </c>
      <c r="M202" s="1008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1009"/>
      <c r="M203" s="1009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1010"/>
      <c r="M204" s="1010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91"/>
      <c r="M205" s="991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92" t="s">
        <v>179</v>
      </c>
      <c r="M206" s="992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1003" t="s">
        <v>162</v>
      </c>
      <c r="M207" s="1003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1004" t="s">
        <v>162</v>
      </c>
      <c r="M208" s="1004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1005" t="s">
        <v>162</v>
      </c>
      <c r="M209" s="1005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1006" t="s">
        <v>162</v>
      </c>
      <c r="M210" s="1006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97" t="s">
        <v>191</v>
      </c>
      <c r="C217" s="997"/>
      <c r="D217" s="997"/>
      <c r="E217" s="997"/>
      <c r="F217" s="997"/>
      <c r="G217" s="997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97"/>
      <c r="C218" s="997"/>
      <c r="D218" s="997"/>
      <c r="E218" s="997"/>
      <c r="F218" s="997"/>
      <c r="G218" s="997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97"/>
      <c r="C219" s="997"/>
      <c r="D219" s="997"/>
      <c r="E219" s="997"/>
      <c r="F219" s="997"/>
      <c r="G219" s="997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98" t="s">
        <v>6</v>
      </c>
      <c r="C220" s="998"/>
      <c r="D220" s="998"/>
      <c r="E220" s="998"/>
      <c r="F220" s="998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99" t="str">
        <f>SUM(E67)&amp;" GB NVME-Disk"</f>
        <v>0 GB NVME-Disk</v>
      </c>
      <c r="G227" s="999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1"/>
  <sheetViews>
    <sheetView showGridLines="0" zoomScaleNormal="100" zoomScaleSheetLayoutView="100" workbookViewId="0">
      <selection activeCell="I81" sqref="I81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65" customWidth="1"/>
    <col min="12" max="12" width="14.83203125" style="1" customWidth="1"/>
    <col min="13" max="13" width="14.83203125" style="852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59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59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59"/>
      <c r="L3" s="669"/>
      <c r="M3" s="670"/>
    </row>
    <row r="4" spans="1:26" ht="25" customHeight="1">
      <c r="A4" s="2"/>
      <c r="B4" s="982"/>
      <c r="C4" s="982"/>
      <c r="D4" s="2"/>
      <c r="E4" s="2"/>
      <c r="F4" s="2"/>
      <c r="G4" s="2"/>
      <c r="H4" s="2"/>
      <c r="I4" s="2"/>
      <c r="J4" s="2"/>
      <c r="K4" s="859"/>
      <c r="L4" s="669"/>
      <c r="M4" s="670"/>
    </row>
    <row r="5" spans="1:26" ht="25" customHeight="1">
      <c r="A5" s="2"/>
      <c r="B5" s="633" t="s">
        <v>673</v>
      </c>
      <c r="C5" s="65"/>
      <c r="D5" s="2"/>
      <c r="E5" s="2"/>
      <c r="F5" s="2"/>
      <c r="G5" s="2"/>
      <c r="H5" s="2"/>
      <c r="I5" s="2"/>
      <c r="J5" s="2"/>
      <c r="K5" s="859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59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59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59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59"/>
      <c r="L9" s="669"/>
      <c r="M9" s="670"/>
    </row>
    <row r="10" spans="1:26" ht="25" customHeight="1">
      <c r="A10" s="2"/>
      <c r="B10" s="964" t="s">
        <v>3</v>
      </c>
      <c r="C10" s="402"/>
      <c r="D10" s="2"/>
      <c r="E10" s="2"/>
      <c r="F10" s="2"/>
      <c r="G10" s="2"/>
      <c r="H10" s="2"/>
      <c r="I10" s="2"/>
      <c r="J10" s="2"/>
      <c r="K10" s="859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60"/>
      <c r="L11" s="673"/>
      <c r="M11" s="674"/>
    </row>
    <row r="12" spans="1:26" s="4" customFormat="1" ht="25" customHeight="1">
      <c r="A12" s="63"/>
      <c r="B12" s="637"/>
      <c r="C12" s="64"/>
      <c r="D12" s="63"/>
      <c r="E12" s="63"/>
      <c r="F12" s="63"/>
      <c r="G12" s="675"/>
      <c r="H12" s="675"/>
      <c r="I12" s="676"/>
      <c r="J12" s="63"/>
      <c r="K12" s="861"/>
      <c r="L12" s="677"/>
      <c r="M12" s="674"/>
    </row>
    <row r="13" spans="1:26" s="4" customFormat="1" ht="25" customHeight="1">
      <c r="B13" s="638"/>
      <c r="G13" s="678"/>
      <c r="H13" s="678"/>
      <c r="I13" s="679"/>
      <c r="K13" s="862"/>
      <c r="L13" s="680"/>
      <c r="M13" s="674"/>
    </row>
    <row r="14" spans="1:26" s="4" customFormat="1" ht="25" customHeight="1">
      <c r="B14" s="638"/>
      <c r="G14" s="678"/>
      <c r="H14" s="678"/>
      <c r="I14" s="679"/>
      <c r="K14" s="862"/>
      <c r="L14" s="680"/>
      <c r="M14" s="674"/>
    </row>
    <row r="15" spans="1:26" s="4" customFormat="1" ht="25" customHeight="1">
      <c r="B15" s="967" t="s">
        <v>668</v>
      </c>
      <c r="C15" s="967"/>
      <c r="D15" s="967"/>
      <c r="E15" s="967"/>
      <c r="F15" s="967"/>
      <c r="G15" s="967"/>
      <c r="H15" s="679"/>
      <c r="J15" s="681"/>
      <c r="K15" s="862"/>
      <c r="L15" s="680"/>
      <c r="M15" s="674"/>
      <c r="S15" s="682"/>
      <c r="X15" s="682"/>
      <c r="Y15" s="682"/>
      <c r="Z15" s="682"/>
    </row>
    <row r="16" spans="1:26" s="4" customFormat="1" ht="25" customHeight="1">
      <c r="B16" s="967"/>
      <c r="C16" s="967"/>
      <c r="D16" s="967"/>
      <c r="E16" s="967"/>
      <c r="F16" s="967"/>
      <c r="G16" s="967"/>
      <c r="H16" s="679"/>
      <c r="J16" s="681"/>
      <c r="K16" s="862"/>
      <c r="L16" s="680"/>
      <c r="M16" s="674"/>
      <c r="S16" s="682"/>
      <c r="X16" s="682"/>
      <c r="Y16" s="682"/>
      <c r="Z16" s="682"/>
    </row>
    <row r="17" spans="2:26" s="4" customFormat="1" ht="25" customHeight="1">
      <c r="B17" s="967"/>
      <c r="C17" s="967"/>
      <c r="D17" s="967"/>
      <c r="E17" s="967"/>
      <c r="F17" s="967"/>
      <c r="G17" s="967"/>
      <c r="H17" s="679"/>
      <c r="J17" s="681"/>
      <c r="K17" s="862"/>
      <c r="L17" s="680"/>
      <c r="M17" s="674"/>
      <c r="S17" s="682"/>
      <c r="X17" s="682"/>
      <c r="Y17" s="682"/>
      <c r="Z17" s="682"/>
    </row>
    <row r="18" spans="2:26" s="4" customFormat="1" ht="25" customHeight="1">
      <c r="B18" s="551" t="s">
        <v>607</v>
      </c>
      <c r="C18" s="683"/>
      <c r="D18" s="683"/>
      <c r="E18" s="683"/>
      <c r="F18" s="683"/>
      <c r="H18" s="679"/>
      <c r="J18" s="681"/>
      <c r="K18" s="862"/>
      <c r="L18" s="680"/>
      <c r="M18" s="674"/>
      <c r="S18" s="682"/>
      <c r="T18" s="682"/>
      <c r="U18" s="682"/>
      <c r="V18" s="682"/>
      <c r="W18" s="682"/>
      <c r="X18" s="682"/>
      <c r="Y18" s="682"/>
      <c r="Z18" s="682"/>
    </row>
    <row r="19" spans="2:26" s="4" customFormat="1" ht="25" customHeight="1">
      <c r="B19" s="983" t="s">
        <v>608</v>
      </c>
      <c r="C19" s="983"/>
      <c r="D19" s="983"/>
      <c r="E19" s="983"/>
      <c r="F19" s="983"/>
      <c r="G19" s="684"/>
      <c r="H19" s="685"/>
      <c r="J19" s="686"/>
      <c r="K19" s="863"/>
      <c r="L19" s="687"/>
      <c r="M19" s="674"/>
      <c r="S19" s="682"/>
      <c r="T19" s="682"/>
      <c r="U19" s="682"/>
      <c r="V19" s="682"/>
      <c r="W19" s="682"/>
      <c r="X19" s="682"/>
      <c r="Y19" s="682"/>
      <c r="Z19" s="682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4"/>
      <c r="H20" s="685"/>
      <c r="I20" s="684"/>
      <c r="J20" s="686"/>
      <c r="K20" s="863"/>
      <c r="L20" s="687"/>
      <c r="M20" s="688"/>
      <c r="S20" s="682"/>
      <c r="T20" s="682"/>
      <c r="U20" s="682"/>
      <c r="V20" s="682"/>
      <c r="W20" s="689"/>
      <c r="X20" s="8"/>
      <c r="Y20" s="682"/>
      <c r="Z20" s="682"/>
    </row>
    <row r="21" spans="2:26" s="4" customFormat="1" ht="25" customHeight="1">
      <c r="B21" s="465"/>
      <c r="C21" s="133"/>
      <c r="D21" s="133"/>
      <c r="E21" s="133"/>
      <c r="F21" s="133"/>
      <c r="G21" s="684"/>
      <c r="H21" s="685"/>
      <c r="I21" s="684"/>
      <c r="J21" s="686"/>
      <c r="K21" s="863"/>
      <c r="L21" s="687"/>
      <c r="M21" s="688"/>
      <c r="P21" s="1"/>
      <c r="Q21" s="1"/>
      <c r="R21" s="1"/>
      <c r="S21" s="682"/>
      <c r="T21" s="682"/>
      <c r="U21" s="682"/>
      <c r="V21" s="682"/>
      <c r="W21" s="682"/>
      <c r="X21" s="682"/>
      <c r="Y21" s="689"/>
      <c r="Z21" s="682"/>
    </row>
    <row r="22" spans="2:26" s="4" customFormat="1" ht="25" customHeight="1">
      <c r="B22" s="465"/>
      <c r="C22" s="133"/>
      <c r="D22" s="133"/>
      <c r="E22" s="133"/>
      <c r="F22" s="133"/>
      <c r="G22" s="684"/>
      <c r="H22" s="685"/>
      <c r="I22" s="684"/>
      <c r="J22" s="686"/>
      <c r="K22" s="863"/>
      <c r="L22" s="687"/>
      <c r="M22" s="688"/>
      <c r="P22" s="1"/>
      <c r="Q22" s="1"/>
      <c r="R22" s="1"/>
      <c r="S22" s="682"/>
      <c r="T22" s="682"/>
      <c r="U22" s="682"/>
      <c r="V22" s="682"/>
      <c r="W22" s="682"/>
      <c r="X22" s="682"/>
      <c r="Y22" s="689"/>
      <c r="Z22" s="682"/>
    </row>
    <row r="23" spans="2:26" s="691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90"/>
      <c r="J23" s="690"/>
      <c r="K23" s="864"/>
      <c r="M23" s="692"/>
      <c r="P23" s="693"/>
      <c r="Q23" s="693"/>
      <c r="R23" s="694"/>
    </row>
    <row r="24" spans="2:26" ht="25" customHeight="1">
      <c r="B24" s="984" t="s">
        <v>648</v>
      </c>
      <c r="C24" s="984"/>
      <c r="D24" s="984"/>
      <c r="E24" s="984"/>
      <c r="M24" s="695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611</v>
      </c>
      <c r="H25" s="696"/>
      <c r="I25" s="697" t="s">
        <v>613</v>
      </c>
      <c r="J25" s="696"/>
      <c r="K25" s="866" t="s">
        <v>215</v>
      </c>
      <c r="M25" s="670"/>
      <c r="N25" s="1"/>
      <c r="O25" s="1"/>
      <c r="P25" s="689"/>
      <c r="Q25" s="689"/>
      <c r="R25" s="698"/>
    </row>
    <row r="26" spans="2:26" s="682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9">
        <f t="shared" ref="F26:F37" si="0">G26/720</f>
        <v>0.66666666666666663</v>
      </c>
      <c r="G26" s="700">
        <f t="shared" ref="G26:G37" si="1">C26*IAAS_vcpu_SEK+D26*IAAS_ram_SEK+E26*IAAS_nvme_SEK</f>
        <v>480</v>
      </c>
      <c r="H26" s="44"/>
      <c r="I26" s="701"/>
      <c r="J26" s="44"/>
      <c r="K26" s="867">
        <f t="shared" ref="K26:K37" si="2">ROUNDUP(I26*G26,2)</f>
        <v>0</v>
      </c>
      <c r="M26" s="702"/>
      <c r="P26" s="689"/>
      <c r="R26" s="689"/>
    </row>
    <row r="27" spans="2:26" s="682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703">
        <f t="shared" si="0"/>
        <v>1.2222222222222223</v>
      </c>
      <c r="G27" s="704">
        <f t="shared" si="1"/>
        <v>880</v>
      </c>
      <c r="H27" s="46"/>
      <c r="I27" s="701"/>
      <c r="J27" s="46"/>
      <c r="K27" s="868">
        <f t="shared" si="2"/>
        <v>0</v>
      </c>
      <c r="M27" s="702"/>
      <c r="P27" s="689"/>
      <c r="R27" s="689"/>
    </row>
    <row r="28" spans="2:26" s="682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9">
        <f t="shared" si="0"/>
        <v>1.9166666666666667</v>
      </c>
      <c r="G28" s="700">
        <f t="shared" si="1"/>
        <v>1380</v>
      </c>
      <c r="H28" s="44"/>
      <c r="I28" s="701"/>
      <c r="J28" s="44"/>
      <c r="K28" s="867">
        <f t="shared" si="2"/>
        <v>0</v>
      </c>
      <c r="M28" s="702"/>
      <c r="P28" s="689"/>
      <c r="R28" s="689"/>
    </row>
    <row r="29" spans="2:26" s="682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703">
        <f t="shared" si="0"/>
        <v>1.1944444444444444</v>
      </c>
      <c r="G29" s="704">
        <f t="shared" si="1"/>
        <v>860</v>
      </c>
      <c r="H29" s="46"/>
      <c r="I29" s="701"/>
      <c r="J29" s="46"/>
      <c r="K29" s="868">
        <f t="shared" si="2"/>
        <v>0</v>
      </c>
      <c r="M29" s="702"/>
      <c r="P29" s="689"/>
      <c r="R29" s="689"/>
    </row>
    <row r="30" spans="2:26" s="682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9">
        <f t="shared" si="0"/>
        <v>1.75</v>
      </c>
      <c r="G30" s="700">
        <f t="shared" si="1"/>
        <v>1260</v>
      </c>
      <c r="H30" s="44"/>
      <c r="I30" s="701"/>
      <c r="J30" s="44"/>
      <c r="K30" s="867">
        <f t="shared" si="2"/>
        <v>0</v>
      </c>
      <c r="M30" s="702"/>
      <c r="P30" s="689"/>
      <c r="R30" s="689"/>
    </row>
    <row r="31" spans="2:26" s="682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703">
        <f t="shared" si="0"/>
        <v>2.4444444444444446</v>
      </c>
      <c r="G31" s="704">
        <f t="shared" si="1"/>
        <v>1760</v>
      </c>
      <c r="H31" s="46"/>
      <c r="I31" s="701"/>
      <c r="J31" s="46"/>
      <c r="K31" s="868">
        <f t="shared" si="2"/>
        <v>0</v>
      </c>
      <c r="M31" s="702"/>
      <c r="P31" s="689"/>
      <c r="R31" s="689"/>
    </row>
    <row r="32" spans="2:26" s="682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9">
        <f t="shared" si="0"/>
        <v>2.25</v>
      </c>
      <c r="G32" s="700">
        <f t="shared" si="1"/>
        <v>1620</v>
      </c>
      <c r="H32" s="44"/>
      <c r="I32" s="701"/>
      <c r="J32" s="44"/>
      <c r="K32" s="867">
        <f t="shared" si="2"/>
        <v>0</v>
      </c>
      <c r="M32" s="702"/>
      <c r="P32" s="689"/>
      <c r="R32" s="689"/>
    </row>
    <row r="33" spans="2:18" s="682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703">
        <f t="shared" si="0"/>
        <v>2.8055555555555554</v>
      </c>
      <c r="G33" s="704">
        <f t="shared" si="1"/>
        <v>2020</v>
      </c>
      <c r="H33" s="46"/>
      <c r="I33" s="701"/>
      <c r="J33" s="46"/>
      <c r="K33" s="868">
        <f t="shared" si="2"/>
        <v>0</v>
      </c>
      <c r="M33" s="702"/>
      <c r="P33" s="689"/>
      <c r="R33" s="689"/>
    </row>
    <row r="34" spans="2:18" s="682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9">
        <f t="shared" si="0"/>
        <v>3.5</v>
      </c>
      <c r="G34" s="700">
        <f t="shared" si="1"/>
        <v>2520</v>
      </c>
      <c r="H34" s="44"/>
      <c r="I34" s="701"/>
      <c r="J34" s="44"/>
      <c r="K34" s="867">
        <f t="shared" si="2"/>
        <v>0</v>
      </c>
      <c r="M34" s="702"/>
      <c r="P34" s="689"/>
      <c r="R34" s="689"/>
    </row>
    <row r="35" spans="2:18" s="682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703">
        <f t="shared" si="0"/>
        <v>4.3611111111111107</v>
      </c>
      <c r="G35" s="704">
        <f t="shared" si="1"/>
        <v>3140</v>
      </c>
      <c r="H35" s="46"/>
      <c r="I35" s="701"/>
      <c r="J35" s="46"/>
      <c r="K35" s="868">
        <f t="shared" si="2"/>
        <v>0</v>
      </c>
      <c r="M35" s="702"/>
      <c r="P35" s="689"/>
      <c r="R35" s="689"/>
    </row>
    <row r="36" spans="2:18" s="682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9">
        <f t="shared" si="0"/>
        <v>4.916666666666667</v>
      </c>
      <c r="G36" s="700">
        <f t="shared" si="1"/>
        <v>3540</v>
      </c>
      <c r="H36" s="44"/>
      <c r="I36" s="701"/>
      <c r="J36" s="44"/>
      <c r="K36" s="867">
        <f t="shared" si="2"/>
        <v>0</v>
      </c>
      <c r="M36" s="702"/>
      <c r="P36" s="689"/>
      <c r="R36" s="689"/>
    </row>
    <row r="37" spans="2:18" s="682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703">
        <f t="shared" si="0"/>
        <v>5.6111111111111107</v>
      </c>
      <c r="G37" s="704">
        <f t="shared" si="1"/>
        <v>4040</v>
      </c>
      <c r="H37" s="46"/>
      <c r="I37" s="701"/>
      <c r="J37" s="46"/>
      <c r="K37" s="868">
        <f t="shared" si="2"/>
        <v>0</v>
      </c>
      <c r="M37" s="702"/>
      <c r="P37" s="689"/>
      <c r="R37" s="689"/>
    </row>
    <row r="38" spans="2:18" s="903" customFormat="1" ht="25" customHeight="1">
      <c r="B38" s="899" t="s">
        <v>222</v>
      </c>
      <c r="C38" s="900" t="str" cm="1">
        <f t="array" ref="C38">SUM(C26:C37*I26:I37)&amp;" st"</f>
        <v>0 st</v>
      </c>
      <c r="D38" s="900" t="str" cm="1">
        <f t="array" ref="D38">SUM(D26:D37*I26:I37)&amp;" GB"</f>
        <v>0 GB</v>
      </c>
      <c r="E38" s="901" t="str" cm="1">
        <f t="array" ref="E38">SUM(E26:E37*I26:I37)&amp;" GB"</f>
        <v>0 GB</v>
      </c>
      <c r="F38" s="900"/>
      <c r="G38" s="900"/>
      <c r="H38" s="900"/>
      <c r="I38" s="900" t="str">
        <f>SUM(I26:I37)&amp;" st"</f>
        <v>0 st</v>
      </c>
      <c r="J38" s="900"/>
      <c r="K38" s="902">
        <f>SUM(K26:K37)</f>
        <v>0</v>
      </c>
      <c r="M38" s="904"/>
      <c r="P38" s="905"/>
      <c r="R38" s="905"/>
    </row>
    <row r="39" spans="2:18" s="682" customFormat="1" ht="25" customHeight="1">
      <c r="B39" s="448"/>
      <c r="C39" s="705"/>
      <c r="D39" s="705"/>
      <c r="E39" s="706"/>
      <c r="F39" s="707"/>
      <c r="G39" s="708"/>
      <c r="H39" s="709"/>
      <c r="I39" s="710"/>
      <c r="J39" s="711"/>
      <c r="K39" s="869"/>
      <c r="M39" s="702"/>
      <c r="P39" s="689"/>
      <c r="R39" s="689"/>
    </row>
    <row r="40" spans="2:18" s="682" customFormat="1" ht="25" customHeight="1">
      <c r="B40" s="448"/>
      <c r="C40" s="705"/>
      <c r="D40" s="705"/>
      <c r="E40" s="706"/>
      <c r="F40" s="707"/>
      <c r="G40" s="708"/>
      <c r="H40" s="709"/>
      <c r="I40" s="710"/>
      <c r="J40" s="711"/>
      <c r="K40" s="869"/>
      <c r="M40" s="702"/>
      <c r="P40" s="689"/>
      <c r="R40" s="689"/>
    </row>
    <row r="41" spans="2:18" ht="25" customHeight="1">
      <c r="B41" s="449"/>
      <c r="C41" s="17"/>
      <c r="D41" s="17"/>
      <c r="E41" s="17"/>
      <c r="F41" s="17"/>
      <c r="G41" s="713"/>
      <c r="H41" s="714"/>
      <c r="I41" s="714"/>
      <c r="J41" s="17"/>
      <c r="K41" s="870"/>
      <c r="M41" s="670"/>
      <c r="P41" s="689"/>
      <c r="Q41" s="689"/>
      <c r="R41" s="698"/>
    </row>
    <row r="42" spans="2:18" s="653" customFormat="1" ht="25" customHeight="1">
      <c r="B42" s="654" t="s">
        <v>449</v>
      </c>
      <c r="C42" s="652"/>
      <c r="D42" s="652"/>
      <c r="K42" s="871"/>
      <c r="M42" s="716"/>
    </row>
    <row r="43" spans="2:18" ht="25" customHeight="1">
      <c r="B43" s="984" t="s">
        <v>654</v>
      </c>
      <c r="C43" s="984"/>
      <c r="D43" s="984"/>
      <c r="E43" s="984"/>
      <c r="M43" s="695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611</v>
      </c>
      <c r="H44" s="696"/>
      <c r="I44" s="697" t="s">
        <v>613</v>
      </c>
      <c r="J44" s="696"/>
      <c r="K44" s="866" t="s">
        <v>215</v>
      </c>
      <c r="M44" s="670"/>
      <c r="N44" s="1"/>
      <c r="O44" s="1"/>
      <c r="P44" s="689"/>
      <c r="Q44" s="689"/>
      <c r="R44" s="698"/>
    </row>
    <row r="45" spans="2:18" s="682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9">
        <f t="shared" ref="F45:F54" si="3">G45/720</f>
        <v>0.2638888888888889</v>
      </c>
      <c r="G45" s="700">
        <f t="shared" ref="G45:G54" si="4">C45*IAAS_vcpu_SEK+D45*IAAS_ram_SEK+E45*IAAS_ssd_SEK</f>
        <v>190</v>
      </c>
      <c r="H45" s="44"/>
      <c r="I45" s="701"/>
      <c r="J45" s="44"/>
      <c r="K45" s="867">
        <f t="shared" ref="K45:K54" si="5">ROUNDUP(I45*G45,2)</f>
        <v>0</v>
      </c>
      <c r="M45" s="702"/>
      <c r="N45" s="720"/>
      <c r="O45" s="721"/>
    </row>
    <row r="46" spans="2:18" s="682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703">
        <f t="shared" si="3"/>
        <v>0.41666666666666669</v>
      </c>
      <c r="G46" s="704">
        <f t="shared" si="4"/>
        <v>300</v>
      </c>
      <c r="H46" s="46"/>
      <c r="I46" s="701"/>
      <c r="J46" s="46"/>
      <c r="K46" s="868">
        <f t="shared" si="5"/>
        <v>0</v>
      </c>
      <c r="L46" s="722"/>
      <c r="M46" s="702"/>
      <c r="N46" s="720"/>
      <c r="O46" s="721"/>
    </row>
    <row r="47" spans="2:18" s="682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9">
        <f t="shared" si="3"/>
        <v>0.52777777777777779</v>
      </c>
      <c r="G47" s="700">
        <f t="shared" si="4"/>
        <v>380</v>
      </c>
      <c r="H47" s="44"/>
      <c r="I47" s="701"/>
      <c r="J47" s="44"/>
      <c r="K47" s="867">
        <f t="shared" si="5"/>
        <v>0</v>
      </c>
      <c r="L47" s="722"/>
      <c r="M47" s="702"/>
      <c r="N47" s="720"/>
      <c r="O47" s="721"/>
    </row>
    <row r="48" spans="2:18" s="682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703">
        <f t="shared" si="3"/>
        <v>0.83333333333333337</v>
      </c>
      <c r="G48" s="704">
        <f t="shared" si="4"/>
        <v>600</v>
      </c>
      <c r="H48" s="46"/>
      <c r="I48" s="701"/>
      <c r="J48" s="46"/>
      <c r="K48" s="868">
        <f t="shared" si="5"/>
        <v>0</v>
      </c>
      <c r="L48" s="722"/>
      <c r="M48" s="702"/>
      <c r="N48" s="720"/>
      <c r="O48" s="957"/>
    </row>
    <row r="49" spans="1:20" s="682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9">
        <f t="shared" si="3"/>
        <v>1.0555555555555556</v>
      </c>
      <c r="G49" s="700">
        <f t="shared" si="4"/>
        <v>760</v>
      </c>
      <c r="H49" s="44"/>
      <c r="I49" s="701"/>
      <c r="J49" s="44"/>
      <c r="K49" s="867">
        <f t="shared" si="5"/>
        <v>0</v>
      </c>
      <c r="L49" s="722"/>
      <c r="M49" s="702"/>
      <c r="N49" s="720"/>
    </row>
    <row r="50" spans="1:20" s="682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703">
        <f t="shared" si="3"/>
        <v>1.6666666666666667</v>
      </c>
      <c r="G50" s="704">
        <f t="shared" si="4"/>
        <v>1200</v>
      </c>
      <c r="H50" s="46"/>
      <c r="I50" s="701"/>
      <c r="J50" s="46"/>
      <c r="K50" s="868">
        <f t="shared" si="5"/>
        <v>0</v>
      </c>
      <c r="L50" s="722"/>
      <c r="M50" s="702"/>
    </row>
    <row r="51" spans="1:20" s="682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9">
        <f t="shared" si="3"/>
        <v>2.1111111111111112</v>
      </c>
      <c r="G51" s="700">
        <f t="shared" si="4"/>
        <v>1520</v>
      </c>
      <c r="H51" s="44"/>
      <c r="I51" s="701"/>
      <c r="J51" s="44"/>
      <c r="K51" s="867">
        <f t="shared" si="5"/>
        <v>0</v>
      </c>
      <c r="L51" s="722"/>
      <c r="M51" s="702"/>
    </row>
    <row r="52" spans="1:20" s="682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703">
        <f t="shared" si="3"/>
        <v>3.3333333333333335</v>
      </c>
      <c r="G52" s="704">
        <f t="shared" si="4"/>
        <v>2400</v>
      </c>
      <c r="H52" s="46"/>
      <c r="I52" s="701"/>
      <c r="J52" s="46"/>
      <c r="K52" s="868">
        <f t="shared" si="5"/>
        <v>0</v>
      </c>
      <c r="L52" s="722"/>
      <c r="M52" s="702"/>
    </row>
    <row r="53" spans="1:20" s="682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9">
        <f t="shared" si="3"/>
        <v>4.2222222222222223</v>
      </c>
      <c r="G53" s="700">
        <f t="shared" si="4"/>
        <v>3040</v>
      </c>
      <c r="H53" s="44"/>
      <c r="I53" s="701"/>
      <c r="J53" s="44"/>
      <c r="K53" s="867">
        <f t="shared" si="5"/>
        <v>0</v>
      </c>
      <c r="L53" s="722"/>
      <c r="M53" s="702"/>
      <c r="P53" s="689"/>
      <c r="Q53" s="689"/>
      <c r="R53" s="689"/>
    </row>
    <row r="54" spans="1:20" s="682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703">
        <f t="shared" si="3"/>
        <v>6.666666666666667</v>
      </c>
      <c r="G54" s="704">
        <f t="shared" si="4"/>
        <v>4800</v>
      </c>
      <c r="H54" s="46"/>
      <c r="I54" s="701"/>
      <c r="J54" s="46"/>
      <c r="K54" s="868">
        <f t="shared" si="5"/>
        <v>0</v>
      </c>
      <c r="L54" s="722"/>
      <c r="M54" s="702"/>
      <c r="P54" s="689"/>
      <c r="Q54" s="689"/>
      <c r="R54" s="689"/>
    </row>
    <row r="55" spans="1:20" s="903" customFormat="1" ht="25" customHeight="1">
      <c r="B55" s="899" t="s">
        <v>222</v>
      </c>
      <c r="C55" s="900" t="str" cm="1">
        <f t="array" ref="C55">SUM(b2_list_vCPU*b2_list_Antal_instanser)&amp;" st"</f>
        <v>0 st</v>
      </c>
      <c r="D55" s="900" t="str" cm="1">
        <f t="array" ref="D55">SUM(b2_list_ram*b2_list_vCPU)&amp;" GB"</f>
        <v>0 GB</v>
      </c>
      <c r="E55" s="906" t="s">
        <v>94</v>
      </c>
      <c r="F55" s="900"/>
      <c r="G55" s="900"/>
      <c r="H55" s="900"/>
      <c r="I55" s="900" t="str">
        <f>SUM(I45:I54)&amp;" st"</f>
        <v>0 st</v>
      </c>
      <c r="J55" s="900"/>
      <c r="K55" s="902">
        <f>SUM(K45:K54)</f>
        <v>0</v>
      </c>
      <c r="M55" s="904"/>
      <c r="P55" s="905"/>
      <c r="R55" s="905"/>
    </row>
    <row r="56" spans="1:20" ht="25" customHeight="1">
      <c r="A56" s="682"/>
      <c r="B56" s="448"/>
      <c r="C56" s="19"/>
      <c r="D56" s="19"/>
      <c r="E56" s="19"/>
      <c r="F56" s="19"/>
      <c r="G56" s="708"/>
      <c r="H56" s="709"/>
      <c r="I56" s="712"/>
      <c r="J56" s="711"/>
      <c r="K56" s="869"/>
      <c r="M56" s="670"/>
      <c r="P56" s="689"/>
      <c r="Q56" s="689"/>
      <c r="R56" s="698"/>
    </row>
    <row r="57" spans="1:20" s="723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72"/>
      <c r="L57" s="724"/>
      <c r="M57" s="725"/>
      <c r="R57" s="726"/>
      <c r="S57" s="726"/>
      <c r="T57" s="727"/>
    </row>
    <row r="58" spans="1:20" ht="25" hidden="1" customHeight="1">
      <c r="B58" s="985" t="s">
        <v>655</v>
      </c>
      <c r="C58" s="985"/>
      <c r="D58" s="985"/>
      <c r="E58" s="985"/>
      <c r="M58" s="695"/>
    </row>
    <row r="59" spans="1:20" s="728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7" t="s">
        <v>212</v>
      </c>
      <c r="J59" s="696"/>
      <c r="K59" s="866" t="s">
        <v>215</v>
      </c>
      <c r="L59" s="729"/>
      <c r="M59" s="730"/>
      <c r="Q59" s="731"/>
      <c r="R59" s="731"/>
      <c r="S59" s="732"/>
    </row>
    <row r="60" spans="1:20" s="682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33">
        <f t="shared" ref="G60:G63" si="6">H60/720</f>
        <v>9.6527777777777786</v>
      </c>
      <c r="H60" s="700">
        <f>C60*IAAS_vcpu_SEK+D60*IAAS_ram_SEK+E60*IAAS_nvme_SEK+F60*IAAS_gpu_SEK</f>
        <v>6950</v>
      </c>
      <c r="I60" s="956"/>
      <c r="J60" s="14"/>
      <c r="K60" s="867">
        <f>ROUNDUP(I60*H60,2)</f>
        <v>0</v>
      </c>
      <c r="M60" s="702"/>
      <c r="P60" s="689"/>
      <c r="R60" s="689"/>
    </row>
    <row r="61" spans="1:20" s="682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34">
        <f t="shared" si="6"/>
        <v>19.305555555555557</v>
      </c>
      <c r="H61" s="704">
        <f>C61*IAAS_vcpu_SEK+D61*IAAS_ram_SEK+E61*IAAS_nvme_SEK+F61*IAAS_gpu_SEK</f>
        <v>13900</v>
      </c>
      <c r="I61" s="956"/>
      <c r="J61" s="16"/>
      <c r="K61" s="868">
        <f>ROUNDUP(I61*H61,2)</f>
        <v>0</v>
      </c>
      <c r="M61" s="702"/>
      <c r="P61" s="689"/>
      <c r="R61" s="689"/>
    </row>
    <row r="62" spans="1:20" s="682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33">
        <f t="shared" si="6"/>
        <v>38.611111111111114</v>
      </c>
      <c r="H62" s="700">
        <f>C62*IAAS_vcpu_SEK+D62*IAAS_ram_SEK+E62*IAAS_nvme_SEK+F62*IAAS_gpu_SEK</f>
        <v>27800</v>
      </c>
      <c r="I62" s="956"/>
      <c r="J62" s="14"/>
      <c r="K62" s="867">
        <f>ROUNDUP(I62*H62,2)</f>
        <v>0</v>
      </c>
      <c r="M62" s="702"/>
      <c r="P62" s="689"/>
      <c r="R62" s="689"/>
    </row>
    <row r="63" spans="1:20" s="682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34">
        <f t="shared" si="6"/>
        <v>60.555555555555557</v>
      </c>
      <c r="H63" s="704">
        <f>C63*IAAS_vcpu_SEK+D63*IAAS_ram_SEK+E63*IAAS_nvme_SEK+F63*IAAS_gpu_SEK</f>
        <v>43600</v>
      </c>
      <c r="I63" s="956"/>
      <c r="J63" s="16"/>
      <c r="K63" s="868">
        <f>ROUNDUP(I63*H63,2)</f>
        <v>0</v>
      </c>
      <c r="M63" s="702"/>
      <c r="P63" s="689"/>
      <c r="R63" s="689"/>
    </row>
    <row r="64" spans="1:20" s="903" customFormat="1" ht="25" hidden="1" customHeight="1">
      <c r="B64" s="899" t="s">
        <v>222</v>
      </c>
      <c r="C64" s="900" t="str" cm="1">
        <f t="array" ref="C64">SUM(I60:I63*C60:C63)&amp;" st"</f>
        <v>0 st</v>
      </c>
      <c r="D64" s="900" t="str" cm="1">
        <f t="array" ref="D64">SUM(I60:I63*D60:D63)&amp;" GB"</f>
        <v>0 GB</v>
      </c>
      <c r="E64" s="901" t="str" cm="1">
        <f t="array" ref="E64">SUM(I60:I63*E60:E63)&amp;" GB"</f>
        <v>0 GB</v>
      </c>
      <c r="F64" s="901" t="str" cm="1">
        <f t="array" ref="F64">SUM(I60:I63*F60:F63)&amp;" st"</f>
        <v>0 st</v>
      </c>
      <c r="G64" s="900"/>
      <c r="H64" s="900"/>
      <c r="I64" s="900" t="str">
        <f>SUM(I60:I63)&amp;" st"</f>
        <v>0 st</v>
      </c>
      <c r="J64" s="900"/>
      <c r="K64" s="902">
        <f>SUM(K60:K63)</f>
        <v>0</v>
      </c>
      <c r="M64" s="904"/>
      <c r="P64" s="905"/>
      <c r="R64" s="905"/>
    </row>
    <row r="65" spans="2:20" s="682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73"/>
      <c r="M65" s="702"/>
      <c r="P65" s="689"/>
      <c r="R65" s="689"/>
    </row>
    <row r="66" spans="2:20" s="682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73"/>
      <c r="M66" s="702"/>
      <c r="P66" s="689"/>
      <c r="R66" s="689"/>
    </row>
    <row r="67" spans="2:20" s="691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73"/>
      <c r="M67" s="692"/>
      <c r="N67" s="8"/>
      <c r="O67" s="8"/>
      <c r="P67" s="693"/>
      <c r="Q67" s="8"/>
      <c r="R67" s="694"/>
    </row>
    <row r="68" spans="2:20" ht="25" hidden="1" customHeight="1">
      <c r="B68" s="985" t="s">
        <v>655</v>
      </c>
      <c r="C68" s="985"/>
      <c r="D68" s="985"/>
      <c r="E68" s="985"/>
      <c r="M68" s="695"/>
    </row>
    <row r="69" spans="2:20" s="728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6"/>
      <c r="I69" s="697" t="s">
        <v>366</v>
      </c>
      <c r="J69" s="696"/>
      <c r="K69" s="866" t="s">
        <v>215</v>
      </c>
      <c r="L69" s="729"/>
      <c r="M69" s="730"/>
      <c r="Q69" s="731"/>
      <c r="R69" s="731"/>
      <c r="S69" s="732"/>
    </row>
    <row r="70" spans="2:20" s="682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38">
        <f t="shared" ref="F70:F72" si="7">G70/720</f>
        <v>9.5</v>
      </c>
      <c r="G70" s="739">
        <f>INSTANCE_p1.2xlarge.16d_SEK</f>
        <v>6840</v>
      </c>
      <c r="H70" s="14"/>
      <c r="I70" s="956"/>
      <c r="J70" s="14"/>
      <c r="K70" s="867">
        <f>ROUNDUP(I70*G70,2)</f>
        <v>0</v>
      </c>
      <c r="L70" s="8"/>
      <c r="M70" s="702"/>
    </row>
    <row r="71" spans="2:20" s="682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40">
        <f t="shared" si="7"/>
        <v>19</v>
      </c>
      <c r="G71" s="96">
        <f>INSTANCE_p1.4xlarge.16d_SEK</f>
        <v>13680</v>
      </c>
      <c r="H71" s="16"/>
      <c r="I71" s="956"/>
      <c r="J71" s="16"/>
      <c r="K71" s="868">
        <f>ROUNDUP(I71*G71,2)</f>
        <v>0</v>
      </c>
      <c r="L71" s="8"/>
      <c r="M71" s="702"/>
      <c r="S71" s="689"/>
    </row>
    <row r="72" spans="2:20" s="736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41">
        <f t="shared" si="7"/>
        <v>38</v>
      </c>
      <c r="G72" s="739">
        <f>INSTANCE_p1.8xlarge.32d_SEK</f>
        <v>27360</v>
      </c>
      <c r="H72" s="14"/>
      <c r="I72" s="956"/>
      <c r="J72" s="14"/>
      <c r="K72" s="867">
        <f>ROUNDUP(I72*G72,2)</f>
        <v>0</v>
      </c>
      <c r="L72" s="742"/>
      <c r="M72" s="735"/>
    </row>
    <row r="73" spans="2:20" s="903" customFormat="1" ht="25" hidden="1" customHeight="1">
      <c r="B73" s="899" t="s">
        <v>222</v>
      </c>
      <c r="C73" s="900" t="str" cm="1">
        <f t="array" ref="C73">SUM(I70:I72*C70:C72)&amp;" st"</f>
        <v>0 st</v>
      </c>
      <c r="D73" s="900" t="str" cm="1">
        <f t="array" ref="D73">SUM(I70:I72*D70:D72)&amp;" GB"</f>
        <v>0 GB</v>
      </c>
      <c r="E73" s="901" t="str" cm="1">
        <f t="array" ref="E73">SUM(I70:I72*E70:E72)&amp;" GB"</f>
        <v>0 GB</v>
      </c>
      <c r="F73" s="900"/>
      <c r="G73" s="900"/>
      <c r="H73" s="900"/>
      <c r="I73" s="900" t="str">
        <f>SUM(I70:I72)&amp;" st"</f>
        <v>0 st</v>
      </c>
      <c r="J73" s="900"/>
      <c r="K73" s="902">
        <f>SUM(K70:K72)</f>
        <v>0</v>
      </c>
      <c r="M73" s="904"/>
      <c r="P73" s="905"/>
      <c r="R73" s="905"/>
    </row>
    <row r="74" spans="2:20" ht="25" customHeight="1">
      <c r="B74" s="452"/>
      <c r="C74" s="76"/>
      <c r="D74" s="76"/>
      <c r="E74" s="76"/>
      <c r="F74" s="76"/>
      <c r="G74" s="76"/>
      <c r="H74" s="736"/>
      <c r="I74" s="710"/>
      <c r="J74" s="710"/>
      <c r="K74" s="874"/>
      <c r="L74" s="712"/>
      <c r="M74" s="670"/>
    </row>
    <row r="75" spans="2:20" s="682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73"/>
      <c r="L75" s="737"/>
      <c r="M75" s="702"/>
      <c r="Q75" s="689"/>
      <c r="S75" s="689"/>
    </row>
    <row r="76" spans="2:20" ht="25" customHeight="1">
      <c r="B76" s="651" t="s">
        <v>610</v>
      </c>
      <c r="C76" s="22"/>
      <c r="D76" s="22"/>
      <c r="E76" s="22"/>
      <c r="F76" s="22"/>
      <c r="G76" s="22"/>
      <c r="H76" s="8"/>
      <c r="I76" s="8"/>
      <c r="J76" s="8"/>
      <c r="K76" s="873"/>
      <c r="L76" s="737"/>
      <c r="M76" s="670"/>
      <c r="N76" s="682"/>
      <c r="O76" s="682"/>
      <c r="P76" s="682"/>
      <c r="Q76" s="682"/>
      <c r="R76" s="689"/>
      <c r="S76" s="682"/>
      <c r="T76" s="698"/>
    </row>
    <row r="77" spans="2:20" ht="25" customHeight="1">
      <c r="B77" s="630" t="s">
        <v>609</v>
      </c>
      <c r="M77" s="695"/>
    </row>
    <row r="78" spans="2:20" s="74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43" t="s">
        <v>612</v>
      </c>
      <c r="J78" s="24"/>
      <c r="K78" s="614" t="s">
        <v>614</v>
      </c>
      <c r="L78" s="719"/>
      <c r="M78" s="744"/>
      <c r="N78" s="719"/>
      <c r="R78" s="746"/>
      <c r="S78" s="746"/>
      <c r="T78" s="747"/>
    </row>
    <row r="79" spans="2:20" s="682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38">
        <f>VOLUME_large_SEK</f>
        <v>1.2</v>
      </c>
      <c r="H79" s="748"/>
      <c r="I79" s="749"/>
      <c r="J79" s="399"/>
      <c r="K79" s="857">
        <f>ROUNDUP(I79*G79,2)</f>
        <v>0</v>
      </c>
      <c r="L79" s="8"/>
      <c r="M79" s="702"/>
    </row>
    <row r="80" spans="2:20" s="682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40">
        <f>VOLUME_fast_SEK</f>
        <v>3.6</v>
      </c>
      <c r="H80" s="751"/>
      <c r="I80" s="753"/>
      <c r="J80" s="754"/>
      <c r="K80" s="858">
        <f>ROUNDUP(I80*G80,2)</f>
        <v>0</v>
      </c>
      <c r="L80" s="8"/>
      <c r="M80" s="702"/>
      <c r="T80" s="689"/>
    </row>
    <row r="81" spans="2:26" s="682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38">
        <f>VOLUME_large_SEK</f>
        <v>1.2</v>
      </c>
      <c r="H81" s="755"/>
      <c r="I81" s="749"/>
      <c r="J81" s="399"/>
      <c r="K81" s="857">
        <f>ROUNDUP(I81*G81,2)</f>
        <v>0</v>
      </c>
      <c r="L81" s="8"/>
      <c r="M81" s="702"/>
    </row>
    <row r="82" spans="2:26" s="903" customFormat="1" ht="25" customHeight="1">
      <c r="B82" s="899" t="s">
        <v>222</v>
      </c>
      <c r="C82" s="900"/>
      <c r="D82" s="900"/>
      <c r="E82" s="900"/>
      <c r="F82" s="900"/>
      <c r="G82" s="900"/>
      <c r="H82" s="900"/>
      <c r="I82" s="900" t="str">
        <f>SUM(I79:I81)&amp;" GB"</f>
        <v>0 GB</v>
      </c>
      <c r="J82" s="900"/>
      <c r="K82" s="902">
        <f>SUM(K79:K81)</f>
        <v>0</v>
      </c>
      <c r="M82" s="904"/>
      <c r="P82" s="905"/>
      <c r="R82" s="905"/>
    </row>
    <row r="83" spans="2:26" ht="25" customHeight="1">
      <c r="B83" s="452"/>
      <c r="C83" s="76"/>
      <c r="D83" s="76"/>
      <c r="E83" s="76"/>
      <c r="F83" s="76"/>
      <c r="G83" s="76"/>
      <c r="H83" s="736"/>
      <c r="I83" s="756"/>
      <c r="J83" s="756"/>
      <c r="K83" s="875"/>
      <c r="L83" s="75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56"/>
      <c r="I84" s="756"/>
      <c r="J84" s="756"/>
      <c r="K84" s="876"/>
      <c r="L84" s="757"/>
      <c r="M84" s="674"/>
    </row>
    <row r="85" spans="2:26" s="4" customFormat="1" ht="25" customHeight="1">
      <c r="B85" s="967" t="s">
        <v>669</v>
      </c>
      <c r="C85" s="967"/>
      <c r="D85" s="967"/>
      <c r="E85" s="967"/>
      <c r="F85" s="967"/>
      <c r="G85" s="967"/>
      <c r="H85" s="679"/>
      <c r="J85" s="681"/>
      <c r="K85" s="862"/>
      <c r="M85" s="674"/>
    </row>
    <row r="86" spans="2:26" s="4" customFormat="1" ht="25" customHeight="1">
      <c r="B86" s="967"/>
      <c r="C86" s="967"/>
      <c r="D86" s="967"/>
      <c r="E86" s="967"/>
      <c r="F86" s="967"/>
      <c r="G86" s="967"/>
      <c r="H86" s="679"/>
      <c r="J86" s="681"/>
      <c r="K86" s="862"/>
      <c r="M86" s="674"/>
    </row>
    <row r="87" spans="2:26" s="4" customFormat="1" ht="25" customHeight="1">
      <c r="B87" s="967"/>
      <c r="C87" s="967"/>
      <c r="D87" s="967"/>
      <c r="E87" s="967"/>
      <c r="F87" s="967"/>
      <c r="G87" s="967"/>
      <c r="H87" s="679"/>
      <c r="J87" s="681"/>
      <c r="K87" s="862"/>
      <c r="M87" s="674"/>
    </row>
    <row r="88" spans="2:26" s="4" customFormat="1" ht="25" customHeight="1">
      <c r="B88" s="551" t="s">
        <v>649</v>
      </c>
      <c r="C88" s="551"/>
      <c r="D88" s="551"/>
      <c r="E88" s="551"/>
      <c r="F88" s="551"/>
      <c r="H88" s="679"/>
      <c r="J88" s="681"/>
      <c r="K88" s="862"/>
      <c r="M88" s="688"/>
    </row>
    <row r="89" spans="2:26" s="505" customFormat="1" ht="25" customHeight="1">
      <c r="B89" s="465" t="s">
        <v>615</v>
      </c>
      <c r="C89" s="465"/>
      <c r="D89" s="465"/>
      <c r="E89" s="465"/>
      <c r="F89" s="465"/>
      <c r="G89" s="759"/>
      <c r="H89" s="760"/>
      <c r="I89" s="759"/>
      <c r="J89" s="761"/>
      <c r="K89" s="877"/>
      <c r="L89" s="759"/>
      <c r="M89" s="762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4"/>
      <c r="H90" s="685"/>
      <c r="I90" s="684"/>
      <c r="J90" s="686"/>
      <c r="K90" s="863"/>
      <c r="L90" s="687"/>
      <c r="M90" s="688"/>
      <c r="S90" s="682"/>
      <c r="T90" s="682"/>
      <c r="U90" s="682"/>
      <c r="V90" s="682"/>
      <c r="W90" s="689"/>
      <c r="X90" s="8"/>
      <c r="Y90" s="682"/>
      <c r="Z90" s="682"/>
    </row>
    <row r="91" spans="2:26" s="682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73"/>
      <c r="L91" s="737"/>
      <c r="M91" s="702"/>
      <c r="R91" s="689"/>
      <c r="T91" s="689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616</v>
      </c>
      <c r="H92" s="24"/>
      <c r="I92" s="743" t="s">
        <v>617</v>
      </c>
      <c r="J92" s="131"/>
      <c r="K92" s="614" t="s">
        <v>83</v>
      </c>
      <c r="L92" s="687"/>
      <c r="M92" s="702"/>
      <c r="N92" s="682"/>
    </row>
    <row r="93" spans="2:26" s="769" customFormat="1" ht="25" customHeight="1">
      <c r="B93" s="445" t="s">
        <v>535</v>
      </c>
      <c r="C93" s="78"/>
      <c r="D93" s="524"/>
      <c r="E93" s="524"/>
      <c r="F93" s="765"/>
      <c r="G93" s="764">
        <f>S3_archive.50_SEK</f>
        <v>350</v>
      </c>
      <c r="H93" s="765"/>
      <c r="I93" s="766"/>
      <c r="J93" s="767"/>
      <c r="K93" s="631">
        <f>I93*G93</f>
        <v>0</v>
      </c>
      <c r="L93" s="768"/>
      <c r="M93" s="702"/>
      <c r="N93" s="736"/>
    </row>
    <row r="94" spans="2:26" s="682" customFormat="1" ht="25" customHeight="1">
      <c r="B94" s="137" t="s">
        <v>494</v>
      </c>
      <c r="C94" s="41"/>
      <c r="D94" s="79"/>
      <c r="E94" s="79"/>
      <c r="F94" s="751"/>
      <c r="G94" s="650">
        <f>S3_storage50_SEK</f>
        <v>500</v>
      </c>
      <c r="H94" s="752"/>
      <c r="I94" s="770"/>
      <c r="J94" s="754"/>
      <c r="K94" s="858">
        <f>I94*G94</f>
        <v>0</v>
      </c>
      <c r="L94" s="8"/>
      <c r="M94" s="702"/>
      <c r="T94" s="689"/>
    </row>
    <row r="95" spans="2:26" s="903" customFormat="1" ht="25" customHeight="1">
      <c r="B95" s="899" t="s">
        <v>222</v>
      </c>
      <c r="C95" s="900"/>
      <c r="D95" s="900"/>
      <c r="E95" s="900"/>
      <c r="F95" s="900"/>
      <c r="G95" s="900"/>
      <c r="H95" s="900"/>
      <c r="I95" s="900"/>
      <c r="J95" s="900"/>
      <c r="K95" s="902">
        <f>SUM(K93:K94)</f>
        <v>0</v>
      </c>
      <c r="M95" s="904"/>
      <c r="P95" s="905"/>
      <c r="R95" s="905"/>
    </row>
    <row r="96" spans="2:26" ht="25" customHeight="1">
      <c r="B96" s="449"/>
      <c r="C96" s="17"/>
      <c r="D96" s="17"/>
      <c r="E96" s="17"/>
      <c r="F96" s="17"/>
      <c r="G96" s="713"/>
      <c r="H96" s="714"/>
      <c r="I96" s="714"/>
      <c r="M96" s="670"/>
      <c r="N96" s="689"/>
      <c r="O96" s="689"/>
      <c r="P96" s="698"/>
    </row>
    <row r="97" spans="2:26" s="723" customFormat="1" ht="25" hidden="1" customHeight="1">
      <c r="B97" s="416" t="s">
        <v>422</v>
      </c>
      <c r="C97" s="771"/>
      <c r="D97" s="771"/>
      <c r="E97" s="771"/>
      <c r="F97" s="771"/>
      <c r="G97" s="771"/>
      <c r="H97" s="27"/>
      <c r="I97" s="27"/>
      <c r="J97" s="27"/>
      <c r="K97" s="873"/>
      <c r="M97" s="670"/>
      <c r="N97" s="27"/>
      <c r="O97" s="27"/>
      <c r="P97" s="726"/>
      <c r="Q97" s="27"/>
      <c r="R97" s="727"/>
    </row>
    <row r="98" spans="2:26" s="4" customFormat="1" ht="25" hidden="1" customHeight="1">
      <c r="B98" s="444" t="s">
        <v>208</v>
      </c>
      <c r="C98" s="10" t="s">
        <v>224</v>
      </c>
      <c r="D98" s="981" t="s">
        <v>225</v>
      </c>
      <c r="E98" s="981"/>
      <c r="F98" s="981"/>
      <c r="G98" s="981"/>
      <c r="H98" s="981"/>
      <c r="I98" s="981"/>
      <c r="J98" s="131"/>
      <c r="K98" s="614"/>
      <c r="L98" s="687"/>
      <c r="M98" s="725"/>
      <c r="N98" s="682"/>
    </row>
    <row r="99" spans="2:26" s="769" customFormat="1" ht="25" hidden="1" customHeight="1">
      <c r="B99" s="466" t="s">
        <v>423</v>
      </c>
      <c r="C99" s="82"/>
      <c r="D99" s="25"/>
      <c r="E99" s="772" cm="1">
        <f t="array" ref="E99">_xlfn.IFS(H99&lt;50,D100,H99&lt;100,D101,H99&lt;500,D102,H99&lt;1000,D103,H99&gt;999,D104)</f>
        <v>185</v>
      </c>
      <c r="F99" s="772"/>
      <c r="G99" s="772"/>
      <c r="H99" s="958">
        <v>600</v>
      </c>
      <c r="I99" s="774" t="s">
        <v>84</v>
      </c>
      <c r="J99" s="775"/>
      <c r="K99" s="596" cm="1">
        <f t="array" ref="K99">_xlfn.IFS(H99&lt;1000,ROUNDUP(H99*E99,2),H99&gt;999,E99)</f>
        <v>111000</v>
      </c>
      <c r="L99" s="768"/>
      <c r="M99" s="702"/>
      <c r="N99" s="736"/>
    </row>
    <row r="100" spans="2:26" s="4" customFormat="1" ht="25" hidden="1" customHeight="1">
      <c r="B100" s="605" t="s">
        <v>423</v>
      </c>
      <c r="C100" s="606" t="s">
        <v>429</v>
      </c>
      <c r="D100" s="980">
        <f>S3_archive.50_SEK</f>
        <v>350</v>
      </c>
      <c r="E100" s="980"/>
      <c r="F100" s="980"/>
      <c r="G100" s="980"/>
      <c r="H100" s="980"/>
      <c r="I100" s="980"/>
      <c r="J100" s="916"/>
      <c r="K100" s="878"/>
      <c r="L100" s="687"/>
      <c r="M100" s="735"/>
      <c r="N100" s="682"/>
    </row>
    <row r="101" spans="2:26" s="4" customFormat="1" ht="25" hidden="1" customHeight="1">
      <c r="B101" s="617" t="s">
        <v>423</v>
      </c>
      <c r="C101" s="618" t="s">
        <v>430</v>
      </c>
      <c r="D101" s="978">
        <f>S3_archive.100_SEK</f>
        <v>270</v>
      </c>
      <c r="E101" s="978"/>
      <c r="F101" s="978"/>
      <c r="G101" s="978"/>
      <c r="H101" s="978"/>
      <c r="I101" s="978"/>
      <c r="J101" s="918"/>
      <c r="K101" s="879"/>
      <c r="L101" s="687"/>
      <c r="M101" s="702"/>
      <c r="N101" s="682"/>
    </row>
    <row r="102" spans="2:26" s="4" customFormat="1" ht="25" hidden="1" customHeight="1">
      <c r="B102" s="605" t="s">
        <v>423</v>
      </c>
      <c r="C102" s="606" t="s">
        <v>431</v>
      </c>
      <c r="D102" s="969">
        <f>S3_archive.500_SEK</f>
        <v>200</v>
      </c>
      <c r="E102" s="969"/>
      <c r="F102" s="969"/>
      <c r="G102" s="969"/>
      <c r="H102" s="969"/>
      <c r="I102" s="969"/>
      <c r="J102" s="919"/>
      <c r="K102" s="880"/>
      <c r="L102" s="687"/>
      <c r="M102" s="702"/>
      <c r="N102" s="682"/>
    </row>
    <row r="103" spans="2:26" s="4" customFormat="1" ht="25" hidden="1" customHeight="1">
      <c r="B103" s="617" t="s">
        <v>423</v>
      </c>
      <c r="C103" s="618" t="s">
        <v>432</v>
      </c>
      <c r="D103" s="978">
        <f>S3_archive.1000_SEK</f>
        <v>185</v>
      </c>
      <c r="E103" s="978"/>
      <c r="F103" s="978"/>
      <c r="G103" s="978"/>
      <c r="H103" s="978"/>
      <c r="I103" s="978"/>
      <c r="J103" s="918"/>
      <c r="K103" s="879"/>
      <c r="L103" s="687"/>
      <c r="M103" s="702"/>
      <c r="N103" s="682"/>
    </row>
    <row r="104" spans="2:26" s="4" customFormat="1" ht="25" hidden="1" customHeight="1">
      <c r="B104" s="609" t="s">
        <v>423</v>
      </c>
      <c r="C104" s="610" t="s">
        <v>433</v>
      </c>
      <c r="D104" s="979" t="str">
        <f>S3_archive.quote_SEK</f>
        <v>Be om offert</v>
      </c>
      <c r="E104" s="979"/>
      <c r="F104" s="979"/>
      <c r="G104" s="979"/>
      <c r="H104" s="979"/>
      <c r="I104" s="979"/>
      <c r="J104" s="917"/>
      <c r="K104" s="881"/>
      <c r="L104" s="687"/>
      <c r="M104" s="702"/>
      <c r="N104" s="682"/>
    </row>
    <row r="105" spans="2:26" s="4" customFormat="1" ht="25" hidden="1" customHeight="1">
      <c r="B105" s="448" t="s">
        <v>85</v>
      </c>
      <c r="C105" s="19"/>
      <c r="D105" s="19"/>
      <c r="E105" s="19"/>
      <c r="F105" s="708"/>
      <c r="G105" s="708"/>
      <c r="H105" s="709"/>
      <c r="I105" s="709"/>
      <c r="J105" s="776"/>
      <c r="K105" s="869">
        <f>K99</f>
        <v>111000</v>
      </c>
      <c r="L105" s="687"/>
      <c r="M105" s="702"/>
      <c r="N105" s="682"/>
    </row>
    <row r="106" spans="2:26" s="728" customFormat="1" ht="25" customHeight="1">
      <c r="B106" s="465"/>
      <c r="C106" s="19"/>
      <c r="D106" s="133"/>
      <c r="E106" s="133"/>
      <c r="F106" s="133"/>
      <c r="G106" s="684"/>
      <c r="H106" s="685"/>
      <c r="I106" s="709"/>
      <c r="J106" s="763"/>
      <c r="K106" s="863"/>
      <c r="L106" s="687"/>
      <c r="M106" s="702"/>
      <c r="N106" s="745"/>
      <c r="O106" s="745"/>
      <c r="P106" s="745"/>
      <c r="Q106" s="745"/>
      <c r="R106" s="745"/>
      <c r="S106" s="745"/>
    </row>
    <row r="107" spans="2:26" ht="25" customHeight="1">
      <c r="B107" s="639"/>
      <c r="C107" s="26"/>
      <c r="D107" s="26"/>
      <c r="E107" s="26"/>
      <c r="F107" s="777"/>
      <c r="G107" s="778"/>
      <c r="H107" s="756"/>
      <c r="I107" s="756"/>
      <c r="J107" s="779"/>
      <c r="K107" s="875"/>
      <c r="L107" s="758"/>
      <c r="M107" s="702"/>
      <c r="N107" s="682"/>
      <c r="Q107" s="4"/>
    </row>
    <row r="108" spans="2:26" s="4" customFormat="1" ht="25" customHeight="1">
      <c r="B108" s="967" t="s">
        <v>670</v>
      </c>
      <c r="C108" s="967"/>
      <c r="D108" s="967"/>
      <c r="E108" s="967"/>
      <c r="F108" s="967"/>
      <c r="G108" s="967"/>
      <c r="H108" s="679"/>
      <c r="J108" s="681"/>
      <c r="K108" s="862"/>
      <c r="L108" s="681"/>
      <c r="M108" s="674"/>
    </row>
    <row r="109" spans="2:26" s="4" customFormat="1" ht="25" customHeight="1">
      <c r="B109" s="967"/>
      <c r="C109" s="967"/>
      <c r="D109" s="967"/>
      <c r="E109" s="967"/>
      <c r="F109" s="967"/>
      <c r="G109" s="967"/>
      <c r="H109" s="679"/>
      <c r="J109" s="681"/>
      <c r="K109" s="862"/>
      <c r="L109" s="681"/>
      <c r="M109" s="674"/>
    </row>
    <row r="110" spans="2:26" s="4" customFormat="1" ht="25" customHeight="1">
      <c r="B110" s="967"/>
      <c r="C110" s="967"/>
      <c r="D110" s="967"/>
      <c r="E110" s="967"/>
      <c r="F110" s="967"/>
      <c r="G110" s="967"/>
      <c r="H110" s="679"/>
      <c r="J110" s="681"/>
      <c r="K110" s="862"/>
      <c r="L110" s="681"/>
      <c r="M110" s="674"/>
    </row>
    <row r="111" spans="2:26" s="4" customFormat="1" ht="25" customHeight="1">
      <c r="B111" s="551" t="s">
        <v>618</v>
      </c>
      <c r="C111" s="551"/>
      <c r="D111" s="551"/>
      <c r="E111" s="551"/>
      <c r="F111" s="551"/>
      <c r="H111" s="679"/>
      <c r="J111" s="681"/>
      <c r="K111" s="862"/>
      <c r="L111" s="681"/>
      <c r="M111" s="688"/>
    </row>
    <row r="112" spans="2:26" s="4" customFormat="1" ht="25" customHeight="1">
      <c r="B112" s="983" t="s">
        <v>608</v>
      </c>
      <c r="C112" s="983"/>
      <c r="D112" s="983"/>
      <c r="E112" s="983"/>
      <c r="F112" s="983"/>
      <c r="G112" s="684"/>
      <c r="H112" s="685"/>
      <c r="J112" s="686"/>
      <c r="K112" s="863"/>
      <c r="L112" s="687"/>
      <c r="M112" s="674"/>
      <c r="S112" s="682"/>
      <c r="T112" s="682"/>
      <c r="U112" s="682"/>
      <c r="V112" s="682"/>
      <c r="W112" s="682"/>
      <c r="X112" s="682"/>
      <c r="Y112" s="682"/>
      <c r="Z112" s="682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4"/>
      <c r="H113" s="685"/>
      <c r="I113" s="684"/>
      <c r="J113" s="686"/>
      <c r="K113" s="863"/>
      <c r="L113" s="687"/>
      <c r="M113" s="688"/>
      <c r="S113" s="682"/>
      <c r="T113" s="682"/>
      <c r="U113" s="682"/>
      <c r="V113" s="682"/>
      <c r="W113" s="689"/>
      <c r="X113" s="8"/>
      <c r="Y113" s="682"/>
      <c r="Z113" s="682"/>
    </row>
    <row r="114" spans="2:32" s="728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73"/>
      <c r="L114" s="8"/>
      <c r="M114" s="780"/>
      <c r="P114" s="745"/>
      <c r="Q114" s="745"/>
      <c r="R114" s="745"/>
      <c r="S114" s="745"/>
      <c r="T114" s="745"/>
      <c r="U114" s="745"/>
    </row>
    <row r="115" spans="2:32" ht="25" customHeight="1">
      <c r="B115" s="444" t="s">
        <v>208</v>
      </c>
      <c r="C115" s="788"/>
      <c r="D115" s="788"/>
      <c r="E115" s="24" t="s">
        <v>286</v>
      </c>
      <c r="F115" s="788"/>
      <c r="G115" s="24" t="s">
        <v>620</v>
      </c>
      <c r="H115" s="24"/>
      <c r="I115" s="743" t="s">
        <v>612</v>
      </c>
      <c r="J115" s="743" t="s">
        <v>621</v>
      </c>
      <c r="K115" s="614" t="s">
        <v>92</v>
      </c>
      <c r="L115" s="737"/>
      <c r="M115" s="959" t="s">
        <v>622</v>
      </c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81">
        <f>BAAS_on.demand_SEK</f>
        <v>2.4500000000000002</v>
      </c>
      <c r="H116" s="399"/>
      <c r="I116" s="766"/>
      <c r="J116" s="908" t="s">
        <v>94</v>
      </c>
      <c r="K116" s="857">
        <f>ROUNDUP(I116*G116,2)</f>
        <v>0</v>
      </c>
      <c r="L116" s="737"/>
      <c r="M116" s="855" t="s">
        <v>623</v>
      </c>
    </row>
    <row r="117" spans="2:32" ht="25" customHeight="1">
      <c r="B117" s="137" t="s">
        <v>496</v>
      </c>
      <c r="C117" s="79"/>
      <c r="D117" s="79"/>
      <c r="E117" s="31">
        <v>5500</v>
      </c>
      <c r="F117" s="754"/>
      <c r="G117" s="782">
        <f>BAAS_small_SEK</f>
        <v>1.75</v>
      </c>
      <c r="H117" s="754"/>
      <c r="I117" s="783"/>
      <c r="J117" s="784">
        <v>0.75</v>
      </c>
      <c r="K117" s="858">
        <f>IF(I117&gt;0,$E$117+($G$117*(I117*(1-$J$117))),0)</f>
        <v>0</v>
      </c>
      <c r="L117" s="737"/>
      <c r="M117" s="856" t="s">
        <v>624</v>
      </c>
    </row>
    <row r="118" spans="2:32" s="785" customFormat="1" ht="25" customHeight="1">
      <c r="B118" s="466" t="s">
        <v>497</v>
      </c>
      <c r="C118" s="82"/>
      <c r="D118" s="82"/>
      <c r="E118" s="33">
        <v>9500</v>
      </c>
      <c r="F118" s="774"/>
      <c r="G118" s="781">
        <f>BAAS_large_SEK</f>
        <v>0.92</v>
      </c>
      <c r="H118" s="774"/>
      <c r="I118" s="773"/>
      <c r="J118" s="786">
        <v>0.75</v>
      </c>
      <c r="K118" s="596">
        <f>IF(I118&gt;0,$E$118+($G$118*(I118*(1-$J$118))),0)</f>
        <v>0</v>
      </c>
      <c r="L118" s="737"/>
      <c r="M118" s="855" t="s">
        <v>625</v>
      </c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903" customFormat="1" ht="25" customHeight="1">
      <c r="B119" s="899" t="s">
        <v>222</v>
      </c>
      <c r="C119" s="900"/>
      <c r="D119" s="900"/>
      <c r="E119" s="900"/>
      <c r="F119" s="900"/>
      <c r="G119" s="900"/>
      <c r="H119" s="900"/>
      <c r="I119" s="900" t="str">
        <f>SUM(I116:I118)&amp;" GB"</f>
        <v>0 GB</v>
      </c>
      <c r="J119" s="900"/>
      <c r="K119" s="902">
        <f>SUM(K116:K118)</f>
        <v>0</v>
      </c>
      <c r="M119" s="904"/>
      <c r="P119" s="905"/>
      <c r="R119" s="905"/>
    </row>
    <row r="120" spans="2:32" s="785" customFormat="1" ht="25" customHeight="1">
      <c r="B120" s="448"/>
      <c r="C120" s="19"/>
      <c r="D120" s="19"/>
      <c r="E120" s="19"/>
      <c r="F120" s="907"/>
      <c r="G120" s="709"/>
      <c r="H120" s="709"/>
      <c r="I120" s="709"/>
      <c r="J120" s="709"/>
      <c r="K120" s="882"/>
      <c r="L120" s="776"/>
      <c r="M120" s="787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77"/>
      <c r="G121" s="778"/>
      <c r="H121" s="756"/>
      <c r="I121" s="756"/>
      <c r="J121" s="779"/>
      <c r="K121" s="875"/>
      <c r="L121" s="768"/>
      <c r="M121" s="780"/>
      <c r="N121" s="682"/>
    </row>
    <row r="122" spans="2:32" ht="25" customHeight="1">
      <c r="B122" s="639"/>
      <c r="C122" s="26"/>
      <c r="D122" s="26"/>
      <c r="E122" s="26"/>
      <c r="F122" s="777"/>
      <c r="G122" s="778"/>
      <c r="H122" s="756"/>
      <c r="I122" s="756"/>
      <c r="J122" s="779"/>
      <c r="K122" s="875"/>
      <c r="L122" s="758"/>
      <c r="M122" s="702"/>
      <c r="N122" s="682"/>
      <c r="Q122" s="4"/>
    </row>
    <row r="123" spans="2:32" s="4" customFormat="1" ht="25" customHeight="1">
      <c r="B123" s="967" t="s">
        <v>442</v>
      </c>
      <c r="C123" s="967"/>
      <c r="D123" s="967"/>
      <c r="E123" s="967"/>
      <c r="F123" s="967"/>
      <c r="G123" s="967"/>
      <c r="H123" s="679"/>
      <c r="J123" s="681"/>
      <c r="K123" s="862"/>
      <c r="L123" s="681"/>
      <c r="M123" s="674"/>
    </row>
    <row r="124" spans="2:32" s="4" customFormat="1" ht="25" customHeight="1">
      <c r="B124" s="967"/>
      <c r="C124" s="967"/>
      <c r="D124" s="967"/>
      <c r="E124" s="967"/>
      <c r="F124" s="967"/>
      <c r="G124" s="967"/>
      <c r="H124" s="679"/>
      <c r="J124" s="681"/>
      <c r="K124" s="862"/>
      <c r="L124" s="681"/>
      <c r="M124" s="674"/>
    </row>
    <row r="125" spans="2:32" s="4" customFormat="1" ht="25" customHeight="1">
      <c r="B125" s="967"/>
      <c r="C125" s="967"/>
      <c r="D125" s="967"/>
      <c r="E125" s="967"/>
      <c r="F125" s="967"/>
      <c r="G125" s="967"/>
      <c r="H125" s="679"/>
      <c r="J125" s="681"/>
      <c r="K125" s="862"/>
      <c r="L125" s="681"/>
      <c r="M125" s="674"/>
    </row>
    <row r="126" spans="2:32" s="4" customFormat="1" ht="25" customHeight="1">
      <c r="B126" s="551" t="s">
        <v>626</v>
      </c>
      <c r="C126" s="6"/>
      <c r="D126" s="6"/>
      <c r="E126" s="6"/>
      <c r="F126" s="6"/>
      <c r="H126" s="679"/>
      <c r="J126" s="681"/>
      <c r="K126" s="862"/>
      <c r="L126" s="681"/>
      <c r="M126" s="688"/>
    </row>
    <row r="127" spans="2:32" s="4" customFormat="1" ht="25" customHeight="1">
      <c r="B127" s="983" t="s">
        <v>664</v>
      </c>
      <c r="C127" s="983"/>
      <c r="D127" s="983"/>
      <c r="E127" s="983"/>
      <c r="F127" s="983"/>
      <c r="G127" s="684"/>
      <c r="H127" s="685"/>
      <c r="J127" s="686"/>
      <c r="K127" s="863"/>
      <c r="L127" s="687"/>
      <c r="M127" s="674"/>
      <c r="S127" s="682"/>
      <c r="T127" s="682"/>
      <c r="U127" s="682"/>
      <c r="V127" s="682"/>
      <c r="W127" s="682"/>
      <c r="X127" s="682"/>
      <c r="Y127" s="682"/>
      <c r="Z127" s="682"/>
    </row>
    <row r="128" spans="2:32" s="4" customFormat="1" ht="25" customHeight="1">
      <c r="B128" s="552" t="s">
        <v>651</v>
      </c>
      <c r="C128" s="553"/>
      <c r="D128" s="553"/>
      <c r="E128" s="553"/>
      <c r="F128" s="133"/>
      <c r="G128" s="684"/>
      <c r="H128" s="685"/>
      <c r="I128" s="684"/>
      <c r="J128" s="686"/>
      <c r="K128" s="863"/>
      <c r="L128" s="687"/>
      <c r="M128" s="688"/>
      <c r="S128" s="682"/>
      <c r="T128" s="682"/>
      <c r="U128" s="682"/>
      <c r="V128" s="682"/>
      <c r="W128" s="689"/>
      <c r="X128" s="8"/>
      <c r="Y128" s="682"/>
      <c r="Z128" s="682"/>
    </row>
    <row r="129" spans="2:32" s="728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73"/>
      <c r="L129" s="8"/>
      <c r="M129" s="780"/>
      <c r="P129" s="745"/>
      <c r="Q129" s="745"/>
      <c r="R129" s="745"/>
      <c r="S129" s="745"/>
      <c r="T129" s="745"/>
      <c r="U129" s="745"/>
    </row>
    <row r="130" spans="2:32" ht="25" customHeight="1">
      <c r="B130" s="444" t="s">
        <v>208</v>
      </c>
      <c r="C130" s="968" t="s">
        <v>627</v>
      </c>
      <c r="D130" s="968"/>
      <c r="E130" s="968" t="s">
        <v>628</v>
      </c>
      <c r="F130" s="968"/>
      <c r="G130" s="968" t="s">
        <v>286</v>
      </c>
      <c r="H130" s="968"/>
      <c r="I130" s="24"/>
      <c r="J130" s="24"/>
      <c r="K130" s="614" t="s">
        <v>92</v>
      </c>
      <c r="L130" s="737"/>
      <c r="M130" s="960"/>
    </row>
    <row r="131" spans="2:32" ht="25" customHeight="1">
      <c r="B131" s="853" t="s">
        <v>498</v>
      </c>
      <c r="C131" s="974" t="s">
        <v>575</v>
      </c>
      <c r="D131" s="974"/>
      <c r="E131" s="976" t="s">
        <v>650</v>
      </c>
      <c r="F131" s="976"/>
      <c r="G131" s="970">
        <v>15000</v>
      </c>
      <c r="H131" s="971"/>
      <c r="I131" s="766"/>
      <c r="J131" s="962">
        <v>2</v>
      </c>
      <c r="K131" s="883" t="str">
        <f>IF(J131=1,G131," ")</f>
        <v xml:space="preserve"> </v>
      </c>
      <c r="L131" s="737"/>
      <c r="M131" s="789"/>
    </row>
    <row r="132" spans="2:32" ht="25" customHeight="1">
      <c r="B132" s="137" t="s">
        <v>499</v>
      </c>
      <c r="C132" s="975" t="s">
        <v>629</v>
      </c>
      <c r="D132" s="975"/>
      <c r="E132" s="977" t="s">
        <v>630</v>
      </c>
      <c r="F132" s="977"/>
      <c r="G132" s="972">
        <v>24000</v>
      </c>
      <c r="H132" s="973"/>
      <c r="I132" s="770"/>
      <c r="J132" s="754"/>
      <c r="K132" s="884" t="str">
        <f>IF(J131=3,G132," ")</f>
        <v xml:space="preserve"> </v>
      </c>
      <c r="L132" s="737"/>
      <c r="M132" s="790"/>
    </row>
    <row r="133" spans="2:32" s="903" customFormat="1" ht="25" customHeight="1">
      <c r="B133" s="899" t="s">
        <v>222</v>
      </c>
      <c r="C133" s="900"/>
      <c r="D133" s="900"/>
      <c r="E133" s="900"/>
      <c r="F133" s="900"/>
      <c r="G133" s="900"/>
      <c r="H133" s="900"/>
      <c r="I133" s="961"/>
      <c r="J133" s="900"/>
      <c r="K133" s="902">
        <f>SUM(K131:K132)</f>
        <v>0</v>
      </c>
      <c r="M133" s="904"/>
      <c r="P133" s="905"/>
      <c r="R133" s="905"/>
    </row>
    <row r="134" spans="2:32" s="785" customFormat="1" ht="25" customHeight="1">
      <c r="B134" s="448"/>
      <c r="C134" s="709"/>
      <c r="D134" s="708"/>
      <c r="E134" s="708"/>
      <c r="F134" s="708"/>
      <c r="G134" s="709"/>
      <c r="H134" s="709"/>
      <c r="I134" s="709"/>
      <c r="J134" s="709"/>
      <c r="K134" s="869"/>
      <c r="L134" s="737"/>
      <c r="M134" s="787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85" customFormat="1" ht="25" customHeight="1">
      <c r="B135" s="448"/>
      <c r="C135" s="19"/>
      <c r="D135" s="19"/>
      <c r="E135" s="19"/>
      <c r="F135" s="708"/>
      <c r="G135" s="709"/>
      <c r="H135" s="709"/>
      <c r="I135" s="709"/>
      <c r="J135" s="709"/>
      <c r="K135" s="882"/>
      <c r="L135" s="776"/>
      <c r="M135" s="787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8" customFormat="1" ht="25" customHeight="1">
      <c r="B136" s="465"/>
      <c r="C136" s="19"/>
      <c r="D136" s="133"/>
      <c r="E136" s="133"/>
      <c r="F136" s="133"/>
      <c r="G136" s="684"/>
      <c r="H136" s="685"/>
      <c r="I136" s="684"/>
      <c r="J136" s="763"/>
      <c r="K136" s="863"/>
      <c r="L136" s="687"/>
      <c r="M136" s="702"/>
      <c r="N136" s="745"/>
      <c r="O136" s="745"/>
      <c r="P136" s="745"/>
      <c r="Q136" s="745"/>
      <c r="R136" s="745"/>
      <c r="S136" s="745"/>
    </row>
    <row r="137" spans="2:32" s="4" customFormat="1" ht="25" customHeight="1">
      <c r="B137" s="967" t="s">
        <v>292</v>
      </c>
      <c r="C137" s="967"/>
      <c r="D137" s="967"/>
      <c r="E137" s="967"/>
      <c r="F137" s="967"/>
      <c r="G137" s="967"/>
      <c r="H137" s="679"/>
      <c r="J137" s="681"/>
      <c r="K137" s="862"/>
      <c r="M137" s="702"/>
    </row>
    <row r="138" spans="2:32" s="4" customFormat="1" ht="25" customHeight="1">
      <c r="B138" s="967"/>
      <c r="C138" s="967"/>
      <c r="D138" s="967"/>
      <c r="E138" s="967"/>
      <c r="F138" s="967"/>
      <c r="G138" s="967"/>
      <c r="H138" s="679"/>
      <c r="J138" s="681"/>
      <c r="K138" s="862"/>
      <c r="M138" s="702"/>
    </row>
    <row r="139" spans="2:32" s="4" customFormat="1" ht="25" customHeight="1">
      <c r="B139" s="967"/>
      <c r="C139" s="967"/>
      <c r="D139" s="967"/>
      <c r="E139" s="967"/>
      <c r="F139" s="967"/>
      <c r="G139" s="967"/>
      <c r="H139" s="679"/>
      <c r="J139" s="681"/>
      <c r="K139" s="862"/>
      <c r="M139" s="702"/>
    </row>
    <row r="140" spans="2:32" s="4" customFormat="1" ht="25" customHeight="1">
      <c r="B140" s="983" t="s">
        <v>608</v>
      </c>
      <c r="C140" s="983"/>
      <c r="D140" s="983"/>
      <c r="E140" s="983"/>
      <c r="F140" s="983"/>
      <c r="G140" s="684"/>
      <c r="H140" s="685"/>
      <c r="J140" s="686"/>
      <c r="K140" s="863"/>
      <c r="L140" s="687"/>
      <c r="M140" s="674"/>
      <c r="S140" s="682"/>
      <c r="T140" s="682"/>
      <c r="U140" s="682"/>
      <c r="V140" s="682"/>
      <c r="W140" s="682"/>
      <c r="X140" s="682"/>
      <c r="Y140" s="682"/>
      <c r="Z140" s="682"/>
    </row>
    <row r="141" spans="2:32" s="4" customFormat="1" ht="25" customHeight="1">
      <c r="B141" s="1059"/>
      <c r="C141" s="1059"/>
      <c r="D141" s="1059"/>
      <c r="E141" s="1059"/>
      <c r="F141" s="1059"/>
      <c r="G141" s="684"/>
      <c r="H141" s="685"/>
      <c r="I141" s="684"/>
      <c r="J141" s="686"/>
      <c r="K141" s="863"/>
      <c r="L141" s="684"/>
      <c r="M141" s="702"/>
    </row>
    <row r="142" spans="2:32" s="4" customFormat="1" ht="25" customHeight="1">
      <c r="B142" s="465"/>
      <c r="C142" s="133"/>
      <c r="D142" s="133"/>
      <c r="E142" s="133"/>
      <c r="F142" s="133"/>
      <c r="G142" s="684"/>
      <c r="H142" s="685"/>
      <c r="I142" s="684"/>
      <c r="J142" s="686"/>
      <c r="K142" s="863"/>
      <c r="L142" s="684"/>
      <c r="M142" s="702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4"/>
      <c r="H143" s="684"/>
      <c r="I143" s="684"/>
      <c r="J143" s="686"/>
      <c r="K143" s="863"/>
      <c r="L143" s="684"/>
      <c r="M143" s="702"/>
      <c r="N143" s="682"/>
      <c r="O143" s="682"/>
      <c r="P143" s="682"/>
      <c r="Q143" s="682"/>
      <c r="R143" s="682"/>
      <c r="S143" s="682"/>
    </row>
    <row r="144" spans="2:32" ht="25" customHeight="1">
      <c r="B144" s="630" t="s">
        <v>631</v>
      </c>
      <c r="M144" s="695"/>
    </row>
    <row r="145" spans="2:18" ht="25" customHeight="1">
      <c r="B145" s="470" t="s">
        <v>208</v>
      </c>
      <c r="C145" s="23" t="s">
        <v>632</v>
      </c>
      <c r="D145" s="23"/>
      <c r="E145" s="24" t="s">
        <v>276</v>
      </c>
      <c r="F145" s="24"/>
      <c r="G145" s="24"/>
      <c r="H145" s="24"/>
      <c r="I145" s="24"/>
      <c r="J145" s="23" t="s">
        <v>634</v>
      </c>
      <c r="K145" s="614" t="s">
        <v>269</v>
      </c>
      <c r="L145" s="13"/>
      <c r="M145" s="702"/>
      <c r="N145" s="75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91" t="s">
        <v>107</v>
      </c>
      <c r="K146" s="857">
        <f>NET_publicv4_SEK</f>
        <v>25</v>
      </c>
      <c r="M146" s="702"/>
      <c r="N146" s="75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92"/>
      <c r="G147" s="792"/>
      <c r="H147" s="792"/>
      <c r="I147" s="792"/>
      <c r="J147" s="793" t="s">
        <v>94</v>
      </c>
      <c r="K147" s="556">
        <f>NET_publicv6_SEK</f>
        <v>0</v>
      </c>
      <c r="M147" s="702"/>
      <c r="N147" s="75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91" t="s">
        <v>69</v>
      </c>
      <c r="K148" s="557">
        <f>NET_ingress_SEK</f>
        <v>0</v>
      </c>
      <c r="M148" s="702"/>
      <c r="N148" s="75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92"/>
      <c r="G149" s="792"/>
      <c r="H149" s="792"/>
      <c r="I149" s="792"/>
      <c r="J149" s="794" t="s">
        <v>69</v>
      </c>
      <c r="K149" s="556">
        <f>NET_egress_SEK</f>
        <v>0.25</v>
      </c>
      <c r="M149" s="702"/>
      <c r="N149" s="75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633</v>
      </c>
      <c r="F150" s="37"/>
      <c r="G150" s="37"/>
      <c r="H150" s="37"/>
      <c r="I150" s="37"/>
      <c r="J150" s="791" t="s">
        <v>240</v>
      </c>
      <c r="K150" s="557" t="s">
        <v>635</v>
      </c>
      <c r="M150" s="702"/>
    </row>
    <row r="151" spans="2:18" ht="25" customHeight="1">
      <c r="B151" s="137" t="s">
        <v>505</v>
      </c>
      <c r="C151" s="130" t="s">
        <v>118</v>
      </c>
      <c r="D151" s="130"/>
      <c r="E151" s="41"/>
      <c r="F151" s="792"/>
      <c r="G151" s="792"/>
      <c r="H151" s="792"/>
      <c r="I151" s="792"/>
      <c r="J151" s="793" t="s">
        <v>94</v>
      </c>
      <c r="K151" s="556">
        <f>NET_rdns_SEK</f>
        <v>0</v>
      </c>
      <c r="M151" s="702"/>
      <c r="N151" s="75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96" t="s">
        <v>94</v>
      </c>
      <c r="K152" s="557">
        <v>0</v>
      </c>
      <c r="M152" s="702"/>
      <c r="N152" s="75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85"/>
      <c r="M153" s="702"/>
      <c r="N153" s="758"/>
      <c r="O153" s="8"/>
    </row>
    <row r="154" spans="2:18" ht="25" customHeight="1">
      <c r="C154" s="43"/>
      <c r="J154" s="43"/>
      <c r="M154" s="702"/>
      <c r="N154" s="758"/>
      <c r="O154" s="8"/>
    </row>
    <row r="155" spans="2:18" ht="25" customHeight="1">
      <c r="C155" s="43"/>
      <c r="J155" s="43"/>
      <c r="M155" s="702"/>
      <c r="N155" s="75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97"/>
      <c r="M156" s="702"/>
      <c r="N156" s="758"/>
      <c r="O156" s="8"/>
    </row>
    <row r="157" spans="2:18" ht="25" customHeight="1">
      <c r="B157" s="630" t="s">
        <v>636</v>
      </c>
      <c r="M157" s="695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634</v>
      </c>
      <c r="K158" s="614" t="s">
        <v>269</v>
      </c>
      <c r="M158" s="702"/>
      <c r="N158" s="75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91" t="s">
        <v>10</v>
      </c>
      <c r="K159" s="857">
        <f>SW_win.ser.201X_SEK</f>
        <v>78</v>
      </c>
      <c r="L159" s="756"/>
      <c r="M159" s="702"/>
      <c r="N159" s="758"/>
      <c r="O159" s="8"/>
      <c r="Q159" s="682"/>
      <c r="R159" s="682"/>
    </row>
    <row r="160" spans="2:18" ht="25" customHeight="1">
      <c r="B160" s="137" t="s">
        <v>508</v>
      </c>
      <c r="C160" s="130"/>
      <c r="D160" s="38"/>
      <c r="E160" s="38" t="s">
        <v>125</v>
      </c>
      <c r="F160" s="792"/>
      <c r="G160" s="792"/>
      <c r="H160" s="792"/>
      <c r="I160" s="792"/>
      <c r="J160" s="794" t="s">
        <v>10</v>
      </c>
      <c r="K160" s="858">
        <f>SW_win.ser.201X_SEK</f>
        <v>78</v>
      </c>
      <c r="L160" s="756"/>
      <c r="M160" s="702"/>
      <c r="N160" s="758"/>
      <c r="O160" s="8"/>
      <c r="Q160" s="682"/>
      <c r="R160" s="682"/>
    </row>
    <row r="161" spans="2:18" ht="25" customHeight="1">
      <c r="B161" s="134" t="s">
        <v>665</v>
      </c>
      <c r="C161" s="129"/>
      <c r="D161" s="30"/>
      <c r="E161" s="30" t="s">
        <v>666</v>
      </c>
      <c r="F161" s="30"/>
      <c r="G161" s="30"/>
      <c r="H161" s="30"/>
      <c r="I161" s="30"/>
      <c r="J161" s="791" t="s">
        <v>10</v>
      </c>
      <c r="K161" s="857">
        <f>SW_win.ser.201X_SEK</f>
        <v>78</v>
      </c>
      <c r="L161" s="756"/>
      <c r="M161" s="702"/>
      <c r="N161" s="758"/>
      <c r="O161" s="8"/>
      <c r="Q161" s="682"/>
      <c r="R161" s="682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92"/>
      <c r="G162" s="792"/>
      <c r="H162" s="792"/>
      <c r="I162" s="792"/>
      <c r="J162" s="794" t="s">
        <v>10</v>
      </c>
      <c r="K162" s="858">
        <f>SW_ms.sql.ser_SEK</f>
        <v>1498</v>
      </c>
      <c r="M162" s="702"/>
      <c r="N162" s="75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91" t="s">
        <v>94</v>
      </c>
      <c r="K163" s="857" t="s">
        <v>635</v>
      </c>
      <c r="L163" s="756"/>
      <c r="M163" s="702"/>
      <c r="N163" s="758"/>
      <c r="O163" s="8"/>
      <c r="Q163" s="682"/>
      <c r="R163" s="682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92"/>
      <c r="G164" s="792"/>
      <c r="H164" s="792"/>
      <c r="I164" s="792"/>
      <c r="J164" s="794" t="s">
        <v>94</v>
      </c>
      <c r="K164" s="858" t="s">
        <v>635</v>
      </c>
      <c r="M164" s="702"/>
      <c r="N164" s="75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91" t="s">
        <v>94</v>
      </c>
      <c r="K165" s="857" t="str">
        <f>SW_cluster.control_SEK</f>
        <v>3x instanspris</v>
      </c>
      <c r="M165" s="702"/>
      <c r="N165" s="75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92"/>
      <c r="G166" s="792"/>
      <c r="H166" s="792"/>
      <c r="I166" s="792"/>
      <c r="J166" s="794" t="s">
        <v>138</v>
      </c>
      <c r="K166" s="858">
        <f>SW_backup.ninja_SEK</f>
        <v>400</v>
      </c>
      <c r="M166" s="702"/>
      <c r="N166" s="758"/>
      <c r="O166" s="8"/>
    </row>
    <row r="167" spans="2:18" ht="25" customHeight="1">
      <c r="B167" s="106"/>
      <c r="C167" s="103"/>
      <c r="D167" s="104"/>
      <c r="E167" s="105"/>
      <c r="F167" s="798"/>
      <c r="G167" s="798"/>
      <c r="H167" s="798"/>
      <c r="I167" s="798"/>
      <c r="J167" s="799"/>
      <c r="K167" s="886"/>
      <c r="M167" s="702"/>
      <c r="N167" s="758"/>
      <c r="O167" s="8"/>
    </row>
    <row r="168" spans="2:18" ht="25" customHeight="1">
      <c r="B168" s="137"/>
      <c r="C168" s="130"/>
      <c r="D168" s="41"/>
      <c r="E168" s="31"/>
      <c r="F168" s="792"/>
      <c r="G168" s="792"/>
      <c r="H168" s="792"/>
      <c r="I168" s="792"/>
      <c r="J168" s="800"/>
      <c r="K168" s="556"/>
      <c r="M168" s="702"/>
      <c r="N168" s="758"/>
      <c r="O168" s="8"/>
    </row>
    <row r="169" spans="2:18" ht="25" customHeight="1">
      <c r="M169" s="702"/>
      <c r="N169" s="758"/>
      <c r="O169" s="8"/>
    </row>
    <row r="170" spans="2:18" ht="25" customHeight="1">
      <c r="B170" s="651" t="s">
        <v>637</v>
      </c>
      <c r="C170" s="13"/>
      <c r="D170" s="13"/>
      <c r="F170" s="13"/>
      <c r="G170" s="13"/>
      <c r="H170" s="13"/>
      <c r="I170" s="13"/>
      <c r="J170" s="13"/>
      <c r="M170" s="702"/>
      <c r="N170" s="758"/>
      <c r="O170" s="8"/>
    </row>
    <row r="171" spans="2:18" ht="25" customHeight="1">
      <c r="B171" s="630" t="s">
        <v>638</v>
      </c>
      <c r="M171" s="695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702"/>
      <c r="N172" s="75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98">
        <f>PAAS_man.kubernetes_SEK</f>
        <v>24000</v>
      </c>
      <c r="M173" s="702"/>
      <c r="N173" s="75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92"/>
      <c r="G174" s="792"/>
      <c r="H174" s="792"/>
      <c r="I174" s="792"/>
      <c r="J174" s="800"/>
      <c r="K174" s="858">
        <f>PAAS_man.postgres.sql_SEK</f>
        <v>15000</v>
      </c>
      <c r="M174" s="702"/>
      <c r="N174" s="75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635</v>
      </c>
      <c r="M175" s="702"/>
      <c r="N175" s="75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92"/>
      <c r="G176" s="792"/>
      <c r="H176" s="792"/>
      <c r="I176" s="792"/>
      <c r="J176" s="800"/>
      <c r="K176" s="556">
        <f>PAAS_openshift_SEK</f>
        <v>0</v>
      </c>
      <c r="M176" s="702"/>
      <c r="N176" s="758"/>
      <c r="O176" s="8"/>
    </row>
    <row r="177" spans="2:20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635</v>
      </c>
      <c r="M177" s="702"/>
      <c r="N177" s="758"/>
      <c r="O177" s="8"/>
    </row>
    <row r="178" spans="2:20" ht="25" customHeight="1">
      <c r="B178" s="137" t="s">
        <v>518</v>
      </c>
      <c r="C178" s="130"/>
      <c r="D178" s="38"/>
      <c r="E178" s="38" t="s">
        <v>150</v>
      </c>
      <c r="F178" s="792"/>
      <c r="G178" s="792"/>
      <c r="H178" s="792"/>
      <c r="I178" s="792"/>
      <c r="J178" s="800"/>
      <c r="K178" s="556" t="s">
        <v>635</v>
      </c>
      <c r="M178" s="702"/>
      <c r="N178" s="758"/>
      <c r="O178" s="8"/>
    </row>
    <row r="179" spans="2:20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635</v>
      </c>
      <c r="M179" s="702"/>
      <c r="N179" s="758"/>
      <c r="O179" s="8"/>
    </row>
    <row r="180" spans="2:20" ht="25" customHeight="1">
      <c r="B180" s="106"/>
      <c r="C180" s="103"/>
      <c r="D180" s="397"/>
      <c r="E180" s="105"/>
      <c r="F180" s="798"/>
      <c r="G180" s="798"/>
      <c r="H180" s="798"/>
      <c r="I180" s="798"/>
      <c r="J180" s="799"/>
      <c r="K180" s="886"/>
      <c r="M180" s="702"/>
      <c r="N180" s="758"/>
      <c r="O180" s="8"/>
    </row>
    <row r="181" spans="2:20" ht="25" customHeight="1">
      <c r="B181" s="137"/>
      <c r="C181" s="130"/>
      <c r="D181" s="38"/>
      <c r="E181" s="31"/>
      <c r="F181" s="792"/>
      <c r="G181" s="800"/>
      <c r="H181" s="794"/>
      <c r="I181" s="441"/>
      <c r="M181" s="702"/>
    </row>
    <row r="182" spans="2:20" ht="25" customHeight="1">
      <c r="B182" s="417"/>
      <c r="C182" s="26"/>
      <c r="D182" s="26"/>
      <c r="E182" s="26"/>
      <c r="F182" s="777"/>
      <c r="G182" s="778"/>
      <c r="H182" s="26"/>
      <c r="I182" s="756"/>
      <c r="J182" s="756"/>
      <c r="K182" s="875"/>
      <c r="L182" s="758"/>
      <c r="M182" s="702"/>
      <c r="N182" s="682"/>
      <c r="O182" s="682"/>
    </row>
    <row r="183" spans="2:20" s="4" customFormat="1" ht="25" customHeight="1">
      <c r="B183" s="967" t="s">
        <v>300</v>
      </c>
      <c r="C183" s="967"/>
      <c r="D183" s="967"/>
      <c r="E183" s="967"/>
      <c r="F183" s="967"/>
      <c r="G183" s="967"/>
      <c r="H183" s="801"/>
      <c r="J183" s="681"/>
      <c r="K183" s="862"/>
      <c r="M183" s="702"/>
    </row>
    <row r="184" spans="2:20" s="4" customFormat="1" ht="25" customHeight="1">
      <c r="B184" s="967"/>
      <c r="C184" s="967"/>
      <c r="D184" s="967"/>
      <c r="E184" s="967"/>
      <c r="F184" s="967"/>
      <c r="G184" s="967"/>
      <c r="H184" s="801"/>
      <c r="J184" s="681"/>
      <c r="K184" s="862"/>
      <c r="M184" s="702"/>
    </row>
    <row r="185" spans="2:20" s="4" customFormat="1" ht="25" customHeight="1">
      <c r="B185" s="967"/>
      <c r="C185" s="967"/>
      <c r="D185" s="967"/>
      <c r="E185" s="967"/>
      <c r="F185" s="967"/>
      <c r="G185" s="967"/>
      <c r="H185" s="801"/>
      <c r="J185" s="681"/>
      <c r="K185" s="862"/>
      <c r="M185" s="702"/>
    </row>
    <row r="186" spans="2:20" s="4" customFormat="1" ht="25" customHeight="1">
      <c r="B186" s="988" t="s">
        <v>639</v>
      </c>
      <c r="C186" s="988"/>
      <c r="D186" s="988"/>
      <c r="E186" s="988"/>
      <c r="F186" s="988"/>
      <c r="H186" s="801"/>
      <c r="J186" s="681"/>
      <c r="K186" s="862"/>
      <c r="M186" s="702"/>
    </row>
    <row r="187" spans="2:20" s="4" customFormat="1" ht="25" customHeight="1">
      <c r="B187" s="983" t="s">
        <v>420</v>
      </c>
      <c r="C187" s="983"/>
      <c r="D187" s="983"/>
      <c r="E187" s="983"/>
      <c r="F187" s="983"/>
      <c r="G187" s="684"/>
      <c r="H187" s="685"/>
      <c r="I187" s="684"/>
      <c r="J187" s="686"/>
      <c r="K187" s="863"/>
      <c r="L187" s="684"/>
      <c r="M187" s="702"/>
    </row>
    <row r="188" spans="2:20" s="4" customFormat="1" ht="25" customHeight="1">
      <c r="B188" s="465"/>
      <c r="C188" s="133"/>
      <c r="D188" s="133"/>
      <c r="E188" s="133"/>
      <c r="F188" s="133"/>
      <c r="G188" s="684"/>
      <c r="H188" s="685"/>
      <c r="I188" s="684"/>
      <c r="J188" s="686"/>
      <c r="K188" s="863"/>
      <c r="L188" s="684"/>
      <c r="M188" s="702"/>
    </row>
    <row r="189" spans="2:20" ht="25" customHeight="1">
      <c r="B189" s="651" t="s">
        <v>152</v>
      </c>
      <c r="C189" s="13"/>
      <c r="D189" s="13"/>
      <c r="F189" s="13"/>
      <c r="G189" s="13"/>
      <c r="H189" s="13"/>
      <c r="I189" s="13"/>
      <c r="J189" s="13"/>
      <c r="K189" s="887"/>
      <c r="L189" s="13"/>
      <c r="M189" s="702"/>
      <c r="O189" s="758"/>
      <c r="P189" s="758"/>
      <c r="Q189" s="8"/>
      <c r="S189" s="682"/>
      <c r="T189" s="682"/>
    </row>
    <row r="190" spans="2:20" ht="25" customHeight="1">
      <c r="B190" s="630" t="s">
        <v>640</v>
      </c>
      <c r="M190" s="695"/>
    </row>
    <row r="191" spans="2:20" ht="25" customHeight="1">
      <c r="B191" s="470" t="s">
        <v>208</v>
      </c>
      <c r="C191" s="23"/>
      <c r="D191" s="24" t="s">
        <v>276</v>
      </c>
      <c r="E191" s="132"/>
      <c r="F191" s="24"/>
      <c r="G191" s="131"/>
      <c r="H191" s="131"/>
      <c r="I191" s="23" t="s">
        <v>634</v>
      </c>
      <c r="J191" s="23"/>
      <c r="K191" s="614" t="s">
        <v>92</v>
      </c>
      <c r="L191" s="756"/>
      <c r="M191" s="702"/>
      <c r="N191" s="758"/>
      <c r="O191" s="8"/>
      <c r="Q191" s="682"/>
      <c r="R191" s="682"/>
    </row>
    <row r="192" spans="2:20" ht="25" customHeight="1">
      <c r="B192" s="134" t="s">
        <v>519</v>
      </c>
      <c r="C192" s="129"/>
      <c r="D192" s="30" t="s">
        <v>421</v>
      </c>
      <c r="E192" s="40"/>
      <c r="F192" s="30"/>
      <c r="G192" s="40"/>
      <c r="H192" s="40"/>
      <c r="I192" s="796" t="s">
        <v>94</v>
      </c>
      <c r="J192" s="796"/>
      <c r="K192" s="557">
        <v>0</v>
      </c>
      <c r="L192" s="756"/>
      <c r="M192" s="702"/>
      <c r="N192" s="758"/>
      <c r="O192" s="8"/>
      <c r="Q192" s="682"/>
      <c r="R192" s="682"/>
    </row>
    <row r="193" spans="2:18" ht="25" customHeight="1">
      <c r="B193" s="137" t="s">
        <v>520</v>
      </c>
      <c r="C193" s="130"/>
      <c r="D193" s="38" t="s">
        <v>156</v>
      </c>
      <c r="E193" s="31"/>
      <c r="F193" s="792"/>
      <c r="G193" s="800"/>
      <c r="H193" s="800"/>
      <c r="I193" s="794" t="s">
        <v>245</v>
      </c>
      <c r="J193" s="794"/>
      <c r="K193" s="556" t="s">
        <v>641</v>
      </c>
      <c r="L193" s="756"/>
      <c r="M193" s="896" t="s">
        <v>591</v>
      </c>
      <c r="N193" s="758"/>
      <c r="O193" s="8"/>
      <c r="Q193" s="682"/>
      <c r="R193" s="682"/>
    </row>
    <row r="194" spans="2:18" ht="25" customHeight="1">
      <c r="B194" s="134" t="s">
        <v>521</v>
      </c>
      <c r="C194" s="129"/>
      <c r="D194" s="30" t="s">
        <v>160</v>
      </c>
      <c r="E194" s="129"/>
      <c r="F194" s="129"/>
      <c r="G194" s="129"/>
      <c r="H194" s="40"/>
      <c r="I194" s="791" t="s">
        <v>247</v>
      </c>
      <c r="J194" s="791"/>
      <c r="K194" s="557" t="s">
        <v>635</v>
      </c>
      <c r="L194" s="756"/>
      <c r="M194" s="702"/>
      <c r="N194" s="758"/>
      <c r="O194" s="8"/>
      <c r="Q194" s="682"/>
      <c r="R194" s="682"/>
    </row>
    <row r="195" spans="2:18" ht="25" customHeight="1">
      <c r="B195" s="106"/>
      <c r="C195" s="103"/>
      <c r="D195" s="103"/>
      <c r="E195" s="105"/>
      <c r="F195" s="798"/>
      <c r="G195" s="799"/>
      <c r="H195" s="799"/>
      <c r="I195" s="802"/>
      <c r="J195" s="802"/>
      <c r="K195" s="886"/>
      <c r="L195" s="756"/>
      <c r="M195" s="702"/>
      <c r="N195" s="758"/>
      <c r="O195" s="8"/>
      <c r="Q195" s="682"/>
      <c r="R195" s="682"/>
    </row>
    <row r="196" spans="2:18" ht="25" customHeight="1">
      <c r="B196" s="137"/>
      <c r="C196" s="130"/>
      <c r="D196" s="38"/>
      <c r="E196" s="31"/>
      <c r="F196" s="792"/>
      <c r="G196" s="800"/>
      <c r="H196" s="800"/>
      <c r="I196" s="794"/>
      <c r="J196" s="794"/>
      <c r="K196" s="556"/>
      <c r="L196" s="756"/>
      <c r="M196" s="702"/>
      <c r="N196" s="758"/>
      <c r="O196" s="8"/>
      <c r="Q196" s="682"/>
      <c r="R196" s="682"/>
    </row>
    <row r="197" spans="2:18" s="653" customFormat="1" ht="25" customHeight="1">
      <c r="B197" s="651" t="s">
        <v>642</v>
      </c>
      <c r="C197" s="909"/>
      <c r="D197" s="909"/>
      <c r="F197" s="909"/>
      <c r="G197" s="909"/>
      <c r="H197" s="909"/>
      <c r="I197" s="910"/>
      <c r="J197" s="910"/>
      <c r="K197" s="715"/>
      <c r="L197" s="911"/>
      <c r="M197" s="912"/>
      <c r="N197" s="913"/>
      <c r="O197" s="914"/>
      <c r="Q197" s="914"/>
      <c r="R197" s="914"/>
    </row>
    <row r="198" spans="2:18" ht="25" customHeight="1">
      <c r="B198" s="630" t="s">
        <v>643</v>
      </c>
      <c r="M198" s="695"/>
    </row>
    <row r="199" spans="2:18" ht="25" customHeight="1">
      <c r="B199" s="470" t="s">
        <v>208</v>
      </c>
      <c r="C199" s="23"/>
      <c r="D199" s="24" t="s">
        <v>276</v>
      </c>
      <c r="E199" s="132"/>
      <c r="F199" s="24"/>
      <c r="G199" s="131"/>
      <c r="H199" s="131"/>
      <c r="I199" s="23" t="s">
        <v>634</v>
      </c>
      <c r="J199" s="23"/>
      <c r="K199" s="614" t="s">
        <v>92</v>
      </c>
      <c r="L199" s="756"/>
      <c r="M199" s="702"/>
      <c r="N199" s="758"/>
      <c r="O199" s="8"/>
      <c r="Q199" s="682"/>
      <c r="R199" s="682"/>
    </row>
    <row r="200" spans="2:18" ht="25" customHeight="1">
      <c r="B200" s="134" t="s">
        <v>522</v>
      </c>
      <c r="C200" s="129"/>
      <c r="D200" s="30" t="s">
        <v>166</v>
      </c>
      <c r="E200" s="40"/>
      <c r="F200" s="30"/>
      <c r="G200" s="40"/>
      <c r="H200" s="40"/>
      <c r="I200" s="791" t="s">
        <v>247</v>
      </c>
      <c r="J200" s="791"/>
      <c r="K200" s="631">
        <f>PS_consult.jun_SEK</f>
        <v>1127</v>
      </c>
      <c r="L200" s="756"/>
      <c r="M200" s="702"/>
      <c r="N200" s="758"/>
      <c r="O200" s="8"/>
      <c r="Q200" s="682"/>
      <c r="R200" s="682"/>
    </row>
    <row r="201" spans="2:18" ht="25" customHeight="1">
      <c r="B201" s="137" t="s">
        <v>523</v>
      </c>
      <c r="C201" s="130"/>
      <c r="D201" s="38" t="s">
        <v>168</v>
      </c>
      <c r="E201" s="31"/>
      <c r="F201" s="792"/>
      <c r="G201" s="800"/>
      <c r="H201" s="800"/>
      <c r="I201" s="794" t="s">
        <v>247</v>
      </c>
      <c r="J201" s="794"/>
      <c r="K201" s="897">
        <f>PS_consult.sen_SEK</f>
        <v>1374</v>
      </c>
      <c r="L201" s="756"/>
      <c r="M201" s="702"/>
      <c r="N201" s="758"/>
      <c r="O201" s="8"/>
      <c r="Q201" s="682"/>
      <c r="R201" s="682"/>
    </row>
    <row r="202" spans="2:18" ht="25" customHeight="1">
      <c r="B202" s="134" t="s">
        <v>524</v>
      </c>
      <c r="C202" s="129"/>
      <c r="D202" s="30" t="s">
        <v>170</v>
      </c>
      <c r="E202" s="40"/>
      <c r="F202" s="30"/>
      <c r="G202" s="40"/>
      <c r="H202" s="40"/>
      <c r="I202" s="791" t="s">
        <v>247</v>
      </c>
      <c r="J202" s="791"/>
      <c r="K202" s="631">
        <f>PS_cloudarch.jun_SEK</f>
        <v>1277</v>
      </c>
      <c r="L202" s="756"/>
      <c r="M202" s="702"/>
      <c r="N202" s="758"/>
      <c r="O202" s="8"/>
      <c r="Q202" s="682"/>
      <c r="R202" s="682"/>
    </row>
    <row r="203" spans="2:18" ht="25" customHeight="1">
      <c r="B203" s="137" t="s">
        <v>525</v>
      </c>
      <c r="C203" s="130"/>
      <c r="D203" s="38" t="s">
        <v>172</v>
      </c>
      <c r="E203" s="38"/>
      <c r="F203" s="38"/>
      <c r="G203" s="800"/>
      <c r="H203" s="800"/>
      <c r="I203" s="794" t="s">
        <v>247</v>
      </c>
      <c r="J203" s="794"/>
      <c r="K203" s="897">
        <f>PS_cloudarch.sen_SEK</f>
        <v>1374</v>
      </c>
      <c r="L203" s="756"/>
      <c r="M203" s="702"/>
      <c r="N203" s="758"/>
      <c r="O203" s="8"/>
      <c r="Q203" s="682"/>
      <c r="R203" s="682"/>
    </row>
    <row r="204" spans="2:18" ht="25" customHeight="1">
      <c r="B204" s="134" t="s">
        <v>526</v>
      </c>
      <c r="C204" s="129"/>
      <c r="D204" s="30" t="s">
        <v>174</v>
      </c>
      <c r="E204" s="40"/>
      <c r="F204" s="30"/>
      <c r="G204" s="40"/>
      <c r="H204" s="40"/>
      <c r="I204" s="791" t="s">
        <v>247</v>
      </c>
      <c r="J204" s="791"/>
      <c r="K204" s="631">
        <f>PS_pm.jun_SEK</f>
        <v>1139</v>
      </c>
      <c r="L204" s="756"/>
      <c r="M204" s="702"/>
      <c r="N204" s="758"/>
      <c r="O204" s="8"/>
      <c r="Q204" s="682"/>
      <c r="R204" s="682"/>
    </row>
    <row r="205" spans="2:18" ht="25" customHeight="1">
      <c r="B205" s="137" t="s">
        <v>527</v>
      </c>
      <c r="C205" s="130"/>
      <c r="D205" s="38" t="s">
        <v>176</v>
      </c>
      <c r="E205" s="31"/>
      <c r="F205" s="792"/>
      <c r="G205" s="800"/>
      <c r="H205" s="800"/>
      <c r="I205" s="794" t="s">
        <v>247</v>
      </c>
      <c r="J205" s="794"/>
      <c r="K205" s="897">
        <f>PS_pm.sen_SEK</f>
        <v>1374</v>
      </c>
      <c r="L205" s="756"/>
      <c r="M205" s="702"/>
      <c r="N205" s="758"/>
      <c r="O205" s="8"/>
      <c r="Q205" s="682"/>
      <c r="R205" s="682"/>
    </row>
    <row r="206" spans="2:18" ht="25" customHeight="1">
      <c r="B206" s="106"/>
      <c r="C206" s="103"/>
      <c r="D206" s="397"/>
      <c r="E206" s="105"/>
      <c r="F206" s="798"/>
      <c r="G206" s="799"/>
      <c r="H206" s="799"/>
      <c r="I206" s="802"/>
      <c r="J206" s="802"/>
      <c r="K206" s="886"/>
      <c r="L206" s="756"/>
      <c r="M206" s="702"/>
      <c r="N206" s="758"/>
      <c r="O206" s="8"/>
      <c r="Q206" s="682"/>
      <c r="R206" s="682"/>
    </row>
    <row r="207" spans="2:18" ht="25" customHeight="1">
      <c r="B207" s="137"/>
      <c r="C207" s="130"/>
      <c r="D207" s="38"/>
      <c r="E207" s="31"/>
      <c r="F207" s="792"/>
      <c r="G207" s="800"/>
      <c r="H207" s="800"/>
      <c r="I207" s="794"/>
      <c r="J207" s="794"/>
      <c r="K207" s="556"/>
      <c r="M207" s="702"/>
      <c r="N207" s="758"/>
      <c r="O207" s="8"/>
    </row>
    <row r="208" spans="2:18" ht="25" customHeight="1">
      <c r="B208" s="651" t="s">
        <v>251</v>
      </c>
      <c r="C208" s="13"/>
      <c r="D208" s="13"/>
      <c r="F208" s="13"/>
      <c r="G208" s="13"/>
      <c r="H208" s="13"/>
      <c r="I208" s="797"/>
      <c r="J208" s="797"/>
      <c r="L208" s="756"/>
      <c r="M208" s="702"/>
      <c r="N208" s="758"/>
      <c r="O208" s="8"/>
      <c r="Q208" s="682"/>
      <c r="R208" s="682"/>
    </row>
    <row r="209" spans="1:18" ht="25" customHeight="1">
      <c r="B209" s="630" t="s">
        <v>644</v>
      </c>
      <c r="M209" s="695"/>
    </row>
    <row r="210" spans="1:18" ht="25" customHeight="1">
      <c r="B210" s="470" t="s">
        <v>208</v>
      </c>
      <c r="C210" s="23"/>
      <c r="D210" s="24" t="s">
        <v>276</v>
      </c>
      <c r="E210" s="132"/>
      <c r="F210" s="24"/>
      <c r="G210" s="23" t="s">
        <v>252</v>
      </c>
      <c r="H210" s="23"/>
      <c r="I210" s="23" t="s">
        <v>634</v>
      </c>
      <c r="J210" s="23"/>
      <c r="K210" s="614" t="s">
        <v>92</v>
      </c>
      <c r="L210" s="756"/>
      <c r="M210" s="702"/>
      <c r="N210" s="758"/>
      <c r="O210" s="8"/>
      <c r="Q210" s="682"/>
      <c r="R210" s="682"/>
    </row>
    <row r="211" spans="1:18" ht="25" customHeight="1">
      <c r="B211" s="134" t="s">
        <v>528</v>
      </c>
      <c r="C211" s="129"/>
      <c r="D211" s="30" t="s">
        <v>253</v>
      </c>
      <c r="E211" s="40"/>
      <c r="F211" s="30"/>
      <c r="G211" s="791" t="s">
        <v>254</v>
      </c>
      <c r="H211" s="791"/>
      <c r="I211" s="791" t="s">
        <v>308</v>
      </c>
      <c r="J211" s="791"/>
      <c r="K211" s="557" t="s">
        <v>635</v>
      </c>
      <c r="L211" s="756"/>
      <c r="M211" s="702"/>
      <c r="N211" s="758"/>
      <c r="O211" s="8"/>
      <c r="Q211" s="682"/>
      <c r="R211" s="682"/>
    </row>
    <row r="212" spans="1:18" ht="25" customHeight="1">
      <c r="B212" s="137" t="s">
        <v>529</v>
      </c>
      <c r="C212" s="130"/>
      <c r="D212" s="38" t="s">
        <v>256</v>
      </c>
      <c r="E212" s="31"/>
      <c r="F212" s="792"/>
      <c r="G212" s="794" t="s">
        <v>254</v>
      </c>
      <c r="H212" s="794"/>
      <c r="I212" s="794" t="s">
        <v>308</v>
      </c>
      <c r="J212" s="794"/>
      <c r="K212" s="556" t="s">
        <v>635</v>
      </c>
      <c r="L212" s="756"/>
      <c r="M212" s="702"/>
      <c r="N212" s="758"/>
      <c r="O212" s="8"/>
      <c r="Q212" s="682"/>
      <c r="R212" s="682"/>
    </row>
    <row r="213" spans="1:18" ht="25" customHeight="1">
      <c r="B213" s="134" t="s">
        <v>530</v>
      </c>
      <c r="C213" s="129"/>
      <c r="D213" s="30" t="s">
        <v>257</v>
      </c>
      <c r="E213" s="40"/>
      <c r="F213" s="30"/>
      <c r="G213" s="791" t="s">
        <v>645</v>
      </c>
      <c r="H213" s="791"/>
      <c r="I213" s="791" t="s">
        <v>308</v>
      </c>
      <c r="J213" s="791"/>
      <c r="K213" s="557" t="s">
        <v>635</v>
      </c>
      <c r="L213" s="756"/>
      <c r="M213" s="702"/>
      <c r="N213" s="758"/>
      <c r="O213" s="8"/>
      <c r="Q213" s="682"/>
      <c r="R213" s="682"/>
    </row>
    <row r="214" spans="1:18" ht="25" customHeight="1">
      <c r="B214" s="137" t="s">
        <v>531</v>
      </c>
      <c r="C214" s="130"/>
      <c r="D214" s="38" t="s">
        <v>259</v>
      </c>
      <c r="E214" s="31"/>
      <c r="F214" s="792"/>
      <c r="G214" s="794" t="s">
        <v>645</v>
      </c>
      <c r="H214" s="794"/>
      <c r="I214" s="794" t="s">
        <v>308</v>
      </c>
      <c r="J214" s="794"/>
      <c r="K214" s="556" t="s">
        <v>635</v>
      </c>
      <c r="L214" s="756"/>
      <c r="M214" s="702"/>
      <c r="N214" s="758"/>
      <c r="O214" s="8"/>
      <c r="Q214" s="682"/>
      <c r="R214" s="682"/>
    </row>
    <row r="215" spans="1:18" ht="25" customHeight="1">
      <c r="B215" s="106"/>
      <c r="C215" s="103"/>
      <c r="D215" s="397"/>
      <c r="E215" s="105"/>
      <c r="F215" s="798"/>
      <c r="G215" s="799"/>
      <c r="H215" s="799"/>
      <c r="I215" s="799"/>
      <c r="J215" s="799"/>
      <c r="K215" s="886"/>
      <c r="L215" s="756"/>
      <c r="M215" s="702"/>
      <c r="N215" s="758"/>
      <c r="O215" s="8"/>
      <c r="Q215" s="682"/>
      <c r="R215" s="682"/>
    </row>
    <row r="216" spans="1:18" ht="25" customHeight="1">
      <c r="B216" s="417"/>
      <c r="C216" s="26"/>
      <c r="D216" s="26"/>
      <c r="E216" s="26"/>
      <c r="F216" s="777"/>
      <c r="G216" s="778"/>
      <c r="H216" s="756"/>
      <c r="I216" s="756"/>
      <c r="J216" s="756"/>
      <c r="K216" s="876"/>
      <c r="L216" s="758"/>
      <c r="M216" s="702"/>
      <c r="N216" s="682"/>
      <c r="O216" s="682"/>
    </row>
    <row r="217" spans="1:18" ht="25" customHeight="1">
      <c r="A217" s="788"/>
      <c r="B217" s="642"/>
      <c r="C217" s="60"/>
      <c r="D217" s="60"/>
      <c r="E217" s="60"/>
      <c r="F217" s="803"/>
      <c r="G217" s="804"/>
      <c r="H217" s="805"/>
      <c r="I217" s="806"/>
      <c r="J217" s="807"/>
      <c r="K217" s="888"/>
      <c r="L217" s="808"/>
      <c r="M217" s="702"/>
      <c r="N217" s="682"/>
      <c r="O217" s="682"/>
    </row>
    <row r="218" spans="1:18" s="4" customFormat="1" ht="25" customHeight="1">
      <c r="A218" s="3"/>
      <c r="B218" s="643"/>
      <c r="C218" s="54"/>
      <c r="D218" s="54"/>
      <c r="E218" s="54"/>
      <c r="F218" s="809"/>
      <c r="G218" s="810"/>
      <c r="H218" s="811"/>
      <c r="I218" s="812"/>
      <c r="J218" s="813"/>
      <c r="K218" s="889"/>
      <c r="L218" s="3"/>
      <c r="M218" s="674"/>
    </row>
    <row r="219" spans="1:18" s="4" customFormat="1" ht="25" customHeight="1">
      <c r="A219" s="3"/>
      <c r="B219" s="643"/>
      <c r="C219" s="54"/>
      <c r="D219" s="54"/>
      <c r="E219" s="54"/>
      <c r="F219" s="809"/>
      <c r="G219" s="810"/>
      <c r="H219" s="811"/>
      <c r="I219" s="812"/>
      <c r="J219" s="813"/>
      <c r="K219" s="889"/>
      <c r="L219" s="3"/>
      <c r="M219" s="674"/>
    </row>
    <row r="220" spans="1:18" s="4" customFormat="1" ht="25" customHeight="1">
      <c r="A220" s="3"/>
      <c r="B220" s="643"/>
      <c r="C220" s="54"/>
      <c r="D220" s="54"/>
      <c r="E220" s="54"/>
      <c r="F220" s="809"/>
      <c r="G220" s="810"/>
      <c r="H220" s="811"/>
      <c r="I220" s="812"/>
      <c r="J220" s="813"/>
      <c r="K220" s="889"/>
      <c r="L220" s="3"/>
      <c r="M220" s="674"/>
    </row>
    <row r="221" spans="1:18" s="4" customFormat="1" ht="25" customHeight="1">
      <c r="A221" s="3"/>
      <c r="B221" s="986" t="s">
        <v>313</v>
      </c>
      <c r="C221" s="986"/>
      <c r="D221" s="986"/>
      <c r="E221" s="986"/>
      <c r="F221" s="986"/>
      <c r="G221" s="986"/>
      <c r="H221" s="672"/>
      <c r="I221" s="814"/>
      <c r="J221" s="3"/>
      <c r="K221" s="860"/>
      <c r="L221" s="3"/>
      <c r="M221" s="674"/>
    </row>
    <row r="222" spans="1:18" s="4" customFormat="1" ht="25" customHeight="1">
      <c r="A222" s="3"/>
      <c r="B222" s="986"/>
      <c r="C222" s="986"/>
      <c r="D222" s="986"/>
      <c r="E222" s="986"/>
      <c r="F222" s="986"/>
      <c r="G222" s="986"/>
      <c r="H222" s="672"/>
      <c r="I222" s="814"/>
      <c r="J222" s="3"/>
      <c r="K222" s="860"/>
      <c r="L222" s="3"/>
      <c r="M222" s="674"/>
    </row>
    <row r="223" spans="1:18" s="4" customFormat="1" ht="25" customHeight="1">
      <c r="A223" s="3"/>
      <c r="B223" s="986"/>
      <c r="C223" s="986"/>
      <c r="D223" s="986"/>
      <c r="E223" s="986"/>
      <c r="F223" s="986"/>
      <c r="G223" s="986"/>
      <c r="H223" s="672"/>
      <c r="I223" s="814"/>
      <c r="J223" s="3"/>
      <c r="K223" s="860"/>
      <c r="L223" s="3"/>
      <c r="M223" s="674"/>
    </row>
    <row r="224" spans="1:18" s="4" customFormat="1" ht="25" customHeight="1">
      <c r="A224" s="3"/>
      <c r="B224" s="987" t="s">
        <v>608</v>
      </c>
      <c r="C224" s="987"/>
      <c r="D224" s="987"/>
      <c r="E224" s="987"/>
      <c r="F224" s="987"/>
      <c r="G224" s="3"/>
      <c r="H224" s="672"/>
      <c r="I224" s="814"/>
      <c r="J224" s="3"/>
      <c r="K224" s="860"/>
      <c r="L224" s="815"/>
      <c r="M224" s="688"/>
    </row>
    <row r="225" spans="1:20" s="4" customFormat="1" ht="25" customHeight="1">
      <c r="A225" s="3"/>
      <c r="B225" s="636"/>
      <c r="C225" s="62"/>
      <c r="D225" s="62"/>
      <c r="E225" s="62"/>
      <c r="F225" s="62"/>
      <c r="G225" s="3"/>
      <c r="H225" s="672"/>
      <c r="I225" s="814"/>
      <c r="J225" s="3"/>
      <c r="K225" s="860"/>
      <c r="L225" s="815"/>
      <c r="M225" s="688"/>
    </row>
    <row r="226" spans="1:20" s="4" customFormat="1" ht="25" customHeight="1">
      <c r="A226" s="3"/>
      <c r="B226" s="422" t="s">
        <v>646</v>
      </c>
      <c r="C226" s="62"/>
      <c r="D226" s="62"/>
      <c r="E226" s="62"/>
      <c r="F226" s="62"/>
      <c r="G226" s="3"/>
      <c r="H226" s="672"/>
      <c r="I226" s="814"/>
      <c r="J226" s="3"/>
      <c r="K226" s="860"/>
      <c r="L226" s="815"/>
      <c r="M226" s="688"/>
    </row>
    <row r="227" spans="1:20" s="4" customFormat="1" ht="25" customHeight="1">
      <c r="A227" s="3"/>
      <c r="B227" s="418" t="s">
        <v>441</v>
      </c>
      <c r="C227" s="62"/>
      <c r="D227" s="62"/>
      <c r="E227" s="62"/>
      <c r="F227" s="62"/>
      <c r="G227" s="3"/>
      <c r="H227" s="672"/>
      <c r="I227" s="3"/>
      <c r="J227" s="673"/>
      <c r="K227" s="860"/>
      <c r="L227" s="815"/>
      <c r="M227" s="688"/>
    </row>
    <row r="228" spans="1:20" s="4" customFormat="1" ht="25" customHeight="1">
      <c r="A228" s="3"/>
      <c r="B228" s="964" t="s">
        <v>3</v>
      </c>
      <c r="C228" s="67"/>
      <c r="D228" s="67"/>
      <c r="E228" s="67"/>
      <c r="F228" s="67"/>
      <c r="G228" s="815"/>
      <c r="H228" s="816"/>
      <c r="I228" s="815"/>
      <c r="J228" s="817"/>
      <c r="K228" s="890"/>
      <c r="L228" s="815"/>
      <c r="M228" s="688"/>
    </row>
    <row r="229" spans="1:20" s="728" customFormat="1" ht="25" customHeight="1">
      <c r="A229" s="818"/>
      <c r="B229" s="915"/>
      <c r="C229" s="135"/>
      <c r="D229" s="135"/>
      <c r="E229" s="135"/>
      <c r="F229" s="135"/>
      <c r="G229" s="815"/>
      <c r="H229" s="816"/>
      <c r="I229" s="815"/>
      <c r="J229" s="817"/>
      <c r="K229" s="890"/>
      <c r="L229" s="818"/>
      <c r="M229" s="780"/>
      <c r="N229" s="819"/>
      <c r="O229" s="745"/>
      <c r="P229" s="745"/>
      <c r="Q229" s="745"/>
      <c r="R229" s="745"/>
      <c r="S229" s="745"/>
      <c r="T229" s="745"/>
    </row>
    <row r="230" spans="1:20" ht="25" customHeight="1">
      <c r="A230" s="2"/>
      <c r="B230" s="644" t="s">
        <v>533</v>
      </c>
      <c r="C230" s="56"/>
      <c r="D230" s="57"/>
      <c r="E230" s="56"/>
      <c r="F230" s="665"/>
      <c r="G230" s="665"/>
      <c r="H230" s="665"/>
      <c r="I230" s="56"/>
      <c r="J230" s="665" t="s">
        <v>313</v>
      </c>
      <c r="K230" s="891"/>
      <c r="L230" s="820"/>
      <c r="M230" s="670"/>
      <c r="N230" s="28"/>
    </row>
    <row r="231" spans="1:20" ht="25" customHeight="1">
      <c r="A231" s="2"/>
      <c r="B231" s="854" t="s">
        <v>4</v>
      </c>
      <c r="C231" s="661" t="str" cm="1">
        <f t="array" ref="C231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1" s="71"/>
      <c r="E231" s="661"/>
      <c r="F231" s="661"/>
      <c r="G231" s="662"/>
      <c r="H231" s="821"/>
      <c r="I231" s="822"/>
      <c r="J231" s="666">
        <f>K64+K73+K55+K38+K82</f>
        <v>0</v>
      </c>
      <c r="K231" s="857"/>
      <c r="L231" s="2"/>
      <c r="M231" s="670"/>
      <c r="N231" s="28"/>
    </row>
    <row r="232" spans="1:20" ht="25" customHeight="1">
      <c r="A232" s="2"/>
      <c r="B232" s="493" t="s">
        <v>72</v>
      </c>
      <c r="C232" s="612" t="str">
        <f>K94&amp;" TB - S3"&amp;"     /     "&amp;K93&amp;" TB - Archive"</f>
        <v>0 TB - S3     /     0 TB - Archive</v>
      </c>
      <c r="D232" s="663"/>
      <c r="E232" s="663"/>
      <c r="F232" s="823"/>
      <c r="G232" s="824"/>
      <c r="H232" s="824"/>
      <c r="I232" s="825"/>
      <c r="J232" s="667">
        <f>K95</f>
        <v>0</v>
      </c>
      <c r="K232" s="857"/>
      <c r="L232" s="2"/>
      <c r="M232" s="670"/>
      <c r="N232" s="28"/>
    </row>
    <row r="233" spans="1:20" ht="25" customHeight="1">
      <c r="A233" s="2"/>
      <c r="B233" s="493" t="s">
        <v>86</v>
      </c>
      <c r="C233" s="136"/>
      <c r="D233" s="72"/>
      <c r="E233" s="73"/>
      <c r="F233" s="823"/>
      <c r="G233" s="824"/>
      <c r="H233" s="824"/>
      <c r="I233" s="825"/>
      <c r="J233" s="667">
        <f>K119</f>
        <v>0</v>
      </c>
      <c r="K233" s="857"/>
      <c r="L233" s="2"/>
      <c r="M233" s="670"/>
      <c r="N233" s="28"/>
    </row>
    <row r="234" spans="1:20" s="829" customFormat="1" ht="25" customHeight="1">
      <c r="A234" s="826"/>
      <c r="B234" s="466" t="s">
        <v>442</v>
      </c>
      <c r="C234" s="656" t="str">
        <f>IF(J131=1,"Fullt administrert tjeneste - support hverdager 08:00-17:00",IF(J131=3,"Fullt administrert tjeneste - support døgnet rundt, hver dag",""))</f>
        <v/>
      </c>
      <c r="D234" s="33"/>
      <c r="E234" s="34"/>
      <c r="F234" s="35"/>
      <c r="G234" s="827"/>
      <c r="H234" s="827"/>
      <c r="I234" s="774"/>
      <c r="J234" s="437">
        <f>K133</f>
        <v>0</v>
      </c>
      <c r="K234" s="857"/>
      <c r="L234" s="826"/>
      <c r="M234" s="828"/>
    </row>
    <row r="235" spans="1:20" s="835" customFormat="1" ht="25" customHeight="1">
      <c r="A235" s="830"/>
      <c r="B235" s="664" t="s">
        <v>222</v>
      </c>
      <c r="C235" s="659"/>
      <c r="D235" s="660"/>
      <c r="E235" s="660"/>
      <c r="F235" s="831"/>
      <c r="G235" s="832"/>
      <c r="H235" s="832"/>
      <c r="I235" s="833"/>
      <c r="J235" s="668">
        <f>SUM(J231:J234)</f>
        <v>0</v>
      </c>
      <c r="K235" s="892"/>
      <c r="L235" s="830"/>
      <c r="M235" s="834"/>
    </row>
    <row r="236" spans="1:20" ht="25" customHeight="1">
      <c r="A236" s="2"/>
      <c r="B236" s="421"/>
      <c r="C236" s="59"/>
      <c r="D236" s="59"/>
      <c r="E236" s="59"/>
      <c r="F236" s="836"/>
      <c r="G236" s="837"/>
      <c r="H236" s="837"/>
      <c r="I236" s="838"/>
      <c r="J236" s="838"/>
      <c r="K236" s="893"/>
      <c r="L236" s="2"/>
      <c r="M236" s="670"/>
    </row>
    <row r="237" spans="1:20" ht="25" customHeight="1">
      <c r="A237" s="2"/>
      <c r="B237" s="645"/>
      <c r="C237" s="30"/>
      <c r="D237" s="36"/>
      <c r="E237" s="37"/>
      <c r="F237" s="40"/>
      <c r="G237" s="442"/>
      <c r="H237" s="30"/>
      <c r="I237" s="795"/>
      <c r="J237" s="750"/>
      <c r="K237" s="857"/>
      <c r="L237" s="2"/>
      <c r="M237" s="670"/>
    </row>
    <row r="238" spans="1:20" ht="25" customHeight="1">
      <c r="A238" s="839"/>
      <c r="B238" s="646"/>
      <c r="C238" s="42"/>
      <c r="D238" s="33"/>
      <c r="E238" s="34"/>
      <c r="F238" s="840"/>
      <c r="G238" s="827"/>
      <c r="H238" s="42"/>
      <c r="I238" s="841"/>
      <c r="J238" s="437"/>
      <c r="K238" s="596"/>
      <c r="L238" s="842"/>
      <c r="M238" s="670"/>
    </row>
    <row r="239" spans="1:20" s="112" customFormat="1" ht="25" customHeight="1">
      <c r="B239" s="647"/>
      <c r="C239" s="108"/>
      <c r="D239" s="109"/>
      <c r="E239" s="110"/>
      <c r="F239" s="843"/>
      <c r="G239" s="844"/>
      <c r="H239" s="108"/>
      <c r="I239" s="845"/>
      <c r="J239" s="846"/>
      <c r="K239" s="894"/>
    </row>
    <row r="240" spans="1:20" s="112" customFormat="1" ht="25" customHeight="1">
      <c r="B240" s="647"/>
      <c r="C240" s="108"/>
      <c r="D240" s="108"/>
      <c r="E240" s="108"/>
      <c r="F240" s="847"/>
      <c r="G240" s="848"/>
      <c r="H240" s="849"/>
      <c r="I240" s="849"/>
      <c r="J240" s="849"/>
      <c r="K240" s="895"/>
      <c r="L240" s="846"/>
      <c r="M240" s="846"/>
      <c r="N240" s="846"/>
    </row>
    <row r="241" spans="1:23" s="112" customFormat="1" ht="25" customHeight="1">
      <c r="B241" s="647"/>
      <c r="C241" s="108"/>
      <c r="D241" s="108"/>
      <c r="E241" s="108"/>
      <c r="F241" s="847"/>
      <c r="G241" s="848"/>
      <c r="H241" s="849"/>
      <c r="I241" s="849"/>
      <c r="J241" s="849"/>
      <c r="K241" s="895"/>
      <c r="L241" s="846"/>
      <c r="M241" s="846"/>
      <c r="N241" s="846"/>
    </row>
    <row r="242" spans="1:23" s="112" customFormat="1" ht="25" customHeight="1">
      <c r="B242" s="647"/>
      <c r="C242" s="108"/>
      <c r="D242" s="108"/>
      <c r="E242" s="108"/>
      <c r="F242" s="847"/>
      <c r="G242" s="848"/>
      <c r="H242" s="849"/>
      <c r="I242" s="849"/>
      <c r="J242" s="849"/>
      <c r="K242" s="895"/>
      <c r="L242" s="846"/>
      <c r="M242" s="846"/>
      <c r="N242" s="846"/>
    </row>
    <row r="243" spans="1:23" s="112" customFormat="1" ht="25" customHeight="1">
      <c r="B243" s="647"/>
      <c r="C243" s="108"/>
      <c r="D243" s="108"/>
      <c r="E243" s="108"/>
      <c r="F243" s="847"/>
      <c r="G243" s="848"/>
      <c r="H243" s="849"/>
      <c r="I243" s="849"/>
      <c r="J243" s="849"/>
      <c r="K243" s="895"/>
      <c r="L243" s="846"/>
      <c r="M243" s="846"/>
      <c r="N243" s="846"/>
    </row>
    <row r="244" spans="1:23" s="112" customFormat="1" ht="25" customHeight="1">
      <c r="B244" s="647"/>
      <c r="C244" s="108"/>
      <c r="D244" s="108"/>
      <c r="E244" s="108"/>
      <c r="F244" s="847"/>
      <c r="G244" s="848"/>
      <c r="H244" s="849"/>
      <c r="I244" s="849"/>
      <c r="J244" s="849"/>
      <c r="K244" s="895"/>
      <c r="L244" s="846"/>
      <c r="M244" s="846"/>
      <c r="N244" s="846"/>
    </row>
    <row r="245" spans="1:23" s="112" customFormat="1" ht="25" customHeight="1">
      <c r="B245" s="647"/>
      <c r="C245" s="108"/>
      <c r="D245" s="108"/>
      <c r="E245" s="108"/>
      <c r="F245" s="847"/>
      <c r="G245" s="848"/>
      <c r="H245" s="849"/>
      <c r="I245" s="849"/>
      <c r="J245" s="849"/>
      <c r="K245" s="895"/>
      <c r="L245" s="846"/>
      <c r="M245" s="846"/>
      <c r="N245" s="846"/>
    </row>
    <row r="246" spans="1:23" s="112" customFormat="1" ht="25" customHeight="1">
      <c r="B246" s="647"/>
      <c r="C246" s="108"/>
      <c r="D246" s="108"/>
      <c r="E246" s="108"/>
      <c r="F246" s="847"/>
      <c r="G246" s="848"/>
      <c r="H246" s="849"/>
      <c r="I246" s="849"/>
      <c r="J246" s="849"/>
      <c r="K246" s="895"/>
      <c r="L246" s="846"/>
      <c r="M246" s="846"/>
      <c r="N246" s="846"/>
    </row>
    <row r="247" spans="1:23" s="112" customFormat="1" ht="25" customHeight="1">
      <c r="B247" s="647"/>
      <c r="C247" s="108"/>
      <c r="D247" s="108"/>
      <c r="E247" s="108"/>
      <c r="F247" s="847"/>
      <c r="G247" s="848"/>
      <c r="H247" s="849"/>
      <c r="I247" s="849"/>
      <c r="J247" s="849"/>
      <c r="K247" s="895"/>
      <c r="L247" s="846"/>
      <c r="M247" s="846"/>
      <c r="N247" s="846"/>
    </row>
    <row r="248" spans="1:23" s="112" customFormat="1" ht="25" customHeight="1">
      <c r="B248" s="647"/>
      <c r="C248" s="108"/>
      <c r="D248" s="108"/>
      <c r="E248" s="108"/>
      <c r="F248" s="847"/>
      <c r="G248" s="848"/>
      <c r="H248" s="849"/>
      <c r="I248" s="849"/>
      <c r="J248" s="849"/>
      <c r="K248" s="895"/>
      <c r="L248" s="846"/>
      <c r="M248" s="846"/>
      <c r="N248" s="846"/>
    </row>
    <row r="249" spans="1:23" s="850" customFormat="1" ht="25" customHeight="1">
      <c r="A249" s="112"/>
      <c r="B249" s="647"/>
      <c r="C249" s="108"/>
      <c r="D249" s="108"/>
      <c r="E249" s="108"/>
      <c r="F249" s="847"/>
      <c r="G249" s="848"/>
      <c r="H249" s="849"/>
      <c r="I249" s="849"/>
      <c r="J249" s="849"/>
      <c r="K249" s="895"/>
      <c r="L249" s="846"/>
      <c r="M249" s="846"/>
      <c r="N249" s="846"/>
      <c r="O249" s="112"/>
      <c r="P249" s="112"/>
      <c r="Q249" s="112"/>
      <c r="R249" s="112"/>
      <c r="S249" s="112"/>
      <c r="T249" s="112"/>
      <c r="U249" s="112"/>
      <c r="V249" s="112"/>
      <c r="W249" s="112"/>
    </row>
    <row r="250" spans="1:23" s="112" customFormat="1" ht="25" customHeight="1">
      <c r="B250" s="647"/>
      <c r="C250" s="108"/>
      <c r="D250" s="108"/>
      <c r="E250" s="108"/>
      <c r="F250" s="847"/>
      <c r="G250" s="848"/>
      <c r="H250" s="849"/>
      <c r="I250" s="849"/>
      <c r="J250" s="849"/>
      <c r="K250" s="895"/>
      <c r="L250" s="846"/>
      <c r="M250" s="846"/>
      <c r="N250" s="846"/>
    </row>
    <row r="251" spans="1:23" s="112" customFormat="1" ht="25" customHeight="1">
      <c r="B251" s="647"/>
      <c r="C251" s="108"/>
      <c r="D251" s="108"/>
      <c r="E251" s="108"/>
      <c r="F251" s="847"/>
      <c r="G251" s="848"/>
      <c r="H251" s="849"/>
      <c r="I251" s="849"/>
      <c r="J251" s="849"/>
      <c r="K251" s="895"/>
      <c r="L251" s="846"/>
      <c r="M251" s="846"/>
      <c r="N251" s="846"/>
    </row>
    <row r="252" spans="1:23" s="112" customFormat="1" ht="25" customHeight="1">
      <c r="B252" s="647"/>
      <c r="C252" s="108"/>
      <c r="D252" s="108"/>
      <c r="E252" s="108"/>
      <c r="F252" s="847"/>
      <c r="G252" s="848"/>
      <c r="H252" s="849"/>
      <c r="I252" s="849"/>
      <c r="J252" s="849"/>
      <c r="K252" s="895"/>
      <c r="L252" s="846"/>
      <c r="M252" s="846"/>
      <c r="N252" s="846"/>
    </row>
    <row r="253" spans="1:23" s="112" customFormat="1" ht="25" customHeight="1">
      <c r="B253" s="647"/>
      <c r="C253" s="108"/>
      <c r="D253" s="108"/>
      <c r="E253" s="108"/>
      <c r="F253" s="847"/>
      <c r="G253" s="848"/>
      <c r="H253" s="849"/>
      <c r="I253" s="849"/>
      <c r="J253" s="849"/>
      <c r="K253" s="895"/>
      <c r="L253" s="846"/>
      <c r="M253" s="846"/>
      <c r="N253" s="846"/>
    </row>
    <row r="254" spans="1:23" s="112" customFormat="1" ht="25" customHeight="1">
      <c r="B254" s="647"/>
      <c r="C254" s="108"/>
      <c r="D254" s="108"/>
      <c r="E254" s="108"/>
      <c r="F254" s="847"/>
      <c r="G254" s="848"/>
      <c r="H254" s="849"/>
      <c r="I254" s="849"/>
      <c r="J254" s="849"/>
      <c r="K254" s="895"/>
      <c r="L254" s="846"/>
      <c r="M254" s="846"/>
      <c r="N254" s="846"/>
    </row>
    <row r="255" spans="1:23" s="112" customFormat="1" ht="25" customHeight="1">
      <c r="B255" s="647"/>
      <c r="C255" s="108"/>
      <c r="D255" s="108"/>
      <c r="E255" s="108"/>
      <c r="F255" s="847"/>
      <c r="G255" s="848"/>
      <c r="H255" s="849"/>
      <c r="I255" s="849"/>
      <c r="J255" s="849"/>
      <c r="K255" s="895"/>
      <c r="L255" s="846"/>
      <c r="M255" s="846"/>
      <c r="N255" s="846"/>
    </row>
    <row r="256" spans="1:23" s="112" customFormat="1" ht="25" customHeight="1">
      <c r="B256" s="647"/>
      <c r="C256" s="108"/>
      <c r="D256" s="108"/>
      <c r="E256" s="108"/>
      <c r="F256" s="847"/>
      <c r="G256" s="848"/>
      <c r="H256" s="849"/>
      <c r="I256" s="849"/>
      <c r="J256" s="849"/>
      <c r="K256" s="895"/>
      <c r="L256" s="846"/>
      <c r="M256" s="846"/>
      <c r="N256" s="846"/>
    </row>
    <row r="257" spans="2:14" s="112" customFormat="1" ht="25" customHeight="1">
      <c r="B257" s="647"/>
      <c r="C257" s="108"/>
      <c r="D257" s="108"/>
      <c r="E257" s="108"/>
      <c r="F257" s="847"/>
      <c r="G257" s="848"/>
      <c r="H257" s="849"/>
      <c r="I257" s="849"/>
      <c r="J257" s="849"/>
      <c r="K257" s="895"/>
      <c r="L257" s="846"/>
      <c r="M257" s="846"/>
      <c r="N257" s="846"/>
    </row>
    <row r="258" spans="2:14" s="112" customFormat="1" ht="25" customHeight="1">
      <c r="B258" s="647"/>
      <c r="C258" s="108"/>
      <c r="D258" s="108"/>
      <c r="E258" s="108"/>
      <c r="F258" s="847"/>
      <c r="G258" s="848"/>
      <c r="H258" s="849"/>
      <c r="I258" s="849"/>
      <c r="J258" s="849"/>
      <c r="K258" s="895"/>
      <c r="L258" s="846"/>
      <c r="M258" s="846"/>
      <c r="N258" s="846"/>
    </row>
    <row r="259" spans="2:14" s="112" customFormat="1" ht="25" customHeight="1">
      <c r="B259" s="647"/>
      <c r="C259" s="108"/>
      <c r="D259" s="108"/>
      <c r="E259" s="108"/>
      <c r="F259" s="847"/>
      <c r="G259" s="848"/>
      <c r="H259" s="849"/>
      <c r="I259" s="849"/>
      <c r="J259" s="849"/>
      <c r="K259" s="895"/>
      <c r="L259" s="846"/>
      <c r="M259" s="846"/>
      <c r="N259" s="846"/>
    </row>
    <row r="260" spans="2:14" s="112" customFormat="1" ht="25" customHeight="1">
      <c r="B260" s="647"/>
      <c r="C260" s="108"/>
      <c r="D260" s="108"/>
      <c r="E260" s="108"/>
      <c r="F260" s="847"/>
      <c r="G260" s="848"/>
      <c r="H260" s="849"/>
      <c r="I260" s="849"/>
      <c r="J260" s="849"/>
      <c r="K260" s="895"/>
      <c r="L260" s="846"/>
      <c r="M260" s="846"/>
      <c r="N260" s="846"/>
    </row>
    <row r="261" spans="2:14" s="112" customFormat="1" ht="25" customHeight="1">
      <c r="B261" s="647"/>
      <c r="C261" s="108"/>
      <c r="D261" s="108"/>
      <c r="E261" s="108"/>
      <c r="F261" s="847"/>
      <c r="G261" s="848"/>
      <c r="H261" s="849"/>
      <c r="I261" s="849"/>
      <c r="J261" s="849"/>
      <c r="K261" s="895"/>
      <c r="L261" s="846"/>
      <c r="M261" s="846"/>
      <c r="N261" s="846"/>
    </row>
    <row r="262" spans="2:14" s="112" customFormat="1" ht="25" customHeight="1">
      <c r="B262" s="647"/>
      <c r="C262" s="108"/>
      <c r="D262" s="108"/>
      <c r="E262" s="108"/>
      <c r="F262" s="847"/>
      <c r="G262" s="848"/>
      <c r="H262" s="849"/>
      <c r="I262" s="849"/>
      <c r="J262" s="849"/>
      <c r="K262" s="895"/>
      <c r="L262" s="846"/>
      <c r="M262" s="846"/>
      <c r="N262" s="846"/>
    </row>
    <row r="263" spans="2:14" s="112" customFormat="1" ht="25" customHeight="1">
      <c r="B263" s="647"/>
      <c r="C263" s="108"/>
      <c r="D263" s="108"/>
      <c r="E263" s="108"/>
      <c r="F263" s="847"/>
      <c r="G263" s="848"/>
      <c r="H263" s="849"/>
      <c r="I263" s="849"/>
      <c r="J263" s="849"/>
      <c r="K263" s="895"/>
      <c r="L263" s="846"/>
      <c r="M263" s="846"/>
      <c r="N263" s="846"/>
    </row>
    <row r="264" spans="2:14" s="112" customFormat="1" ht="25" customHeight="1">
      <c r="B264" s="647"/>
      <c r="C264" s="108"/>
      <c r="D264" s="108"/>
      <c r="E264" s="108"/>
      <c r="F264" s="847"/>
      <c r="G264" s="848"/>
      <c r="H264" s="849"/>
      <c r="I264" s="849"/>
      <c r="J264" s="849"/>
      <c r="K264" s="895"/>
      <c r="L264" s="846"/>
      <c r="M264" s="846"/>
      <c r="N264" s="846"/>
    </row>
    <row r="265" spans="2:14" s="112" customFormat="1" ht="25" customHeight="1">
      <c r="B265" s="647"/>
      <c r="C265" s="108"/>
      <c r="D265" s="108"/>
      <c r="E265" s="108"/>
      <c r="F265" s="847"/>
      <c r="G265" s="848"/>
      <c r="H265" s="849"/>
      <c r="I265" s="849"/>
      <c r="J265" s="849"/>
      <c r="K265" s="895"/>
      <c r="L265" s="846"/>
      <c r="M265" s="846"/>
      <c r="N265" s="846"/>
    </row>
    <row r="266" spans="2:14" s="112" customFormat="1" ht="25" customHeight="1">
      <c r="B266" s="647"/>
      <c r="C266" s="108"/>
      <c r="D266" s="108"/>
      <c r="E266" s="108"/>
      <c r="F266" s="847"/>
      <c r="G266" s="848"/>
      <c r="H266" s="849"/>
      <c r="I266" s="849"/>
      <c r="J266" s="849"/>
      <c r="K266" s="895"/>
      <c r="L266" s="846"/>
      <c r="M266" s="846"/>
      <c r="N266" s="846"/>
    </row>
    <row r="267" spans="2:14" s="112" customFormat="1" ht="25" customHeight="1">
      <c r="B267" s="647"/>
      <c r="C267" s="108"/>
      <c r="D267" s="108"/>
      <c r="E267" s="108"/>
      <c r="F267" s="847"/>
      <c r="G267" s="848"/>
      <c r="H267" s="849"/>
      <c r="I267" s="849"/>
      <c r="J267" s="849"/>
      <c r="K267" s="895"/>
      <c r="L267" s="846"/>
      <c r="M267" s="846"/>
      <c r="N267" s="846"/>
    </row>
    <row r="268" spans="2:14" s="112" customFormat="1" ht="25" customHeight="1">
      <c r="B268" s="647"/>
      <c r="C268" s="108"/>
      <c r="D268" s="108"/>
      <c r="E268" s="108"/>
      <c r="F268" s="847"/>
      <c r="G268" s="848"/>
      <c r="H268" s="849"/>
      <c r="I268" s="849"/>
      <c r="J268" s="849"/>
      <c r="K268" s="895"/>
      <c r="L268" s="846"/>
      <c r="M268" s="846"/>
      <c r="N268" s="846"/>
    </row>
    <row r="269" spans="2:14" s="112" customFormat="1" ht="25" customHeight="1">
      <c r="B269" s="648"/>
      <c r="K269" s="895"/>
      <c r="M269" s="851"/>
    </row>
    <row r="270" spans="2:14" s="112" customFormat="1" ht="25" customHeight="1">
      <c r="B270" s="648"/>
      <c r="K270" s="895"/>
      <c r="M270" s="851"/>
    </row>
    <row r="271" spans="2:14" s="112" customFormat="1" ht="25" customHeight="1">
      <c r="B271" s="648"/>
      <c r="K271" s="895"/>
      <c r="M271" s="851"/>
    </row>
    <row r="272" spans="2:14" s="112" customFormat="1" ht="25" customHeight="1">
      <c r="B272" s="648"/>
      <c r="K272" s="895"/>
      <c r="M272" s="851"/>
    </row>
    <row r="273" spans="2:13" s="112" customFormat="1" ht="25" customHeight="1">
      <c r="B273" s="648"/>
      <c r="K273" s="895"/>
      <c r="M273" s="851"/>
    </row>
    <row r="274" spans="2:13" s="112" customFormat="1" ht="25" customHeight="1">
      <c r="B274" s="648"/>
      <c r="K274" s="895"/>
      <c r="M274" s="851"/>
    </row>
    <row r="275" spans="2:13" s="112" customFormat="1" ht="25" customHeight="1">
      <c r="B275" s="648"/>
      <c r="K275" s="895"/>
      <c r="M275" s="851"/>
    </row>
    <row r="276" spans="2:13" s="112" customFormat="1" ht="25" customHeight="1">
      <c r="B276" s="648"/>
      <c r="K276" s="895"/>
      <c r="M276" s="851"/>
    </row>
    <row r="277" spans="2:13" s="112" customFormat="1" ht="25" customHeight="1">
      <c r="B277" s="648"/>
      <c r="K277" s="895"/>
      <c r="M277" s="851"/>
    </row>
    <row r="278" spans="2:13" s="112" customFormat="1" ht="25" customHeight="1">
      <c r="B278" s="648"/>
      <c r="K278" s="895"/>
      <c r="M278" s="851"/>
    </row>
    <row r="279" spans="2:13" s="112" customFormat="1" ht="25" customHeight="1">
      <c r="B279" s="648"/>
      <c r="K279" s="895"/>
      <c r="M279" s="851"/>
    </row>
    <row r="280" spans="2:13" s="112" customFormat="1" ht="25" customHeight="1">
      <c r="B280" s="648"/>
      <c r="K280" s="895"/>
      <c r="M280" s="851"/>
    </row>
    <row r="281" spans="2:13" s="112" customFormat="1" ht="25" customHeight="1">
      <c r="B281" s="648"/>
      <c r="K281" s="895"/>
      <c r="M281" s="851"/>
    </row>
    <row r="282" spans="2:13" s="112" customFormat="1" ht="25" customHeight="1">
      <c r="B282" s="648"/>
      <c r="K282" s="895"/>
      <c r="M282" s="851"/>
    </row>
    <row r="283" spans="2:13" s="112" customFormat="1" ht="25" customHeight="1">
      <c r="B283" s="648"/>
      <c r="K283" s="895"/>
      <c r="M283" s="851"/>
    </row>
    <row r="284" spans="2:13" s="112" customFormat="1" ht="25" customHeight="1">
      <c r="B284" s="648"/>
      <c r="K284" s="895"/>
      <c r="M284" s="851"/>
    </row>
    <row r="285" spans="2:13" s="112" customFormat="1" ht="25" customHeight="1">
      <c r="B285" s="648"/>
      <c r="K285" s="895"/>
      <c r="M285" s="851"/>
    </row>
    <row r="286" spans="2:13" s="112" customFormat="1" ht="25" customHeight="1">
      <c r="B286" s="648"/>
      <c r="K286" s="895"/>
      <c r="M286" s="851"/>
    </row>
    <row r="287" spans="2:13" s="112" customFormat="1" ht="25" customHeight="1">
      <c r="B287" s="648"/>
      <c r="K287" s="895"/>
      <c r="M287" s="851"/>
    </row>
    <row r="288" spans="2:13" s="112" customFormat="1" ht="25" customHeight="1">
      <c r="B288" s="648"/>
      <c r="K288" s="895"/>
      <c r="M288" s="851"/>
    </row>
    <row r="289" spans="2:13" s="112" customFormat="1" ht="25" customHeight="1">
      <c r="B289" s="648"/>
      <c r="K289" s="895"/>
      <c r="M289" s="851"/>
    </row>
    <row r="290" spans="2:13" s="112" customFormat="1" ht="25" customHeight="1">
      <c r="B290" s="648"/>
      <c r="K290" s="895"/>
      <c r="M290" s="851"/>
    </row>
    <row r="291" spans="2:13" s="112" customFormat="1" ht="25" customHeight="1">
      <c r="B291" s="648"/>
      <c r="K291" s="895"/>
      <c r="M291" s="851"/>
    </row>
    <row r="292" spans="2:13" s="112" customFormat="1" ht="25" customHeight="1">
      <c r="B292" s="648"/>
      <c r="K292" s="895"/>
      <c r="M292" s="851"/>
    </row>
    <row r="293" spans="2:13" s="112" customFormat="1" ht="25" customHeight="1">
      <c r="B293" s="648"/>
      <c r="K293" s="895"/>
      <c r="M293" s="851"/>
    </row>
    <row r="294" spans="2:13" s="112" customFormat="1" ht="25" customHeight="1">
      <c r="B294" s="648"/>
      <c r="K294" s="895"/>
      <c r="M294" s="851"/>
    </row>
    <row r="295" spans="2:13" s="112" customFormat="1" ht="25" customHeight="1">
      <c r="B295" s="648"/>
      <c r="K295" s="895"/>
      <c r="M295" s="851"/>
    </row>
    <row r="296" spans="2:13" s="112" customFormat="1" ht="25" customHeight="1">
      <c r="B296" s="648"/>
      <c r="K296" s="895"/>
      <c r="M296" s="851"/>
    </row>
    <row r="297" spans="2:13" s="112" customFormat="1" ht="25" customHeight="1">
      <c r="B297" s="648"/>
      <c r="K297" s="895"/>
      <c r="M297" s="851"/>
    </row>
    <row r="298" spans="2:13" s="112" customFormat="1" ht="25" customHeight="1">
      <c r="B298" s="648"/>
      <c r="K298" s="895"/>
      <c r="M298" s="851"/>
    </row>
    <row r="299" spans="2:13" s="112" customFormat="1" ht="25" customHeight="1">
      <c r="B299" s="648"/>
      <c r="K299" s="895"/>
      <c r="M299" s="851"/>
    </row>
    <row r="300" spans="2:13" s="112" customFormat="1" ht="25" customHeight="1">
      <c r="B300" s="648"/>
      <c r="K300" s="895"/>
      <c r="M300" s="851"/>
    </row>
    <row r="301" spans="2:13" s="112" customFormat="1" ht="25" customHeight="1">
      <c r="B301" s="648"/>
      <c r="K301" s="895"/>
      <c r="M301" s="851"/>
    </row>
    <row r="302" spans="2:13" s="112" customFormat="1" ht="25" customHeight="1">
      <c r="B302" s="648"/>
      <c r="K302" s="895"/>
      <c r="M302" s="851"/>
    </row>
    <row r="303" spans="2:13" s="112" customFormat="1" ht="25" customHeight="1">
      <c r="B303" s="648"/>
      <c r="K303" s="895"/>
      <c r="M303" s="851"/>
    </row>
    <row r="304" spans="2:13" s="112" customFormat="1" ht="25" customHeight="1">
      <c r="B304" s="648"/>
      <c r="K304" s="895"/>
      <c r="M304" s="851"/>
    </row>
    <row r="305" spans="2:13" s="112" customFormat="1" ht="25" customHeight="1">
      <c r="B305" s="648"/>
      <c r="K305" s="895"/>
      <c r="M305" s="851"/>
    </row>
    <row r="306" spans="2:13" s="112" customFormat="1" ht="25" customHeight="1">
      <c r="B306" s="648"/>
      <c r="K306" s="895"/>
      <c r="M306" s="851"/>
    </row>
    <row r="307" spans="2:13" s="112" customFormat="1" ht="25" customHeight="1">
      <c r="B307" s="648"/>
      <c r="K307" s="895"/>
      <c r="M307" s="851"/>
    </row>
    <row r="308" spans="2:13" s="112" customFormat="1" ht="25" customHeight="1">
      <c r="B308" s="648"/>
      <c r="K308" s="895"/>
      <c r="M308" s="851"/>
    </row>
    <row r="309" spans="2:13" s="112" customFormat="1" ht="25" customHeight="1">
      <c r="B309" s="648"/>
      <c r="K309" s="895"/>
      <c r="M309" s="851"/>
    </row>
    <row r="310" spans="2:13" s="112" customFormat="1" ht="25" customHeight="1">
      <c r="B310" s="648"/>
      <c r="K310" s="895"/>
      <c r="M310" s="851"/>
    </row>
    <row r="311" spans="2:13" s="112" customFormat="1" ht="25" customHeight="1">
      <c r="B311" s="648"/>
      <c r="K311" s="895"/>
      <c r="M311" s="851"/>
    </row>
    <row r="312" spans="2:13" s="112" customFormat="1" ht="25" customHeight="1">
      <c r="B312" s="648"/>
      <c r="K312" s="895"/>
      <c r="M312" s="851"/>
    </row>
    <row r="313" spans="2:13" s="112" customFormat="1" ht="25" customHeight="1">
      <c r="B313" s="648"/>
      <c r="K313" s="895"/>
      <c r="M313" s="851"/>
    </row>
    <row r="314" spans="2:13" s="112" customFormat="1" ht="25" customHeight="1">
      <c r="B314" s="648"/>
      <c r="K314" s="895"/>
      <c r="M314" s="851"/>
    </row>
    <row r="315" spans="2:13" s="112" customFormat="1" ht="25" customHeight="1">
      <c r="B315" s="648"/>
      <c r="K315" s="895"/>
      <c r="M315" s="851"/>
    </row>
    <row r="316" spans="2:13" s="112" customFormat="1" ht="25" customHeight="1">
      <c r="B316" s="648"/>
      <c r="K316" s="895"/>
      <c r="M316" s="851"/>
    </row>
    <row r="317" spans="2:13" s="112" customFormat="1" ht="25" customHeight="1">
      <c r="B317" s="648"/>
      <c r="K317" s="895"/>
      <c r="M317" s="851"/>
    </row>
    <row r="318" spans="2:13" s="112" customFormat="1" ht="25" customHeight="1">
      <c r="B318" s="648"/>
      <c r="K318" s="895"/>
      <c r="M318" s="851"/>
    </row>
    <row r="319" spans="2:13" s="112" customFormat="1" ht="25" customHeight="1">
      <c r="B319" s="648"/>
      <c r="K319" s="895"/>
      <c r="M319" s="851"/>
    </row>
    <row r="331" spans="2:4" ht="25" customHeight="1">
      <c r="B331" s="649"/>
      <c r="C331" s="38"/>
      <c r="D331" s="96"/>
    </row>
  </sheetData>
  <sheetProtection algorithmName="SHA-512" hashValue="fKdClGvpicFrfKWlaZrBGHPyZd6cWEbpgUF55beEpzzboDn/fU23cArw1DyG1JqeRDg+EE8XJyYy69QfE8fC7Q==" saltValue="TLqG/au/yk8H5BbQBpvr2A==" spinCount="100000" sheet="1" objects="1" scenarios="1" selectLockedCells="1"/>
  <mergeCells count="47">
    <mergeCell ref="B186:F186"/>
    <mergeCell ref="B187:F187"/>
    <mergeCell ref="B221:G223"/>
    <mergeCell ref="B224:F224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3:G185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28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5" manualBreakCount="5">
    <brk id="22" max="13" man="1"/>
    <brk id="82" max="13" man="1"/>
    <brk id="238" max="13" man="1"/>
    <brk id="258" max="13" man="1"/>
    <brk id="280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22" t="str">
        <f>"1 SEK = "&amp;NOK&amp;" NOK"</f>
        <v>1 SEK = 1 NOK</v>
      </c>
      <c r="E11" s="1022"/>
      <c r="F11" s="1022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21" t="s">
        <v>266</v>
      </c>
      <c r="C19" s="1021"/>
      <c r="D19" s="1021"/>
      <c r="E19" s="1021"/>
      <c r="F19" s="1021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1013" t="s">
        <v>277</v>
      </c>
      <c r="G88" s="1013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74">
        <f>VOLUME_large_SEK</f>
        <v>1.2</v>
      </c>
      <c r="G89" s="1074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72">
        <f>VOLUME_fast_SEK</f>
        <v>3.6</v>
      </c>
      <c r="G90" s="1072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94" t="s">
        <v>72</v>
      </c>
      <c r="C95" s="994"/>
      <c r="D95" s="994"/>
      <c r="E95" s="994"/>
      <c r="F95" s="994"/>
      <c r="G95" s="994"/>
      <c r="H95" s="177"/>
      <c r="J95" s="178"/>
      <c r="K95" s="178"/>
      <c r="M95" s="179"/>
      <c r="O95" s="168"/>
    </row>
    <row r="96" spans="2:23" s="169" customFormat="1" ht="25.5" customHeight="1">
      <c r="B96" s="994"/>
      <c r="C96" s="994"/>
      <c r="D96" s="994"/>
      <c r="E96" s="994"/>
      <c r="F96" s="994"/>
      <c r="G96" s="994"/>
      <c r="H96" s="177"/>
      <c r="J96" s="178"/>
      <c r="K96" s="178"/>
      <c r="M96" s="179"/>
      <c r="O96" s="168"/>
    </row>
    <row r="97" spans="2:23" s="169" customFormat="1" ht="25.5" customHeight="1">
      <c r="B97" s="994"/>
      <c r="C97" s="994"/>
      <c r="D97" s="994"/>
      <c r="E97" s="994"/>
      <c r="F97" s="994"/>
      <c r="G97" s="994"/>
      <c r="H97" s="177"/>
      <c r="J97" s="178"/>
      <c r="K97" s="178"/>
      <c r="M97" s="179"/>
      <c r="O97" s="168"/>
    </row>
    <row r="98" spans="2:23" s="169" customFormat="1" ht="25.5" customHeight="1">
      <c r="B98" s="1070" t="s">
        <v>279</v>
      </c>
      <c r="C98" s="1070"/>
      <c r="D98" s="1070"/>
      <c r="E98" s="1070"/>
      <c r="F98" s="1070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21" t="s">
        <v>280</v>
      </c>
      <c r="C99" s="1021"/>
      <c r="D99" s="1021"/>
      <c r="E99" s="1021"/>
      <c r="F99" s="1021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1013" t="s">
        <v>283</v>
      </c>
      <c r="E102" s="1013"/>
      <c r="F102" s="1013"/>
      <c r="G102" s="1013"/>
      <c r="H102" s="1013"/>
      <c r="I102" s="1013"/>
      <c r="J102" s="1013"/>
      <c r="K102" s="1013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73">
        <f>S3_storage.50_SEK</f>
        <v>350</v>
      </c>
      <c r="E103" s="1073"/>
      <c r="F103" s="1073"/>
      <c r="G103" s="1073"/>
      <c r="H103" s="1073"/>
      <c r="I103" s="1073"/>
      <c r="J103" s="1073"/>
      <c r="K103" s="1073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68">
        <f>S3_storage.100_SEK</f>
        <v>270</v>
      </c>
      <c r="E104" s="1068"/>
      <c r="F104" s="1068"/>
      <c r="G104" s="1068"/>
      <c r="H104" s="1068"/>
      <c r="I104" s="1068"/>
      <c r="J104" s="1068"/>
      <c r="K104" s="1068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71">
        <f>S3_storage.500_SEK</f>
        <v>200</v>
      </c>
      <c r="E105" s="1071"/>
      <c r="F105" s="1071"/>
      <c r="G105" s="1071"/>
      <c r="H105" s="1071"/>
      <c r="I105" s="1071"/>
      <c r="J105" s="1071"/>
      <c r="K105" s="1071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68">
        <f>S3_storage.1000_SEK</f>
        <v>185</v>
      </c>
      <c r="E106" s="1068"/>
      <c r="F106" s="1068"/>
      <c r="G106" s="1068"/>
      <c r="H106" s="1068"/>
      <c r="I106" s="1068"/>
      <c r="J106" s="1068"/>
      <c r="K106" s="1068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69" t="str">
        <f>S3_storage.quote_SEK</f>
        <v>Be om offert</v>
      </c>
      <c r="E107" s="1069"/>
      <c r="F107" s="1069"/>
      <c r="G107" s="1069"/>
      <c r="H107" s="1069"/>
      <c r="I107" s="1069"/>
      <c r="J107" s="1069"/>
      <c r="K107" s="1069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94" t="s">
        <v>86</v>
      </c>
      <c r="C116" s="994"/>
      <c r="D116" s="994"/>
      <c r="E116" s="994"/>
      <c r="F116" s="994"/>
      <c r="G116" s="994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94"/>
      <c r="C117" s="994"/>
      <c r="D117" s="994"/>
      <c r="E117" s="994"/>
      <c r="F117" s="994"/>
      <c r="G117" s="994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94"/>
      <c r="C118" s="994"/>
      <c r="D118" s="994"/>
      <c r="E118" s="994"/>
      <c r="F118" s="994"/>
      <c r="G118" s="994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70" t="s">
        <v>284</v>
      </c>
      <c r="C119" s="1070"/>
      <c r="D119" s="1070"/>
      <c r="E119" s="1070"/>
      <c r="F119" s="1070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21" t="s">
        <v>285</v>
      </c>
      <c r="C120" s="1021"/>
      <c r="D120" s="1021"/>
      <c r="E120" s="1021"/>
      <c r="F120" s="1021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1013" t="s">
        <v>286</v>
      </c>
      <c r="D123" s="1013"/>
      <c r="E123" s="131" t="s">
        <v>268</v>
      </c>
      <c r="F123" s="1013" t="s">
        <v>277</v>
      </c>
      <c r="G123" s="1013"/>
      <c r="H123" s="266" t="s">
        <v>90</v>
      </c>
      <c r="I123" s="265"/>
      <c r="J123" s="1027" t="s">
        <v>287</v>
      </c>
      <c r="K123" s="1027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62">
        <f>BAAS_on.demand_SEK</f>
        <v>2.4500000000000002</v>
      </c>
      <c r="G124" s="1063"/>
      <c r="H124" s="307"/>
      <c r="I124" s="472" t="s">
        <v>69</v>
      </c>
      <c r="J124" s="1031" t="s">
        <v>94</v>
      </c>
      <c r="K124" s="1031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64">
        <f>BAAS_small_SEK</f>
        <v>1.75</v>
      </c>
      <c r="G125" s="1065"/>
      <c r="H125" s="309"/>
      <c r="I125" s="473" t="s">
        <v>69</v>
      </c>
      <c r="J125" s="1035">
        <v>0.75</v>
      </c>
      <c r="K125" s="1036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66">
        <f>BAAS_large_SEK</f>
        <v>0.92</v>
      </c>
      <c r="G126" s="1067"/>
      <c r="H126" s="298"/>
      <c r="I126" s="474" t="s">
        <v>69</v>
      </c>
      <c r="J126" s="1040">
        <v>0.75</v>
      </c>
      <c r="K126" s="1041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94" t="s">
        <v>292</v>
      </c>
      <c r="C137" s="994"/>
      <c r="D137" s="994"/>
      <c r="E137" s="994"/>
      <c r="F137" s="994"/>
      <c r="G137" s="994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94"/>
      <c r="C138" s="994"/>
      <c r="D138" s="994"/>
      <c r="E138" s="994"/>
      <c r="F138" s="994"/>
      <c r="G138" s="994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94"/>
      <c r="C139" s="994"/>
      <c r="D139" s="994"/>
      <c r="E139" s="994"/>
      <c r="F139" s="994"/>
      <c r="G139" s="994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21" t="s">
        <v>285</v>
      </c>
      <c r="C140" s="1021"/>
      <c r="D140" s="1021"/>
      <c r="E140" s="1021"/>
      <c r="F140" s="1021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96"/>
      <c r="C141" s="996"/>
      <c r="D141" s="996"/>
      <c r="E141" s="996"/>
      <c r="F141" s="996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94" t="s">
        <v>300</v>
      </c>
      <c r="C176" s="994"/>
      <c r="D176" s="994"/>
      <c r="E176" s="994"/>
      <c r="F176" s="994"/>
      <c r="G176" s="994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94"/>
      <c r="C177" s="994"/>
      <c r="D177" s="994"/>
      <c r="E177" s="994"/>
      <c r="F177" s="994"/>
      <c r="G177" s="994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94"/>
      <c r="C178" s="994"/>
      <c r="D178" s="994"/>
      <c r="E178" s="994"/>
      <c r="F178" s="994"/>
      <c r="G178" s="994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21" t="s">
        <v>285</v>
      </c>
      <c r="C179" s="1021"/>
      <c r="D179" s="1021"/>
      <c r="E179" s="1021"/>
      <c r="F179" s="1021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96"/>
      <c r="C180" s="996"/>
      <c r="D180" s="996"/>
      <c r="E180" s="996"/>
      <c r="F180" s="996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97" t="s">
        <v>313</v>
      </c>
      <c r="C211" s="997"/>
      <c r="D211" s="997"/>
      <c r="E211" s="997"/>
      <c r="F211" s="997"/>
      <c r="G211" s="997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97"/>
      <c r="C212" s="997"/>
      <c r="D212" s="997"/>
      <c r="E212" s="997"/>
      <c r="F212" s="997"/>
      <c r="G212" s="997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97"/>
      <c r="C213" s="997"/>
      <c r="D213" s="997"/>
      <c r="E213" s="997"/>
      <c r="F213" s="997"/>
      <c r="G213" s="997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60" t="s">
        <v>314</v>
      </c>
      <c r="C214" s="1060"/>
      <c r="D214" s="1060"/>
      <c r="E214" s="1060"/>
      <c r="F214" s="1060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61" t="str">
        <f>SUM(E67)&amp;" GB NVME-Disk"</f>
        <v>0 GB NVME-Disk</v>
      </c>
      <c r="G221" s="1061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20"/>
      <c r="C4" s="1020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94" t="s">
        <v>4</v>
      </c>
      <c r="C15" s="994"/>
      <c r="D15" s="994"/>
      <c r="E15" s="994"/>
      <c r="F15" s="994"/>
      <c r="G15" s="994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94"/>
      <c r="C16" s="994"/>
      <c r="D16" s="994"/>
      <c r="E16" s="994"/>
      <c r="F16" s="994"/>
      <c r="G16" s="994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94"/>
      <c r="C17" s="994"/>
      <c r="D17" s="994"/>
      <c r="E17" s="994"/>
      <c r="F17" s="994"/>
      <c r="G17" s="994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96" t="s">
        <v>205</v>
      </c>
      <c r="C19" s="996"/>
      <c r="D19" s="996"/>
      <c r="E19" s="996"/>
      <c r="F19" s="996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1013" t="s">
        <v>221</v>
      </c>
      <c r="G98" s="1013"/>
      <c r="H98" s="1027"/>
      <c r="I98" s="1027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74">
        <f>VOLUME_large_SEK</f>
        <v>1.2</v>
      </c>
      <c r="G99" s="1074"/>
      <c r="H99" s="1077"/>
      <c r="I99" s="1077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72">
        <f>VOLUME_fast_SEK</f>
        <v>3.6</v>
      </c>
      <c r="G100" s="1072"/>
      <c r="H100" s="1079"/>
      <c r="I100" s="1079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94" t="s">
        <v>344</v>
      </c>
      <c r="C105" s="994"/>
      <c r="D105" s="994"/>
      <c r="E105" s="994"/>
      <c r="F105" s="994"/>
      <c r="G105" s="994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94"/>
      <c r="C106" s="994"/>
      <c r="D106" s="994"/>
      <c r="E106" s="994"/>
      <c r="F106" s="994"/>
      <c r="G106" s="994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94"/>
      <c r="C107" s="994"/>
      <c r="D107" s="994"/>
      <c r="E107" s="994"/>
      <c r="F107" s="994"/>
      <c r="G107" s="994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43" t="s">
        <v>223</v>
      </c>
      <c r="C108" s="1043"/>
      <c r="D108" s="1043"/>
      <c r="E108" s="1043"/>
      <c r="F108" s="1043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21" t="s">
        <v>345</v>
      </c>
      <c r="C109" s="1021"/>
      <c r="D109" s="1021"/>
      <c r="E109" s="1021"/>
      <c r="F109" s="1021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1013" t="s">
        <v>346</v>
      </c>
      <c r="E112" s="1013"/>
      <c r="F112" s="1013"/>
      <c r="G112" s="1013"/>
      <c r="H112" s="1013"/>
      <c r="I112" s="1013"/>
      <c r="J112" s="1013"/>
      <c r="K112" s="1013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80">
        <f>S3_storage.50_SUNET</f>
        <v>0.35</v>
      </c>
      <c r="E113" s="1080"/>
      <c r="F113" s="1073"/>
      <c r="G113" s="1073"/>
      <c r="H113" s="1073"/>
      <c r="I113" s="1073"/>
      <c r="J113" s="1073"/>
      <c r="K113" s="1073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78">
        <f>S3_storage.100_SUNET</f>
        <v>0.19</v>
      </c>
      <c r="E114" s="1078"/>
      <c r="F114" s="1068"/>
      <c r="G114" s="1068"/>
      <c r="H114" s="1068"/>
      <c r="I114" s="1068"/>
      <c r="J114" s="1068"/>
      <c r="K114" s="1068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81">
        <f>S3_storage.500_SUNET</f>
        <v>0.1</v>
      </c>
      <c r="E115" s="1081"/>
      <c r="F115" s="1071"/>
      <c r="G115" s="1071"/>
      <c r="H115" s="1071"/>
      <c r="I115" s="1071"/>
      <c r="J115" s="1071"/>
      <c r="K115" s="1071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78">
        <f>S3_storage.1000_SUNET</f>
        <v>0.06</v>
      </c>
      <c r="E116" s="1078"/>
      <c r="F116" s="1068"/>
      <c r="G116" s="1068"/>
      <c r="H116" s="1068"/>
      <c r="I116" s="1068"/>
      <c r="J116" s="1068"/>
      <c r="K116" s="1068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82" t="str">
        <f>S3_storage.quote_SUNET</f>
        <v>Be om offert</v>
      </c>
      <c r="E117" s="1082"/>
      <c r="F117" s="1069"/>
      <c r="G117" s="1069"/>
      <c r="H117" s="1069"/>
      <c r="I117" s="1069"/>
      <c r="J117" s="1069"/>
      <c r="K117" s="1069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1013" t="s">
        <v>221</v>
      </c>
      <c r="G120" s="1013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83" cm="1">
        <f t="array" ref="F121">_xlfn.IFS(H121&lt;=299,D113,H121&lt;1000,D114,H121&lt;2000,D115,H121&gt;=2000,D116)</f>
        <v>0.35</v>
      </c>
      <c r="G121" s="1084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75">
        <f>ROUNDUP((H121*1000)*F121,2)</f>
        <v>0</v>
      </c>
      <c r="N121" s="1075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76">
        <f>SUM(M121)</f>
        <v>0</v>
      </c>
      <c r="N122" s="1076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94" t="s">
        <v>86</v>
      </c>
      <c r="C126" s="994"/>
      <c r="D126" s="994"/>
      <c r="E126" s="994"/>
      <c r="F126" s="994"/>
      <c r="G126" s="994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94"/>
      <c r="C127" s="994"/>
      <c r="D127" s="994"/>
      <c r="E127" s="994"/>
      <c r="F127" s="994"/>
      <c r="G127" s="994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94"/>
      <c r="C128" s="994"/>
      <c r="D128" s="994"/>
      <c r="E128" s="994"/>
      <c r="F128" s="994"/>
      <c r="G128" s="994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1015" t="s">
        <v>87</v>
      </c>
      <c r="C129" s="1015"/>
      <c r="D129" s="1015"/>
      <c r="E129" s="1015"/>
      <c r="F129" s="1015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96" t="s">
        <v>226</v>
      </c>
      <c r="C130" s="996"/>
      <c r="D130" s="996"/>
      <c r="E130" s="996"/>
      <c r="F130" s="996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1013" t="s">
        <v>228</v>
      </c>
      <c r="D133" s="1013"/>
      <c r="E133" s="131" t="s">
        <v>210</v>
      </c>
      <c r="F133" s="1013" t="s">
        <v>221</v>
      </c>
      <c r="G133" s="1013"/>
      <c r="H133" s="266" t="s">
        <v>90</v>
      </c>
      <c r="I133" s="265"/>
      <c r="J133" s="1027" t="s">
        <v>229</v>
      </c>
      <c r="K133" s="1027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62">
        <f>BAAS_on.demand_SEK</f>
        <v>2.4500000000000002</v>
      </c>
      <c r="G134" s="1063"/>
      <c r="H134" s="307">
        <v>0</v>
      </c>
      <c r="I134" s="472" t="s">
        <v>69</v>
      </c>
      <c r="J134" s="1031" t="s">
        <v>94</v>
      </c>
      <c r="K134" s="1031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64">
        <f>BAAS_small_SEK</f>
        <v>1.75</v>
      </c>
      <c r="G135" s="1065"/>
      <c r="H135" s="309">
        <v>0</v>
      </c>
      <c r="I135" s="473" t="s">
        <v>69</v>
      </c>
      <c r="J135" s="1035">
        <v>0.75</v>
      </c>
      <c r="K135" s="1036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66">
        <f>BAAS_large_SEK</f>
        <v>0.92</v>
      </c>
      <c r="G136" s="1067"/>
      <c r="H136" s="298">
        <v>0</v>
      </c>
      <c r="I136" s="474" t="s">
        <v>69</v>
      </c>
      <c r="J136" s="1040">
        <v>0.75</v>
      </c>
      <c r="K136" s="1041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97" t="s">
        <v>260</v>
      </c>
      <c r="C150" s="997"/>
      <c r="D150" s="997"/>
      <c r="E150" s="997"/>
      <c r="F150" s="997"/>
      <c r="G150" s="997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97"/>
      <c r="C151" s="997"/>
      <c r="D151" s="997"/>
      <c r="E151" s="997"/>
      <c r="F151" s="997"/>
      <c r="G151" s="997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97"/>
      <c r="C152" s="997"/>
      <c r="D152" s="997"/>
      <c r="E152" s="997"/>
      <c r="F152" s="997"/>
      <c r="G152" s="997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60" t="s">
        <v>226</v>
      </c>
      <c r="C153" s="1060"/>
      <c r="D153" s="1060"/>
      <c r="E153" s="1060"/>
      <c r="F153" s="1060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86" t="s">
        <v>196</v>
      </c>
      <c r="C160" s="1086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87" t="s">
        <v>197</v>
      </c>
      <c r="C161" s="1087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88" t="s">
        <v>199</v>
      </c>
      <c r="C163" s="1088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85">
        <f>SUM(M160:M163)</f>
        <v>0</v>
      </c>
      <c r="K164" s="1085"/>
      <c r="L164" s="1085"/>
      <c r="M164" s="1085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592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592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592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592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2022-09-27T09:44:25Z</cp:lastPrinted>
  <dcterms:created xsi:type="dcterms:W3CDTF">2015-05-31T16:02:08Z</dcterms:created>
  <dcterms:modified xsi:type="dcterms:W3CDTF">2022-09-27T09:46:08Z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