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EC7B90F1-7858-B346-BAD8-BCC37F8F9147}" xr6:coauthVersionLast="47" xr6:coauthVersionMax="47" xr10:uidLastSave="{00000000-0000-0000-0000-000000000000}"/>
  <workbookProtection workbookAlgorithmName="SHA-512" workbookHashValue="JT48WGpl4xpg08Sd35lsbtBtgiraasTZQVjfyWDC+Gyy0BU0vymh0OykbkB52eAnrt5qDfAcmPo2tdJp/yBf7w==" workbookSaltValue="I7LZiPOabv9JXKbqBsHtcA==" workbookSpinCount="100000" lockStructure="1"/>
  <bookViews>
    <workbookView xWindow="5260" yWindow="800" windowWidth="28800" windowHeight="17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2022'!$A$1:$N$315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4" i="12" l="1"/>
  <c r="G26" i="12"/>
  <c r="C231" i="12" a="1"/>
  <c r="C231" i="12" s="1"/>
  <c r="K165" i="12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65" i="11"/>
  <c r="K164" i="11"/>
  <c r="K163" i="11"/>
  <c r="K162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/>
  <c r="D64" i="11" a="1"/>
  <c r="C64" i="11" a="1"/>
  <c r="C64" i="11" s="1"/>
  <c r="K132" i="3"/>
  <c r="D38" i="3" a="1"/>
  <c r="D38" i="3" s="1"/>
  <c r="E38" i="3" a="1"/>
  <c r="E38" i="3" s="1"/>
  <c r="I38" i="3"/>
  <c r="C231" i="3" a="1"/>
  <c r="C231" i="3" s="1"/>
  <c r="I55" i="3"/>
  <c r="K117" i="3"/>
  <c r="K118" i="3"/>
  <c r="I119" i="3"/>
  <c r="C234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50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K133" i="12" l="1"/>
  <c r="J234" i="12" s="1"/>
  <c r="D104" i="8"/>
  <c r="E103" i="8" s="1" a="1"/>
  <c r="E103" i="8" s="1"/>
  <c r="M103" i="8" s="1" a="1"/>
  <c r="M103" i="8" s="1"/>
  <c r="M109" i="8" s="1"/>
  <c r="G93" i="11"/>
  <c r="K93" i="11" s="1"/>
  <c r="K176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C232" i="11"/>
  <c r="K95" i="11"/>
  <c r="J232" i="11" s="1"/>
  <c r="D103" i="3"/>
  <c r="E99" i="3" s="1" a="1"/>
  <c r="E99" i="3" s="1"/>
  <c r="K99" i="3" s="1" a="1"/>
  <c r="K99" i="3" s="1"/>
  <c r="K105" i="3" s="1"/>
  <c r="D101" i="11"/>
  <c r="D102" i="3"/>
  <c r="C23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4" i="3" s="1"/>
  <c r="K175" i="3"/>
  <c r="K177" i="3"/>
  <c r="K178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4" i="11"/>
  <c r="G132" i="11"/>
  <c r="L173" i="8"/>
  <c r="G131" i="11"/>
  <c r="K173" i="11"/>
  <c r="K95" i="12"/>
  <c r="J232" i="12" s="1"/>
  <c r="K174" i="3"/>
  <c r="K173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K38" i="12" s="1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4" i="12" l="1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K165" i="3"/>
  <c r="K164" i="3"/>
  <c r="K163" i="3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4" i="3"/>
  <c r="M195" i="10"/>
  <c r="K203" i="3"/>
  <c r="M194" i="10"/>
  <c r="K202" i="3"/>
  <c r="M193" i="10"/>
  <c r="K200" i="3"/>
  <c r="K201" i="3"/>
  <c r="K205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K166" i="12" s="1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K166" i="11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2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66" i="3"/>
  <c r="K147" i="3"/>
  <c r="K149" i="3"/>
  <c r="K151" i="3"/>
  <c r="K16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K161" i="12" s="1"/>
  <c r="F53" i="4"/>
  <c r="F89" i="8" l="1"/>
  <c r="G79" i="11"/>
  <c r="G81" i="11"/>
  <c r="K160" i="11"/>
  <c r="K159" i="11"/>
  <c r="G81" i="12"/>
  <c r="G79" i="12"/>
  <c r="K159" i="12"/>
  <c r="K160" i="12"/>
  <c r="K72" i="12"/>
  <c r="F72" i="12"/>
  <c r="L163" i="8"/>
  <c r="K161" i="11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K161" i="3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60" i="3"/>
  <c r="K159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3" i="3" s="1"/>
  <c r="K80" i="3"/>
  <c r="K79" i="3"/>
  <c r="F80" i="3"/>
  <c r="F79" i="3"/>
  <c r="K82" i="3" l="1"/>
  <c r="J231" i="3" s="1"/>
  <c r="J2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<sst xmlns="http://schemas.openxmlformats.org/spreadsheetml/2006/main" count="2177" uniqueCount="665">
  <si>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</si>
  <si>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</si>
  <si>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</si>
  <si>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</si>
  <si>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</si>
  <si>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</si>
  <si>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</si>
  <si>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</si>
  <si>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</si>
  <si>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</si>
  <si>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</si>
  <si>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</si>
  <si>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</si>
  <si>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</si>
  <si>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</si>
  <si>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</si>
  <si>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</si>
  <si>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</si>
  <si>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</si>
  <si>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</si>
  <si>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</si>
  <si>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</si>
  <si>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</si>
  <si>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</si>
  <si>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</si>
  <si>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</si>
  <si>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</si>
  <si>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</si>
  <si>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</si>
  <si>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</si>
  <si>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</si>
  <si>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</si>
  <si>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</si>
  <si>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</si>
  <si>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</si>
  <si>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</si>
  <si>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</si>
  <si>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</si>
  <si>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</si>
  <si>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</si>
  <si>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</si>
  <si>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</si>
  <si>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</si>
  <si>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</si>
  <si>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</si>
  <si>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</si>
  <si>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</si>
  <si>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</si>
  <si>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</si>
  <si>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</si>
  <si>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</si>
  <si>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</si>
  <si>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</si>
  <si>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</si>
  <si>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</si>
  <si>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</si>
  <si>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</si>
  <si>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</si>
  <si>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</si>
  <si>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</si>
  <si>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</si>
  <si>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</si>
  <si>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</si>
  <si>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</si>
  <si>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</si>
  <si>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</si>
  <si>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</si>
  <si>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</si>
  <si>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</si>
  <si>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</si>
  <si>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</si>
  <si>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</si>
  <si>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</si>
  <si>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</si>
  <si>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</si>
  <si>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</si>
  <si>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</si>
  <si>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</si>
  <si>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</si>
  <si>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</si>
  <si>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</si>
  <si>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</si>
  <si>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</si>
  <si>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</si>
  <si>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</si>
  <si>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</si>
  <si>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</si>
  <si>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</si>
  <si>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</si>
  <si>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</si>
  <si>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</si>
  <si>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</si>
  <si>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</si>
  <si>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</si>
  <si>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</si>
  <si>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</si>
  <si>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</si>
  <si>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</si>
  <si>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</si>
  <si>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</si>
  <si>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</si>
  <si>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</si>
  <si>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</si>
  <si>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</si>
  <si>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</si>
  <si>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</si>
  <si>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</si>
  <si>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</si>
  <si>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</si>
  <si>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</si>
  <si>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</si>
  <si>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</si>
  <si>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</si>
  <si>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</si>
  <si>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</si>
  <si>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</si>
  <si>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</si>
  <si>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</si>
  <si>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</si>
  <si>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</si>
  <si>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</si>
  <si>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</si>
  <si>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</si>
  <si>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</si>
  <si>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</si>
  <si>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</si>
  <si>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</si>
  <si>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</si>
  <si>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</si>
  <si>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</si>
  <si>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</si>
  <si>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</si>
  <si>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</si>
  <si>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</si>
  <si>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</si>
  <si>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</si>
  <si>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</si>
  <si>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</si>
  <si>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</si>
  <si>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</si>
  <si>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</si>
  <si>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</si>
  <si>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</si>
  <si>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</si>
  <si>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</si>
  <si>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</si>
  <si>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</si>
  <si>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</si>
  <si>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</si>
  <si>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</si>
  <si>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</si>
  <si>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</si>
  <si>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</si>
  <si>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</si>
  <si>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</si>
  <si>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</si>
  <si>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</si>
  <si>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</si>
  <si>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</si>
  <si>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</si>
  <si>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</si>
  <si>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</si>
  <si>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</si>
  <si>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</si>
  <si>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</si>
  <si>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</si>
  <si>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</si>
  <si>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</si>
  <si>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</si>
  <si>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</si>
  <si>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</si>
  <si>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</si>
  <si>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</si>
  <si>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</si>
  <si>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</si>
  <si>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</si>
  <si>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</si>
  <si>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</si>
  <si>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</si>
  <si>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</si>
  <si>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</si>
  <si>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</si>
  <si>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</si>
  <si>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</si>
  <si>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</si>
  <si>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</si>
  <si>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</si>
  <si>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</si>
  <si>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</si>
  <si>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</si>
  <si>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</si>
  <si>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</si>
  <si>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</si>
  <si>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</si>
  <si>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</si>
  <si>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</si>
  <si>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</si>
  <si>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</si>
  <si>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</si>
  <si>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</si>
  <si>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</si>
  <si>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</si>
  <si>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</si>
  <si>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</si>
  <si>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</si>
  <si>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</si>
  <si>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</si>
  <si>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</si>
  <si>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</si>
  <si>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</si>
  <si>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</si>
  <si>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</si>
  <si>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</si>
  <si>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</si>
  <si>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</si>
  <si>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</si>
  <si>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</si>
  <si>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</si>
  <si>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</si>
  <si>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</si>
  <si>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</si>
  <si>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</si>
  <si>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</si>
  <si>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</si>
  <si>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</si>
  <si>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</si>
  <si>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</si>
  <si>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</si>
  <si>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</si>
  <si>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</si>
  <si>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</si>
  <si>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</si>
  <si>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</si>
  <si>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</si>
  <si>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</si>
  <si>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</si>
  <si>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</si>
  <si>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</si>
  <si>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</si>
  <si>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</si>
  <si>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</si>
  <si>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</si>
  <si>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</si>
  <si>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</si>
  <si>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</si>
  <si>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</si>
  <si>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</si>
  <si>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</si>
  <si>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</si>
  <si>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</si>
  <si>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</si>
  <si>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</si>
  <si>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</si>
  <si>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</si>
  <si>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</si>
  <si>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</si>
  <si>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</si>
  <si>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</si>
  <si>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</si>
  <si>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</si>
  <si>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</si>
  <si>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</si>
  <si>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</si>
  <si>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</si>
  <si>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</si>
  <si>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</si>
  <si>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</si>
  <si>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</si>
  <si>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</si>
  <si>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</si>
  <si>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</si>
  <si>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</si>
  <si>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</si>
  <si>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</si>
  <si>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</si>
  <si>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</si>
  <si>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</si>
  <si>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</si>
  <si>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</si>
  <si>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</si>
  <si>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</si>
  <si>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</si>
  <si>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</si>
  <si>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</si>
  <si>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</si>
  <si>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</si>
  <si>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</si>
  <si>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</si>
  <si>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</si>
  <si>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</si>
  <si>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</si>
  <si>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</si>
  <si>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</si>
  <si>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</si>
  <si>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</si>
  <si>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</si>
  <si>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</si>
  <si>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</si>
  <si>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</si>
  <si>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</si>
  <si>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</si>
  <si>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</si>
  <si>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</si>
  <si>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</si>
  <si>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</si>
  <si>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</si>
  <si>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</si>
  <si>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</si>
  <si>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</si>
  <si>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</si>
  <si>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</si>
  <si>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</si>
  <si>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</si>
  <si>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</si>
  <si>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</si>
  <si>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</si>
  <si>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</si>
  <si>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</si>
  <si>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</si>
  <si>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</si>
  <si>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</si>
  <si>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</si>
  <si>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</si>
  <si>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</si>
  <si>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</si>
  <si>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</si>
  <si>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</si>
  <si>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</si>
  <si>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</si>
  <si>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</si>
  <si>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</si>
  <si>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</si>
  <si>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</si>
  <si>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</si>
  <si>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</si>
  <si>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</si>
  <si>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</si>
  <si>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</si>
  <si>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</si>
  <si>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</si>
  <si>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</si>
  <si>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</si>
  <si>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</si>
  <si>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</si>
  <si>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</si>
  <si>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</si>
  <si>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</si>
  <si>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</si>
  <si>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</si>
  <si>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</si>
  <si>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</si>
  <si>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</si>
  <si>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</si>
  <si>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</si>
  <si>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</si>
  <si>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</si>
  <si>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</si>
  <si>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</si>
  <si>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</si>
  <si>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</si>
  <si>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</si>
  <si>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</si>
  <si>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</si>
  <si>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</si>
  <si>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</si>
  <si>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</si>
  <si>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</si>
  <si>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</si>
  <si>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</si>
  <si>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</si>
  <si>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</si>
  <si>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</si>
  <si>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</si>
  <si>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</si>
  <si>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</si>
  <si>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</si>
  <si>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</si>
  <si>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</si>
  <si>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</si>
  <si>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</si>
  <si>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</si>
  <si>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</si>
  <si>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</si>
  <si>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</si>
  <si>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</si>
  <si>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</si>
  <si>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</si>
  <si>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</si>
  <si>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</si>
  <si>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</si>
  <si>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</si>
  <si>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</si>
  <si>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</si>
  <si>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</si>
  <si>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</si>
  <si>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</si>
  <si>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</si>
  <si>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</si>
  <si>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</si>
  <si>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</si>
  <si>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</si>
  <si>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</si>
  <si>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</si>
  <si>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</si>
  <si>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</si>
  <si>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</si>
  <si>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</si>
  <si>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</si>
  <si>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</si>
  <si>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</si>
  <si>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</si>
  <si>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</si>
  <si>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</si>
  <si>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</si>
  <si>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</si>
  <si>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</si>
  <si>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</si>
  <si>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</si>
  <si>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</si>
  <si>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</si>
  <si>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</si>
  <si>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</si>
  <si>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</si>
  <si>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</si>
  <si>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</si>
  <si>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</si>
  <si>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</si>
  <si>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</si>
  <si>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</si>
  <si>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</si>
  <si>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</si>
  <si>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</si>
  <si>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</si>
  <si>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</si>
  <si>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</si>
  <si>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</si>
  <si>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</si>
  <si>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</si>
  <si>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</si>
  <si>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</si>
  <si>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</si>
  <si>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</si>
  <si>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</si>
  <si>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</si>
  <si>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</si>
  <si>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</si>
  <si>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</si>
  <si>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</si>
  <si>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</si>
  <si>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</si>
  <si>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</si>
  <si>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</si>
  <si>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</si>
  <si>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</si>
  <si>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t>Kör Compliant Kubernetes som en managerad tjänst. Safespring Compute tillkommer.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</si>
  <si>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</si>
  <si>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</si>
  <si>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</si>
  <si>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</si>
  <si>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</si>
  <si>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</si>
  <si>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</si>
  <si>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</si>
  <si>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</si>
  <si>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</si>
  <si>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</si>
  <si>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</si>
  <si>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</si>
  <si>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</si>
  <si>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</si>
  <si>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</si>
  <si>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</si>
  <si>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</si>
  <si>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</si>
  <si>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</si>
  <si>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</si>
  <si>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</si>
  <si>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</si>
  <si>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</si>
  <si>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</si>
  <si>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</si>
  <si>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</si>
  <si>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</si>
  <si>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</si>
  <si>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</si>
  <si>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</si>
  <si>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</si>
  <si>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</si>
  <si>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</si>
  <si>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</si>
  <si>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</si>
  <si>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</si>
  <si>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</si>
  <si>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</si>
  <si>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</si>
  <si>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</si>
  <si>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</si>
  <si>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</si>
  <si>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</si>
  <si>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</si>
  <si>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</si>
  <si>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</si>
  <si>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</si>
  <si>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</si>
  <si>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</si>
  <si>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</si>
  <si>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</si>
  <si>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</si>
  <si>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</si>
  <si>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</si>
  <si>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</si>
  <si>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</si>
  <si>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stackn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</si>
  <si>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</si>
  <si>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</si>
  <si>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</si>
  <si>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</si>
  <si>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</si>
  <si>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</si>
  <si>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</si>
  <si>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</si>
  <si>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</si>
  <si>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</si>
  <si>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</si>
  <si>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</si>
  <si>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</si>
  <si>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</si>
  <si>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</si>
  <si>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</si>
  <si>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</si>
  <si>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</si>
  <si>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</si>
  <si>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</si>
  <si>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</si>
  <si>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</si>
  <si>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</si>
  <si>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</si>
  <si>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</si>
  <si>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</si>
  <si>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</si>
  <si>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</si>
  <si>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</si>
  <si>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</si>
  <si>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</si>
  <si>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</si>
  <si>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08:00 - 17:01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</si>
  <si>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</si>
  <si>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</si>
  <si>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</si>
  <si>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</si>
  <si>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</si>
  <si>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</si>
  <si>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</si>
  <si>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5 The support fee is charged at 3 % of the total volume with a minimum fee of 1500 SEK per month.</t>
  </si>
  <si>
    <t>Price calculator 2022-02-23</t>
  </si>
  <si>
    <t>Priskalkylator 2022-02-23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</si>
  <si>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</si>
  <si>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</si>
  <si>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</si>
  <si>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</si>
  <si>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</si>
  <si>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</si>
  <si>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</si>
  <si>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</si>
  <si>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</si>
  <si>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</si>
  <si>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</si>
  <si>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</si>
  <si>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</si>
  <si>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</si>
  <si>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</si>
  <si>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</si>
  <si>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</si>
  <si>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</si>
  <si>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</si>
  <si>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</si>
  <si>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</si>
  <si>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</si>
  <si>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</si>
  <si>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</si>
  <si>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</si>
  <si>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</si>
  <si>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</si>
  <si>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</si>
  <si>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</si>
  <si>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</si>
  <si>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</si>
  <si>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</si>
  <si>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</si>
  <si>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</si>
  <si>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</si>
  <si>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</si>
  <si>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</si>
  <si>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</si>
  <si>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</si>
  <si>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</si>
  <si>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</si>
  <si>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</si>
  <si>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</si>
  <si>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</si>
  <si>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</si>
  <si>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</si>
  <si>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</si>
  <si>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</si>
  <si>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</si>
  <si>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</si>
  <si>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</si>
  <si>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</si>
  <si>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</si>
  <si>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</si>
  <si>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</si>
  <si>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</si>
  <si>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</si>
  <si>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</si>
  <si>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Priskalkulator 23.02.2022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</si>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</sst>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555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408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409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410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660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210</v>
      </c>
      <c r="G25" s="1015" t="s">
        <v>438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9" ht="25" customHeight="1">
      <c r="B43" s="1079" t="s">
        <v>660</v>
      </c>
      <c r="C43" s="1079"/>
      <c r="D43" s="1079"/>
      <c r="E43" s="1079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449</v>
      </c>
      <c r="F44" s="14" t="s">
        <v>210</v>
      </c>
      <c r="G44" s="1015" t="s">
        <v>438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453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438</v>
      </c>
      <c r="H78" s="26"/>
      <c r="I78" s="820" t="s">
        <v>66</v>
      </c>
      <c r="J78" s="26"/>
      <c r="K78" s="674" t="s">
        <v>537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552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410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543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19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19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421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451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627</v>
      </c>
      <c r="H115" s="26"/>
      <c r="I115" s="820" t="s">
        <v>90</v>
      </c>
      <c r="J115" s="820" t="s">
        <v>460</v>
      </c>
      <c r="K115" s="674" t="s">
        <v>92</v>
      </c>
      <c r="L115" s="814"/>
      <c r="M115" s="1066" t="s">
        <v>456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457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458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459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454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421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446</v>
      </c>
      <c r="D130" s="1084"/>
      <c r="E130" s="1084" t="s">
        <v>447</v>
      </c>
      <c r="F130" s="1084"/>
      <c r="G130" s="1084" t="s">
        <v>228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545</v>
      </c>
      <c r="D131" s="1089"/>
      <c r="E131" s="1091" t="s">
        <v>445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444</v>
      </c>
      <c r="D132" s="1090"/>
      <c r="E132" s="1092" t="s">
        <v>448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234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421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390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549</v>
      </c>
      <c r="M144" s="765"/>
    </row>
    <row r="145" spans="2:18" ht="25" customHeight="1">
      <c r="B145" s="510" t="s">
        <v>208</v>
      </c>
      <c r="C145" s="25" t="s">
        <v>235</v>
      </c>
      <c r="D145" s="25"/>
      <c r="E145" s="26" t="s">
        <v>220</v>
      </c>
      <c r="F145" s="26"/>
      <c r="G145" s="26"/>
      <c r="H145" s="26"/>
      <c r="I145" s="26"/>
      <c r="J145" s="25" t="s">
        <v>236</v>
      </c>
      <c r="K145" s="674" t="s">
        <v>211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237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237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238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238</v>
      </c>
      <c r="D149" s="137"/>
      <c r="E149" s="43" t="s">
        <v>239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412</v>
      </c>
      <c r="F150" s="39"/>
      <c r="G150" s="39"/>
      <c r="H150" s="39"/>
      <c r="I150" s="39"/>
      <c r="J150" s="873" t="s">
        <v>240</v>
      </c>
      <c r="K150" s="607" t="str">
        <f>NET_mgn.slb_SEK</f>
        <v>Begär offert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241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461</v>
      </c>
      <c r="M157" s="765"/>
    </row>
    <row r="158" spans="2:18" ht="25" customHeight="1">
      <c r="B158" s="515" t="s">
        <v>208</v>
      </c>
      <c r="C158" s="25"/>
      <c r="D158" s="110"/>
      <c r="E158" s="110" t="s">
        <v>220</v>
      </c>
      <c r="F158" s="880"/>
      <c r="G158" s="880"/>
      <c r="H158" s="880"/>
      <c r="I158" s="880"/>
      <c r="J158" s="110" t="s">
        <v>236</v>
      </c>
      <c r="K158" s="976" t="s">
        <v>211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tr">
        <f>SW_stackn_SEK</f>
        <v>Begär offert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tr">
        <f>SW_nextcloud_SEK</f>
        <v>Begär offert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tr">
        <f>SW_suse_SEK</f>
        <v>Begär offert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243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462</v>
      </c>
      <c r="M171" s="765"/>
    </row>
    <row r="172" spans="2:18" ht="25" customHeight="1">
      <c r="B172" s="510" t="s">
        <v>208</v>
      </c>
      <c r="C172" s="25"/>
      <c r="D172" s="25"/>
      <c r="E172" s="25" t="s">
        <v>220</v>
      </c>
      <c r="F172" s="26"/>
      <c r="G172" s="26"/>
      <c r="H172" s="26"/>
      <c r="I172" s="26"/>
      <c r="J172" s="1015"/>
      <c r="K172" s="674" t="s">
        <v>211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tr">
        <f>PAAS_man.elasticsearch_SEK</f>
        <v>Begär offert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tr">
        <f>PAAS_man.nats_SEK</f>
        <v>Begär offert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tr">
        <f>PAAS_man.mariadb_SEK</f>
        <v>Begär offert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249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245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550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546</v>
      </c>
      <c r="M190" s="765"/>
    </row>
    <row r="191" spans="2:20" ht="25" customHeight="1">
      <c r="B191" s="510" t="s">
        <v>208</v>
      </c>
      <c r="C191" s="25"/>
      <c r="D191" s="25" t="s">
        <v>220</v>
      </c>
      <c r="E191" s="1020"/>
      <c r="F191" s="26"/>
      <c r="G191" s="1015"/>
      <c r="H191" s="1015"/>
      <c r="I191" s="25" t="s">
        <v>236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540</v>
      </c>
      <c r="L193" s="835"/>
      <c r="M193" s="988" t="s">
        <v>553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51" t="s">
        <v>249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251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547</v>
      </c>
      <c r="M198" s="765"/>
    </row>
    <row r="199" spans="2:18" ht="25" customHeight="1">
      <c r="B199" s="510" t="s">
        <v>208</v>
      </c>
      <c r="C199" s="25"/>
      <c r="D199" s="25" t="s">
        <v>220</v>
      </c>
      <c r="E199" s="1020"/>
      <c r="F199" s="26"/>
      <c r="G199" s="1015"/>
      <c r="H199" s="1015"/>
      <c r="I199" s="25" t="s">
        <v>236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548</v>
      </c>
      <c r="M209" s="765"/>
    </row>
    <row r="210" spans="1:18" ht="25" customHeight="1">
      <c r="B210" s="510" t="s">
        <v>208</v>
      </c>
      <c r="C210" s="25"/>
      <c r="D210" s="25" t="s">
        <v>220</v>
      </c>
      <c r="E210" s="1020"/>
      <c r="F210" s="26"/>
      <c r="G210" s="25" t="s">
        <v>253</v>
      </c>
      <c r="H210" s="25"/>
      <c r="I210" s="25" t="s">
        <v>236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256</v>
      </c>
      <c r="J211" s="873"/>
      <c r="K211" s="651" t="s">
        <v>249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256</v>
      </c>
      <c r="J212" s="876"/>
      <c r="K212" s="1021" t="s">
        <v>249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259</v>
      </c>
      <c r="H213" s="873"/>
      <c r="I213" s="873" t="s">
        <v>256</v>
      </c>
      <c r="J213" s="873"/>
      <c r="K213" s="651" t="s">
        <v>249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259</v>
      </c>
      <c r="H214" s="876"/>
      <c r="I214" s="876" t="s">
        <v>256</v>
      </c>
      <c r="J214" s="876"/>
      <c r="K214" s="1021" t="s">
        <v>249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261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421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535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202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261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managerad tjänst - support vardagar 08:00-17:00",IF(J131=2,"Fullt managerad tjänst - support dygnet runt, alla dagar",""))</f>
        <v>Fullt managerad tjänst - support dygnet runt, alla dagar</v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qFgJk5ZEJKUpyY7I0kHQY/bE1ab9m88ccpHaZlnUj3FZowOtmG8qwArOBm5KxlVlXidkhOLt5sKqZhEpb+mBqw==" saltValue="igIthvNtsPtjjcY1LXcbrw==" spinCount="100000" sheet="1" objects="1" scenarios="1" selectLockedCells="1"/>
  <mergeCells count="44"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H100:I100"/>
    <mergeCell ref="H98:I98"/>
    <mergeCell ref="B4:C4"/>
    <mergeCell ref="B15:G17"/>
    <mergeCell ref="B19:F19"/>
    <mergeCell ref="B85:G87"/>
    <mergeCell ref="F98:G98"/>
    <mergeCell ref="D98:E98"/>
    <mergeCell ref="D100:E100"/>
    <mergeCell ref="F100:G100"/>
    <mergeCell ref="B24:E24"/>
    <mergeCell ref="B43:E43"/>
    <mergeCell ref="B58:E58"/>
    <mergeCell ref="B68:E68"/>
    <mergeCell ref="B221:G223"/>
    <mergeCell ref="B224:F224"/>
    <mergeCell ref="B137:G139"/>
    <mergeCell ref="B141:F141"/>
    <mergeCell ref="B183:G185"/>
    <mergeCell ref="B186:F186"/>
    <mergeCell ref="B187:F187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8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664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556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565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557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4" t="s">
        <v>655</v>
      </c>
      <c r="C24" s="1094"/>
      <c r="D24" s="1094"/>
      <c r="E24" s="1094"/>
      <c r="F24" s="1094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559</v>
      </c>
      <c r="F25" s="1015" t="s">
        <v>13</v>
      </c>
      <c r="G25" s="1015" t="s">
        <v>560</v>
      </c>
      <c r="H25" s="766"/>
      <c r="I25" s="767" t="s">
        <v>561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611</v>
      </c>
      <c r="C42" s="717"/>
      <c r="D42" s="717"/>
      <c r="I42" s="788"/>
      <c r="J42" s="788"/>
      <c r="K42" s="959"/>
      <c r="M42" s="790"/>
    </row>
    <row r="43" spans="2:18" ht="25" customHeight="1">
      <c r="B43" s="1094" t="s">
        <v>655</v>
      </c>
      <c r="C43" s="1094"/>
      <c r="D43" s="1094"/>
      <c r="E43" s="1094"/>
      <c r="F43" s="1094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559</v>
      </c>
      <c r="F44" s="1015" t="s">
        <v>13</v>
      </c>
      <c r="G44" s="1015" t="s">
        <v>560</v>
      </c>
      <c r="H44" s="766"/>
      <c r="I44" s="767" t="s">
        <v>561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541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541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562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558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560</v>
      </c>
      <c r="H78" s="26"/>
      <c r="I78" s="820" t="s">
        <v>568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0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0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0" s="6" customFormat="1" ht="25" customHeight="1">
      <c r="B88" s="1012" t="s">
        <v>563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564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565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566</v>
      </c>
      <c r="H92" s="26"/>
      <c r="I92" s="820" t="s">
        <v>567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565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569</v>
      </c>
      <c r="F115" s="870"/>
      <c r="G115" s="1015" t="s">
        <v>570</v>
      </c>
      <c r="H115" s="26"/>
      <c r="I115" s="820" t="s">
        <v>568</v>
      </c>
      <c r="J115" s="820" t="s">
        <v>571</v>
      </c>
      <c r="K115" s="674" t="s">
        <v>612</v>
      </c>
      <c r="L115" s="814"/>
      <c r="M115" s="1066" t="s">
        <v>572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573</v>
      </c>
      <c r="O116" s="10"/>
    </row>
    <row r="117" spans="1:32" ht="25" customHeight="1">
      <c r="A117" s="722"/>
      <c r="B117" s="144" t="s">
        <v>498</v>
      </c>
      <c r="C117" s="862"/>
      <c r="D117" s="862"/>
      <c r="E117" s="1050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574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1051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575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576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565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84" t="s">
        <v>577</v>
      </c>
      <c r="D130" s="1084"/>
      <c r="E130" s="1084" t="s">
        <v>578</v>
      </c>
      <c r="F130" s="1084"/>
      <c r="G130" s="1093" t="s">
        <v>569</v>
      </c>
      <c r="H130" s="1093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581</v>
      </c>
      <c r="F131" s="1091"/>
      <c r="G131" s="1048">
        <f>PAAS_man.kubernetes_EUR</f>
        <v>2352</v>
      </c>
      <c r="H131" s="1046"/>
      <c r="I131" s="845"/>
      <c r="J131" s="1069">
        <v>2</v>
      </c>
      <c r="K131" s="1044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579</v>
      </c>
      <c r="D132" s="1090"/>
      <c r="E132" s="1092" t="s">
        <v>580</v>
      </c>
      <c r="F132" s="1092"/>
      <c r="G132" s="1049">
        <f>PAAS_man.kubernetes8_EUR</f>
        <v>1470</v>
      </c>
      <c r="H132" s="1047"/>
      <c r="I132" s="849"/>
      <c r="J132" s="832"/>
      <c r="K132" s="1045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8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100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583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584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585</v>
      </c>
      <c r="K146" s="1052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3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2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111</v>
      </c>
      <c r="D149" s="137"/>
      <c r="E149" s="43" t="s">
        <v>587</v>
      </c>
      <c r="F149" s="874"/>
      <c r="G149" s="874"/>
      <c r="H149" s="874"/>
      <c r="I149" s="874"/>
      <c r="J149" s="876" t="s">
        <v>69</v>
      </c>
      <c r="K149" s="1053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586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3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2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589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584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1042" t="str">
        <f>SW_stackn_EUR</f>
        <v>Request a quote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1054" t="str">
        <f>SW_nextcloud_EUR</f>
        <v>Request a quote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1042" t="str">
        <f>SW_suse_EUR</f>
        <v>Request a quote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1054" t="str">
        <f>SW_cluster.control_EUR</f>
        <v>3x instance price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140</v>
      </c>
      <c r="K166" s="1032">
        <f>SW_backup.ninja_EUR</f>
        <v>39.200000000000003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139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590</v>
      </c>
      <c r="M171" s="765"/>
    </row>
    <row r="172" spans="2:18" ht="25" customHeight="1">
      <c r="B172" s="510" t="s">
        <v>9</v>
      </c>
      <c r="C172" s="25"/>
      <c r="D172" s="25"/>
      <c r="E172" s="26" t="s">
        <v>64</v>
      </c>
      <c r="F172" s="26"/>
      <c r="G172" s="26"/>
      <c r="H172" s="26"/>
      <c r="I172" s="26"/>
      <c r="J172" s="1015"/>
      <c r="K172" s="674" t="s">
        <v>14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1055">
        <f>PAAS_man.kubernetes_EUR</f>
        <v>2352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1032">
        <f>PAAS_man.postgres.sql_EUR</f>
        <v>1470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1031" t="str">
        <f>PAAS_man.elasticsearch_EUR</f>
        <v>Requests for quotation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591</v>
      </c>
      <c r="F176" s="874"/>
      <c r="G176" s="874"/>
      <c r="H176" s="874"/>
      <c r="I176" s="874"/>
      <c r="J176" s="883"/>
      <c r="K176" s="1032">
        <f>PAAS_openshift_EUR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1031" t="str">
        <f>PAAS_man.nats_EUR</f>
        <v>Requests for quotation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1032" t="str">
        <f>PAAS_man.mariadb_EUR</f>
        <v>Requests for quotation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1031" t="str">
        <f>PAAS_man.redis_EUR</f>
        <v>Requests for quotation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592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593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594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595</v>
      </c>
      <c r="M190" s="765"/>
    </row>
    <row r="191" spans="2:20" ht="25" customHeight="1">
      <c r="B191" s="510" t="s">
        <v>9</v>
      </c>
      <c r="C191" s="25"/>
      <c r="D191" s="26" t="s">
        <v>64</v>
      </c>
      <c r="E191" s="26"/>
      <c r="F191" s="880"/>
      <c r="G191" s="880"/>
      <c r="H191" s="880"/>
      <c r="I191" s="25" t="s">
        <v>584</v>
      </c>
      <c r="J191" s="25"/>
      <c r="K191" s="674" t="s">
        <v>14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596</v>
      </c>
      <c r="E192" s="42"/>
      <c r="F192" s="32"/>
      <c r="G192" s="42"/>
      <c r="H192" s="42"/>
      <c r="I192" s="878" t="s">
        <v>613</v>
      </c>
      <c r="J192" s="878"/>
      <c r="K192" s="1056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157</v>
      </c>
      <c r="J193" s="876"/>
      <c r="K193" s="1021" t="s">
        <v>597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161</v>
      </c>
      <c r="J194" s="873"/>
      <c r="K194" s="651" t="s">
        <v>599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600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601</v>
      </c>
      <c r="M198" s="765"/>
    </row>
    <row r="199" spans="2:18" ht="25" customHeight="1">
      <c r="B199" s="510" t="s">
        <v>9</v>
      </c>
      <c r="C199" s="25"/>
      <c r="D199" s="26" t="s">
        <v>64</v>
      </c>
      <c r="E199" s="26"/>
      <c r="F199" s="880"/>
      <c r="G199" s="880"/>
      <c r="H199" s="880"/>
      <c r="I199" s="25" t="s">
        <v>584</v>
      </c>
      <c r="J199" s="25"/>
      <c r="K199" s="674" t="s">
        <v>14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161</v>
      </c>
      <c r="J200" s="873"/>
      <c r="K200" s="1056">
        <f>PS_consult.jun_EUR</f>
        <v>110.446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161</v>
      </c>
      <c r="J201" s="876"/>
      <c r="K201" s="1057">
        <f>PS_consult.sen_EUR</f>
        <v>134.65200000000002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161</v>
      </c>
      <c r="J202" s="873"/>
      <c r="K202" s="1056">
        <f>PS_cloudarch.jun_EUR</f>
        <v>125.146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161</v>
      </c>
      <c r="J203" s="876"/>
      <c r="K203" s="1057">
        <f>PS_cloudarch.sen_EUR</f>
        <v>134.65200000000002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161</v>
      </c>
      <c r="J204" s="873"/>
      <c r="K204" s="1056">
        <f>PS_pm.jun_EUR</f>
        <v>111.622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161</v>
      </c>
      <c r="J205" s="876"/>
      <c r="K205" s="1057">
        <f>PS_pm.sen_EUR</f>
        <v>134.65200000000002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602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603</v>
      </c>
      <c r="M209" s="765"/>
    </row>
    <row r="210" spans="1:18" ht="25" customHeight="1">
      <c r="B210" s="510" t="s">
        <v>9</v>
      </c>
      <c r="C210" s="25"/>
      <c r="D210" s="26" t="s">
        <v>64</v>
      </c>
      <c r="E210" s="1020"/>
      <c r="F210" s="26"/>
      <c r="G210" s="1015" t="s">
        <v>178</v>
      </c>
      <c r="H210" s="25"/>
      <c r="I210" s="1020" t="s">
        <v>584</v>
      </c>
      <c r="J210" s="25"/>
      <c r="K210" s="674" t="s">
        <v>179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182</v>
      </c>
      <c r="E211" s="42"/>
      <c r="F211" s="32"/>
      <c r="G211" s="42" t="s">
        <v>181</v>
      </c>
      <c r="H211" s="873"/>
      <c r="I211" s="1058" t="s">
        <v>183</v>
      </c>
      <c r="J211" s="873"/>
      <c r="K211" s="651" t="s">
        <v>599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604</v>
      </c>
      <c r="E212" s="33"/>
      <c r="F212" s="874"/>
      <c r="G212" s="883" t="s">
        <v>181</v>
      </c>
      <c r="H212" s="876"/>
      <c r="I212" s="1059" t="s">
        <v>183</v>
      </c>
      <c r="J212" s="876"/>
      <c r="K212" s="1021" t="s">
        <v>599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605</v>
      </c>
      <c r="E213" s="42"/>
      <c r="F213" s="32"/>
      <c r="G213" s="42" t="s">
        <v>187</v>
      </c>
      <c r="H213" s="873"/>
      <c r="I213" s="1058" t="s">
        <v>183</v>
      </c>
      <c r="J213" s="873"/>
      <c r="K213" s="651" t="s">
        <v>599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606</v>
      </c>
      <c r="E214" s="33"/>
      <c r="F214" s="874"/>
      <c r="G214" s="883" t="s">
        <v>187</v>
      </c>
      <c r="H214" s="876"/>
      <c r="I214" s="1059" t="s">
        <v>183</v>
      </c>
      <c r="J214" s="876"/>
      <c r="K214" s="1021" t="s">
        <v>599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191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594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608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609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610</v>
      </c>
      <c r="C230" s="58"/>
      <c r="D230" s="59"/>
      <c r="E230" s="58"/>
      <c r="F230" s="732"/>
      <c r="G230" s="732"/>
      <c r="H230" s="732"/>
      <c r="I230" s="58"/>
      <c r="J230" s="732" t="s">
        <v>607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1060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1061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1061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IF(J131=1,"Fully managed service - support weekdays 08: 00-17: 00",IF(J131=3,"Fully managed service - support around the clock, every day",""))</f>
        <v/>
      </c>
      <c r="D234" s="35"/>
      <c r="E234" s="36"/>
      <c r="F234" s="37"/>
      <c r="G234" s="911"/>
      <c r="H234" s="911"/>
      <c r="I234" s="853"/>
      <c r="J234" s="1043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30</v>
      </c>
      <c r="C235" s="726"/>
      <c r="D235" s="727"/>
      <c r="E235" s="727"/>
      <c r="F235" s="915"/>
      <c r="G235" s="916"/>
      <c r="H235" s="916"/>
      <c r="I235" s="917"/>
      <c r="J235" s="1062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ATXPW5uEt3FV5tjXsr7j4Pgec0FFYTk2Io1CxxHywoZb7VdsTvIXKhLG4GDp4PK9JU8SjZ1v8xWVpGWrAKpemw==" saltValue="IK0ZlzYe4KhJ2xd9BAjO4g==" spinCount="100000" sheet="1" objects="1" scenarios="1" selectLockedCells="1"/>
  <mergeCells count="41"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  <mergeCell ref="D101:E101"/>
    <mergeCell ref="F101:G101"/>
    <mergeCell ref="H101:I101"/>
    <mergeCell ref="D102:E102"/>
    <mergeCell ref="F102:G102"/>
    <mergeCell ref="H102:I102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</mergeCells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50" t="str">
        <f>"1 SEK = "&amp;EUR&amp;" EUR"</f>
        <v>1 SEK = 0,098 EUR</v>
      </c>
      <c r="E11" s="1150"/>
      <c r="F11" s="1150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140"/>
      <c r="C16" s="1140"/>
      <c r="D16" s="1140"/>
      <c r="E16" s="1140"/>
      <c r="F16" s="1140"/>
      <c r="G16" s="1140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140"/>
      <c r="C17" s="1140"/>
      <c r="D17" s="1140"/>
      <c r="E17" s="1140"/>
      <c r="F17" s="1140"/>
      <c r="G17" s="1140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47" t="s">
        <v>6</v>
      </c>
      <c r="C19" s="1147"/>
      <c r="D19" s="1147"/>
      <c r="E19" s="1147"/>
      <c r="F19" s="1147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407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420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398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399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420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49" t="s">
        <v>65</v>
      </c>
      <c r="G88" s="1149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3">
        <f>VOLUME_large_EUR</f>
        <v>0.1176</v>
      </c>
      <c r="G89" s="1123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618"/>
      <c r="O95" s="191"/>
    </row>
    <row r="96" spans="2:23" s="187" customFormat="1" ht="2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618"/>
      <c r="O96" s="191"/>
    </row>
    <row r="97" spans="2:22" s="187" customFormat="1" ht="2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47" t="s">
        <v>74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49" t="s">
        <v>76</v>
      </c>
      <c r="E102" s="1149"/>
      <c r="F102" s="1149"/>
      <c r="G102" s="1149"/>
      <c r="H102" s="285" t="s">
        <v>75</v>
      </c>
      <c r="I102" s="284"/>
      <c r="J102" s="1149"/>
      <c r="K102" s="1149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430</v>
      </c>
      <c r="D104" s="1143">
        <f>S3_storage.50_EUR</f>
        <v>34.300000000000004</v>
      </c>
      <c r="E104" s="1143"/>
      <c r="F104" s="1144"/>
      <c r="G104" s="1144"/>
      <c r="H104" s="1144"/>
      <c r="I104" s="1144"/>
      <c r="J104" s="1144"/>
      <c r="K104" s="1144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431</v>
      </c>
      <c r="D105" s="1152">
        <f>S3_storage.100_EUR</f>
        <v>26.46</v>
      </c>
      <c r="E105" s="1152"/>
      <c r="F105" s="1095"/>
      <c r="G105" s="1095"/>
      <c r="H105" s="1095"/>
      <c r="I105" s="1095"/>
      <c r="J105" s="1095"/>
      <c r="K105" s="1095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432</v>
      </c>
      <c r="D106" s="1153">
        <f>S3_storage.500_EUR</f>
        <v>19.600000000000001</v>
      </c>
      <c r="E106" s="1153"/>
      <c r="F106" s="1104"/>
      <c r="G106" s="1104"/>
      <c r="H106" s="1104"/>
      <c r="I106" s="1104"/>
      <c r="J106" s="1104"/>
      <c r="K106" s="110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433</v>
      </c>
      <c r="D107" s="1152">
        <f>S3_storage.1000_EUR</f>
        <v>18.13</v>
      </c>
      <c r="E107" s="1152"/>
      <c r="F107" s="1095"/>
      <c r="G107" s="1095"/>
      <c r="H107" s="1095"/>
      <c r="I107" s="1095"/>
      <c r="J107" s="1095"/>
      <c r="K107" s="1095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434</v>
      </c>
      <c r="D108" s="1096" t="str">
        <f>S3_storage.quote_EUR</f>
        <v>Request a quote</v>
      </c>
      <c r="E108" s="1096"/>
      <c r="F108" s="1105"/>
      <c r="G108" s="1105"/>
      <c r="H108" s="1105"/>
      <c r="I108" s="1105"/>
      <c r="J108" s="1105"/>
      <c r="K108" s="1105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402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51" t="s">
        <v>76</v>
      </c>
      <c r="E111" s="1151"/>
      <c r="F111" s="1149"/>
      <c r="G111" s="1149"/>
      <c r="H111" s="285" t="s">
        <v>75</v>
      </c>
      <c r="I111" s="285"/>
      <c r="J111" s="1149"/>
      <c r="K111" s="1149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424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424</v>
      </c>
      <c r="C113" s="666" t="s">
        <v>430</v>
      </c>
      <c r="D113" s="1143">
        <f>S3_archive.50_EUR</f>
        <v>34.300000000000004</v>
      </c>
      <c r="E113" s="1143"/>
      <c r="F113" s="1144"/>
      <c r="G113" s="1144"/>
      <c r="H113" s="1144"/>
      <c r="I113" s="1144"/>
      <c r="J113" s="1144"/>
      <c r="K113" s="1144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424</v>
      </c>
      <c r="C114" s="678" t="s">
        <v>431</v>
      </c>
      <c r="D114" s="1152">
        <f>S3_archive.100_EUR</f>
        <v>26.46</v>
      </c>
      <c r="E114" s="1152"/>
      <c r="F114" s="1095"/>
      <c r="G114" s="1095"/>
      <c r="H114" s="1095"/>
      <c r="I114" s="1095"/>
      <c r="J114" s="1095"/>
      <c r="K114" s="1095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424</v>
      </c>
      <c r="C115" s="666" t="s">
        <v>432</v>
      </c>
      <c r="D115" s="1153">
        <f>S3_archive.500_EUR</f>
        <v>19.600000000000001</v>
      </c>
      <c r="E115" s="1153"/>
      <c r="F115" s="1104"/>
      <c r="G115" s="1104"/>
      <c r="H115" s="1104"/>
      <c r="I115" s="1104"/>
      <c r="J115" s="1104"/>
      <c r="K115" s="110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424</v>
      </c>
      <c r="C116" s="678" t="s">
        <v>433</v>
      </c>
      <c r="D116" s="1152">
        <f>S3_archive.1000_EUR</f>
        <v>18.13</v>
      </c>
      <c r="E116" s="1152"/>
      <c r="F116" s="1095"/>
      <c r="G116" s="1095"/>
      <c r="H116" s="1095"/>
      <c r="I116" s="1095"/>
      <c r="J116" s="1095"/>
      <c r="K116" s="1095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424</v>
      </c>
      <c r="C117" s="670" t="s">
        <v>434</v>
      </c>
      <c r="D117" s="1096" t="str">
        <f>S3_archive.quote_EUR</f>
        <v>Request a quote</v>
      </c>
      <c r="E117" s="1096"/>
      <c r="F117" s="1105"/>
      <c r="G117" s="1105"/>
      <c r="H117" s="1105"/>
      <c r="I117" s="1105"/>
      <c r="J117" s="1105"/>
      <c r="K117" s="1105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402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140" t="s">
        <v>86</v>
      </c>
      <c r="C122" s="1140"/>
      <c r="D122" s="1140"/>
      <c r="E122" s="1140"/>
      <c r="F122" s="1140"/>
      <c r="G122" s="1140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140"/>
      <c r="C123" s="1140"/>
      <c r="D123" s="1140"/>
      <c r="E123" s="1140"/>
      <c r="F123" s="1140"/>
      <c r="G123" s="1140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140"/>
      <c r="C124" s="1140"/>
      <c r="D124" s="1140"/>
      <c r="E124" s="1140"/>
      <c r="F124" s="1140"/>
      <c r="G124" s="1140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55" t="s">
        <v>87</v>
      </c>
      <c r="C125" s="1155"/>
      <c r="D125" s="1155"/>
      <c r="E125" s="1155"/>
      <c r="F125" s="1155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141" t="s">
        <v>6</v>
      </c>
      <c r="C126" s="1141"/>
      <c r="D126" s="1141"/>
      <c r="E126" s="1141"/>
      <c r="F126" s="1141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49" t="s">
        <v>89</v>
      </c>
      <c r="G129" s="1149"/>
      <c r="H129" s="285" t="s">
        <v>90</v>
      </c>
      <c r="I129" s="284"/>
      <c r="J129" s="1124" t="s">
        <v>91</v>
      </c>
      <c r="K129" s="1124"/>
      <c r="L129" s="581"/>
      <c r="M129" s="628" t="s">
        <v>92</v>
      </c>
      <c r="N129" s="271"/>
      <c r="O129" s="205"/>
    </row>
    <row r="130" spans="1:34" ht="25" customHeight="1">
      <c r="A130" s="328"/>
      <c r="B130" s="1126" t="s">
        <v>93</v>
      </c>
      <c r="C130" s="1126"/>
      <c r="D130" s="507" t="s">
        <v>94</v>
      </c>
      <c r="E130" s="31"/>
      <c r="F130" s="1127">
        <f>BAAS_on.demand_EUR</f>
        <v>0.24010000000000004</v>
      </c>
      <c r="G130" s="1128"/>
      <c r="H130" s="329">
        <v>0</v>
      </c>
      <c r="I130" s="291" t="s">
        <v>69</v>
      </c>
      <c r="J130" s="1129" t="s">
        <v>94</v>
      </c>
      <c r="K130" s="1129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0" t="s">
        <v>95</v>
      </c>
      <c r="C131" s="1130"/>
      <c r="D131" s="508">
        <f>BAAS_small.fee_EUR</f>
        <v>539</v>
      </c>
      <c r="E131" s="34"/>
      <c r="F131" s="1131">
        <f>BAAS_small_EUR</f>
        <v>0.17150000000000001</v>
      </c>
      <c r="G131" s="1132"/>
      <c r="H131" s="331">
        <v>0</v>
      </c>
      <c r="I131" s="295" t="s">
        <v>69</v>
      </c>
      <c r="J131" s="1133">
        <v>0.75</v>
      </c>
      <c r="K131" s="1134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35" t="s">
        <v>96</v>
      </c>
      <c r="C132" s="1135"/>
      <c r="D132" s="509">
        <f>BAAS_large.fee_EUR</f>
        <v>931</v>
      </c>
      <c r="E132" s="37"/>
      <c r="F132" s="1136">
        <f>BAAS_large_EUR</f>
        <v>9.0160000000000004E-2</v>
      </c>
      <c r="G132" s="1137"/>
      <c r="H132" s="318">
        <v>0</v>
      </c>
      <c r="I132" s="319" t="s">
        <v>69</v>
      </c>
      <c r="J132" s="1138">
        <v>0.75</v>
      </c>
      <c r="K132" s="1139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402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42" t="s">
        <v>97</v>
      </c>
      <c r="C135" s="1142"/>
      <c r="D135" s="1142"/>
      <c r="E135" s="1142"/>
      <c r="F135" s="1142"/>
      <c r="G135" s="1142"/>
      <c r="H135" s="1142"/>
      <c r="I135" s="1142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42" t="s">
        <v>98</v>
      </c>
      <c r="C136" s="1142"/>
      <c r="D136" s="1142"/>
      <c r="E136" s="1142"/>
      <c r="F136" s="1142"/>
      <c r="G136" s="1142"/>
      <c r="H136" s="1142"/>
      <c r="I136" s="1142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42" t="s">
        <v>99</v>
      </c>
      <c r="C137" s="1142"/>
      <c r="D137" s="1142"/>
      <c r="E137" s="1142"/>
      <c r="F137" s="1142"/>
      <c r="G137" s="1142"/>
      <c r="H137" s="1142"/>
      <c r="I137" s="1142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42" t="s">
        <v>419</v>
      </c>
      <c r="C138" s="1142"/>
      <c r="D138" s="1142"/>
      <c r="E138" s="1142"/>
      <c r="F138" s="1142"/>
      <c r="G138" s="1142"/>
      <c r="H138" s="1142"/>
      <c r="I138" s="1142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140" t="s">
        <v>100</v>
      </c>
      <c r="C143" s="1140"/>
      <c r="D143" s="1140"/>
      <c r="E143" s="1140"/>
      <c r="F143" s="1140"/>
      <c r="G143" s="1140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140"/>
      <c r="C144" s="1140"/>
      <c r="D144" s="1140"/>
      <c r="E144" s="1140"/>
      <c r="F144" s="1140"/>
      <c r="G144" s="1140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140"/>
      <c r="C145" s="1140"/>
      <c r="D145" s="1140"/>
      <c r="E145" s="1140"/>
      <c r="F145" s="1140"/>
      <c r="G145" s="1140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141" t="s">
        <v>6</v>
      </c>
      <c r="C146" s="1141"/>
      <c r="D146" s="1141"/>
      <c r="E146" s="1141"/>
      <c r="F146" s="1141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125"/>
      <c r="C147" s="1125"/>
      <c r="D147" s="1125"/>
      <c r="E147" s="1125"/>
      <c r="F147" s="1125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108" t="s">
        <v>14</v>
      </c>
      <c r="M150" s="1108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120">
        <f>NET_publicv4_EUR</f>
        <v>2.4500000000000002</v>
      </c>
      <c r="M151" s="1120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21">
        <f>NET_publicv6_EUR</f>
        <v>0</v>
      </c>
      <c r="M152" s="1121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22">
        <f>NET_ingress_EUR</f>
        <v>0</v>
      </c>
      <c r="M153" s="1122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21">
        <f>NET_egress_EUR</f>
        <v>2.4500000000000001E-2</v>
      </c>
      <c r="M154" s="1121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17" t="str">
        <f>NET_mgn.slb_EUR</f>
        <v>Request a quote</v>
      </c>
      <c r="M155" s="1117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21">
        <f>NET_rdns_EUR</f>
        <v>0</v>
      </c>
      <c r="M156" s="1121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17">
        <f>NET_byoip_EUR</f>
        <v>0</v>
      </c>
      <c r="M157" s="1117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19"/>
      <c r="M158" s="1119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103"/>
      <c r="M159" s="1103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108" t="s">
        <v>14</v>
      </c>
      <c r="M160" s="1108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120">
        <f>SW_win.ser.201X_EUR</f>
        <v>7.6440000000000001</v>
      </c>
      <c r="M161" s="1120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16">
        <f>SW_win.ser.201X_EUR</f>
        <v>7.6440000000000001</v>
      </c>
      <c r="M162" s="1116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418</v>
      </c>
      <c r="F163" s="340"/>
      <c r="G163" s="341"/>
      <c r="H163" s="341"/>
      <c r="I163" s="341"/>
      <c r="J163" s="341"/>
      <c r="K163" s="342" t="s">
        <v>10</v>
      </c>
      <c r="L163" s="1117">
        <f>SW_ms.sql.ser_EUR</f>
        <v>146.804</v>
      </c>
      <c r="M163" s="1117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18" t="str">
        <f>SW_stackn_EUR</f>
        <v>Request a quote</v>
      </c>
      <c r="M164" s="1118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12" t="str">
        <f>SW_nextcloud_EUR</f>
        <v>Request a quote</v>
      </c>
      <c r="M165" s="1112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18" t="str">
        <f>SW_suse_EUR</f>
        <v>Request a quote</v>
      </c>
      <c r="M166" s="1118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12" t="str">
        <f>SW_cluster.control_EUR</f>
        <v>3x instance price</v>
      </c>
      <c r="M167" s="1112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13">
        <f>SW_backup.ninja_EUR</f>
        <v>39.200000000000003</v>
      </c>
      <c r="M168" s="1113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01"/>
      <c r="M169" s="1101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14"/>
      <c r="M170" s="1114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103"/>
      <c r="M171" s="1103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108" t="s">
        <v>14</v>
      </c>
      <c r="M172" s="1108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413</v>
      </c>
      <c r="C173" s="136"/>
      <c r="D173" s="32"/>
      <c r="E173" s="32" t="s">
        <v>415</v>
      </c>
      <c r="F173" s="340"/>
      <c r="G173" s="341"/>
      <c r="H173" s="341"/>
      <c r="I173" s="341"/>
      <c r="J173" s="341"/>
      <c r="K173" s="342"/>
      <c r="L173" s="1109">
        <f>PAAS_man.kubernetes24_EUR</f>
        <v>2352</v>
      </c>
      <c r="M173" s="1109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414</v>
      </c>
      <c r="C174" s="137"/>
      <c r="D174" s="40"/>
      <c r="E174" s="40" t="s">
        <v>416</v>
      </c>
      <c r="F174" s="343"/>
      <c r="G174" s="344"/>
      <c r="H174" s="344"/>
      <c r="I174" s="344"/>
      <c r="J174" s="344"/>
      <c r="K174" s="348"/>
      <c r="L174" s="1110">
        <f>PAAS_man.kubernetes8_EUR</f>
        <v>1470</v>
      </c>
      <c r="M174" s="1110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11" t="str">
        <f>PAAS_man.elasticsearch_EUR</f>
        <v>Requests for quotation</v>
      </c>
      <c r="M175" s="1111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10" t="str">
        <f>PAAS_man.redis_EUR</f>
        <v>Requests for quotation</v>
      </c>
      <c r="M176" s="1110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11" t="str">
        <f>PAAS_man.nats_EUR</f>
        <v>Requests for quotation</v>
      </c>
      <c r="M177" s="1111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15" t="str">
        <f>PAAS_man.mariadb_EUR</f>
        <v>Requests for quotation</v>
      </c>
      <c r="M178" s="1115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01"/>
      <c r="M179" s="1101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06"/>
      <c r="M180" s="1106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07"/>
      <c r="M181" s="1107"/>
      <c r="N181" s="201"/>
      <c r="O181" s="219"/>
      <c r="P181" s="192"/>
      <c r="Q181" s="192"/>
    </row>
    <row r="182" spans="2:19" s="187" customFormat="1" ht="25" customHeight="1">
      <c r="B182" s="1140" t="s">
        <v>151</v>
      </c>
      <c r="C182" s="1140"/>
      <c r="D182" s="1140"/>
      <c r="E182" s="1140"/>
      <c r="F182" s="1140"/>
      <c r="G182" s="1140"/>
      <c r="H182" s="361"/>
      <c r="J182" s="189"/>
      <c r="L182" s="1159"/>
      <c r="M182" s="1159"/>
      <c r="N182" s="201"/>
      <c r="O182" s="219"/>
    </row>
    <row r="183" spans="2:19" s="187" customFormat="1" ht="25" customHeight="1">
      <c r="B183" s="1140"/>
      <c r="C183" s="1140"/>
      <c r="D183" s="1140"/>
      <c r="E183" s="1140"/>
      <c r="F183" s="1140"/>
      <c r="G183" s="1140"/>
      <c r="H183" s="361"/>
      <c r="J183" s="189"/>
      <c r="L183" s="1159"/>
      <c r="M183" s="1159"/>
      <c r="N183" s="201"/>
      <c r="O183" s="219"/>
    </row>
    <row r="184" spans="2:19" s="187" customFormat="1" ht="25" customHeight="1">
      <c r="B184" s="1140"/>
      <c r="C184" s="1140"/>
      <c r="D184" s="1140"/>
      <c r="E184" s="1140"/>
      <c r="F184" s="1140"/>
      <c r="G184" s="1140"/>
      <c r="H184" s="361"/>
      <c r="J184" s="189"/>
      <c r="L184" s="1159"/>
      <c r="M184" s="1159"/>
      <c r="N184" s="201"/>
      <c r="O184" s="219"/>
    </row>
    <row r="185" spans="2:19" s="187" customFormat="1" ht="25" customHeight="1">
      <c r="B185" s="1141" t="s">
        <v>6</v>
      </c>
      <c r="C185" s="1141"/>
      <c r="D185" s="1141"/>
      <c r="E185" s="1141"/>
      <c r="F185" s="1141"/>
      <c r="H185" s="361"/>
      <c r="J185" s="189"/>
      <c r="L185" s="1159"/>
      <c r="M185" s="1159"/>
      <c r="N185" s="201"/>
      <c r="O185" s="219"/>
    </row>
    <row r="186" spans="2:19" s="187" customFormat="1" ht="25" customHeight="1">
      <c r="B186" s="1125"/>
      <c r="C186" s="1125"/>
      <c r="D186" s="1125"/>
      <c r="E186" s="1125"/>
      <c r="F186" s="1125"/>
      <c r="G186" s="194"/>
      <c r="H186" s="195"/>
      <c r="I186" s="194"/>
      <c r="J186" s="196"/>
      <c r="K186" s="194"/>
      <c r="L186" s="1160"/>
      <c r="M186" s="1160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60"/>
      <c r="M187" s="1160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61"/>
      <c r="M188" s="1161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108" t="s">
        <v>14</v>
      </c>
      <c r="M189" s="1108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62">
        <v>0</v>
      </c>
      <c r="M190" s="1162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099" t="s">
        <v>158</v>
      </c>
      <c r="M191" s="109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00" t="s">
        <v>162</v>
      </c>
      <c r="M192" s="110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01"/>
      <c r="M193" s="1101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02"/>
      <c r="M194" s="1102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103"/>
      <c r="M195" s="1103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108" t="s">
        <v>14</v>
      </c>
      <c r="M196" s="1108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120">
        <f>PS_consult.jun_EUR</f>
        <v>110.446</v>
      </c>
      <c r="M197" s="1120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097">
        <f>PS_consult.sen_EUR</f>
        <v>134.65200000000002</v>
      </c>
      <c r="M198" s="1097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098">
        <f>PS_cloudarch.jun_EUR</f>
        <v>125.146</v>
      </c>
      <c r="M199" s="1098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097">
        <f>PS_cloudarch.sen_EUR</f>
        <v>134.65200000000002</v>
      </c>
      <c r="M200" s="1097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098">
        <f>PS_pm.jun_EUR</f>
        <v>111.622</v>
      </c>
      <c r="M201" s="1098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54">
        <f>PS_pm.sen_EUR</f>
        <v>134.65200000000002</v>
      </c>
      <c r="M202" s="1154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01"/>
      <c r="M203" s="1101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02"/>
      <c r="M204" s="1102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103"/>
      <c r="M205" s="1103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108" t="s">
        <v>179</v>
      </c>
      <c r="M206" s="1108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62" t="s">
        <v>162</v>
      </c>
      <c r="M207" s="1162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63" t="s">
        <v>162</v>
      </c>
      <c r="M208" s="1163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64" t="s">
        <v>162</v>
      </c>
      <c r="M209" s="1164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65" t="s">
        <v>162</v>
      </c>
      <c r="M210" s="1165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56" t="s">
        <v>191</v>
      </c>
      <c r="C217" s="1156"/>
      <c r="D217" s="1156"/>
      <c r="E217" s="1156"/>
      <c r="F217" s="1156"/>
      <c r="G217" s="1156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56"/>
      <c r="C218" s="1156"/>
      <c r="D218" s="1156"/>
      <c r="E218" s="1156"/>
      <c r="F218" s="1156"/>
      <c r="G218" s="1156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56"/>
      <c r="C219" s="1156"/>
      <c r="D219" s="1156"/>
      <c r="E219" s="1156"/>
      <c r="F219" s="1156"/>
      <c r="G219" s="1156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57" t="s">
        <v>6</v>
      </c>
      <c r="C220" s="1157"/>
      <c r="D220" s="1157"/>
      <c r="E220" s="1157"/>
      <c r="F220" s="1157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58" t="str">
        <f>SUM(E67)&amp;" GB NVME-Disk"</f>
        <v>0 GB NVME-Disk</v>
      </c>
      <c r="G227" s="1158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411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2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78"/>
      <c r="C4" s="1078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614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264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441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2" t="s">
        <v>4</v>
      </c>
      <c r="C15" s="1072"/>
      <c r="D15" s="1072"/>
      <c r="E15" s="1072"/>
      <c r="F15" s="1072"/>
      <c r="G15" s="1072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2"/>
      <c r="C16" s="1072"/>
      <c r="D16" s="1072"/>
      <c r="E16" s="1072"/>
      <c r="F16" s="1072"/>
      <c r="G16" s="1072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2"/>
      <c r="C17" s="1072"/>
      <c r="D17" s="1072"/>
      <c r="E17" s="1072"/>
      <c r="F17" s="1072"/>
      <c r="G17" s="1072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615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75" t="s">
        <v>616</v>
      </c>
      <c r="C19" s="1075"/>
      <c r="D19" s="1075"/>
      <c r="E19" s="1075"/>
      <c r="F19" s="107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401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79" t="s">
        <v>656</v>
      </c>
      <c r="C24" s="1079"/>
      <c r="D24" s="1079"/>
      <c r="E24" s="1079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269</v>
      </c>
      <c r="G25" s="1015" t="s">
        <v>619</v>
      </c>
      <c r="H25" s="766"/>
      <c r="I25" s="767" t="s">
        <v>621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8" ht="25" customHeight="1">
      <c r="B43" s="1079" t="s">
        <v>662</v>
      </c>
      <c r="C43" s="1079"/>
      <c r="D43" s="1079"/>
      <c r="E43" s="1079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449</v>
      </c>
      <c r="F44" s="1015" t="s">
        <v>269</v>
      </c>
      <c r="G44" s="1015" t="s">
        <v>619</v>
      </c>
      <c r="H44" s="766"/>
      <c r="I44" s="767" t="s">
        <v>621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0" t="s">
        <v>663</v>
      </c>
      <c r="C58" s="1080"/>
      <c r="D58" s="1080"/>
      <c r="E58" s="1080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0" t="s">
        <v>663</v>
      </c>
      <c r="C68" s="1080"/>
      <c r="D68" s="1080"/>
      <c r="E68" s="1080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618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617</v>
      </c>
      <c r="M77" s="765"/>
    </row>
    <row r="78" spans="2:20" s="822" customFormat="1" ht="25" customHeight="1">
      <c r="B78" s="478" t="s">
        <v>208</v>
      </c>
      <c r="C78" s="26" t="s">
        <v>277</v>
      </c>
      <c r="D78" s="26"/>
      <c r="E78" s="26"/>
      <c r="F78" s="1020" t="s">
        <v>210</v>
      </c>
      <c r="G78" s="1015" t="s">
        <v>438</v>
      </c>
      <c r="H78" s="26"/>
      <c r="I78" s="820" t="s">
        <v>620</v>
      </c>
      <c r="J78" s="26"/>
      <c r="K78" s="674" t="s">
        <v>622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72" t="s">
        <v>72</v>
      </c>
      <c r="C85" s="1072"/>
      <c r="D85" s="1072"/>
      <c r="E85" s="1072"/>
      <c r="F85" s="1072"/>
      <c r="G85" s="1072"/>
      <c r="H85" s="748"/>
      <c r="J85" s="749"/>
      <c r="K85" s="950"/>
      <c r="M85" s="751"/>
    </row>
    <row r="86" spans="2:26" s="6" customFormat="1" ht="25" customHeight="1">
      <c r="B86" s="1072"/>
      <c r="C86" s="1072"/>
      <c r="D86" s="1072"/>
      <c r="E86" s="1072"/>
      <c r="F86" s="1072"/>
      <c r="G86" s="1072"/>
      <c r="H86" s="748"/>
      <c r="J86" s="749"/>
      <c r="K86" s="950"/>
      <c r="M86" s="751"/>
    </row>
    <row r="87" spans="2:26" s="6" customFormat="1" ht="25" customHeight="1">
      <c r="B87" s="1072"/>
      <c r="C87" s="1072"/>
      <c r="D87" s="1072"/>
      <c r="E87" s="1072"/>
      <c r="F87" s="1072"/>
      <c r="G87" s="1072"/>
      <c r="H87" s="748"/>
      <c r="J87" s="749"/>
      <c r="K87" s="950"/>
      <c r="M87" s="751"/>
    </row>
    <row r="88" spans="2:26" s="6" customFormat="1" ht="25" customHeight="1">
      <c r="B88" s="1012" t="s">
        <v>657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623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401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624</v>
      </c>
      <c r="H92" s="26"/>
      <c r="I92" s="820" t="s">
        <v>625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77" t="s">
        <v>225</v>
      </c>
      <c r="E98" s="1077"/>
      <c r="F98" s="1077"/>
      <c r="G98" s="1077"/>
      <c r="H98" s="1077"/>
      <c r="I98" s="1077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76">
        <f>S3_archive.50_SEK</f>
        <v>350</v>
      </c>
      <c r="E100" s="1076"/>
      <c r="F100" s="1076"/>
      <c r="G100" s="1076"/>
      <c r="H100" s="1076"/>
      <c r="I100" s="1076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83">
        <f>S3_archive.500_SEK</f>
        <v>200</v>
      </c>
      <c r="E102" s="1083"/>
      <c r="F102" s="1083"/>
      <c r="G102" s="1083"/>
      <c r="H102" s="1083"/>
      <c r="I102" s="1083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2" t="s">
        <v>86</v>
      </c>
      <c r="C108" s="1072"/>
      <c r="D108" s="1072"/>
      <c r="E108" s="1072"/>
      <c r="F108" s="1072"/>
      <c r="G108" s="1072"/>
      <c r="H108" s="748"/>
      <c r="J108" s="749"/>
      <c r="K108" s="950"/>
      <c r="L108" s="749"/>
      <c r="M108" s="751"/>
    </row>
    <row r="109" spans="2:26" s="6" customFormat="1" ht="25" customHeight="1">
      <c r="B109" s="1072"/>
      <c r="C109" s="1072"/>
      <c r="D109" s="1072"/>
      <c r="E109" s="1072"/>
      <c r="F109" s="1072"/>
      <c r="G109" s="1072"/>
      <c r="H109" s="748"/>
      <c r="J109" s="749"/>
      <c r="K109" s="950"/>
      <c r="L109" s="749"/>
      <c r="M109" s="751"/>
    </row>
    <row r="110" spans="2:26" s="6" customFormat="1" ht="25" customHeight="1">
      <c r="B110" s="1072"/>
      <c r="C110" s="1072"/>
      <c r="D110" s="1072"/>
      <c r="E110" s="1072"/>
      <c r="F110" s="1072"/>
      <c r="G110" s="1072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626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75" t="s">
        <v>616</v>
      </c>
      <c r="C112" s="1075"/>
      <c r="D112" s="1075"/>
      <c r="E112" s="1075"/>
      <c r="F112" s="107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401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287</v>
      </c>
      <c r="F115" s="870"/>
      <c r="G115" s="26" t="s">
        <v>628</v>
      </c>
      <c r="H115" s="26"/>
      <c r="I115" s="820" t="s">
        <v>620</v>
      </c>
      <c r="J115" s="820" t="s">
        <v>629</v>
      </c>
      <c r="K115" s="674" t="s">
        <v>92</v>
      </c>
      <c r="L115" s="814"/>
      <c r="M115" s="1066" t="s">
        <v>630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631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632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633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2" t="s">
        <v>443</v>
      </c>
      <c r="C123" s="1072"/>
      <c r="D123" s="1072"/>
      <c r="E123" s="1072"/>
      <c r="F123" s="1072"/>
      <c r="G123" s="1072"/>
      <c r="H123" s="748"/>
      <c r="J123" s="749"/>
      <c r="K123" s="950"/>
      <c r="L123" s="749"/>
      <c r="M123" s="751"/>
    </row>
    <row r="124" spans="1:32" s="6" customFormat="1" ht="25" customHeight="1">
      <c r="B124" s="1072"/>
      <c r="C124" s="1072"/>
      <c r="D124" s="1072"/>
      <c r="E124" s="1072"/>
      <c r="F124" s="1072"/>
      <c r="G124" s="1072"/>
      <c r="H124" s="748"/>
      <c r="J124" s="749"/>
      <c r="K124" s="950"/>
      <c r="L124" s="749"/>
      <c r="M124" s="751"/>
    </row>
    <row r="125" spans="1:32" s="6" customFormat="1" ht="25" customHeight="1">
      <c r="B125" s="1072"/>
      <c r="C125" s="1072"/>
      <c r="D125" s="1072"/>
      <c r="E125" s="1072"/>
      <c r="F125" s="1072"/>
      <c r="G125" s="1072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634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75" t="s">
        <v>616</v>
      </c>
      <c r="C127" s="1075"/>
      <c r="D127" s="1075"/>
      <c r="E127" s="1075"/>
      <c r="F127" s="107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659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84" t="s">
        <v>635</v>
      </c>
      <c r="D130" s="1084"/>
      <c r="E130" s="1084" t="s">
        <v>636</v>
      </c>
      <c r="F130" s="1084"/>
      <c r="G130" s="1084" t="s">
        <v>287</v>
      </c>
      <c r="H130" s="108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89" t="s">
        <v>582</v>
      </c>
      <c r="D131" s="1089"/>
      <c r="E131" s="1091" t="s">
        <v>658</v>
      </c>
      <c r="F131" s="1091"/>
      <c r="G131" s="1085">
        <v>15000</v>
      </c>
      <c r="H131" s="1086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90" t="s">
        <v>637</v>
      </c>
      <c r="D132" s="1090"/>
      <c r="E132" s="1092" t="s">
        <v>638</v>
      </c>
      <c r="F132" s="1092"/>
      <c r="G132" s="1087">
        <v>24000</v>
      </c>
      <c r="H132" s="1088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2" t="s">
        <v>293</v>
      </c>
      <c r="C137" s="1072"/>
      <c r="D137" s="1072"/>
      <c r="E137" s="1072"/>
      <c r="F137" s="1072"/>
      <c r="G137" s="1072"/>
      <c r="H137" s="748"/>
      <c r="J137" s="749"/>
      <c r="K137" s="950"/>
      <c r="M137" s="774"/>
    </row>
    <row r="138" spans="1:32" s="6" customFormat="1" ht="25" customHeight="1">
      <c r="B138" s="1072"/>
      <c r="C138" s="1072"/>
      <c r="D138" s="1072"/>
      <c r="E138" s="1072"/>
      <c r="F138" s="1072"/>
      <c r="G138" s="1072"/>
      <c r="H138" s="748"/>
      <c r="J138" s="749"/>
      <c r="K138" s="950"/>
      <c r="M138" s="774"/>
    </row>
    <row r="139" spans="1:32" s="6" customFormat="1" ht="25" customHeight="1">
      <c r="B139" s="1072"/>
      <c r="C139" s="1072"/>
      <c r="D139" s="1072"/>
      <c r="E139" s="1072"/>
      <c r="F139" s="1072"/>
      <c r="G139" s="1072"/>
      <c r="H139" s="748"/>
      <c r="J139" s="749"/>
      <c r="K139" s="950"/>
      <c r="M139" s="774"/>
    </row>
    <row r="140" spans="1:32" s="6" customFormat="1" ht="25" customHeight="1">
      <c r="B140" s="1075" t="s">
        <v>616</v>
      </c>
      <c r="C140" s="1075"/>
      <c r="D140" s="1075"/>
      <c r="E140" s="1075"/>
      <c r="F140" s="107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73"/>
      <c r="C141" s="1073"/>
      <c r="D141" s="1073"/>
      <c r="E141" s="1073"/>
      <c r="F141" s="107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294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639</v>
      </c>
      <c r="M144" s="765"/>
    </row>
    <row r="145" spans="2:18" ht="25" customHeight="1">
      <c r="B145" s="510" t="s">
        <v>208</v>
      </c>
      <c r="C145" s="25" t="s">
        <v>640</v>
      </c>
      <c r="D145" s="25"/>
      <c r="E145" s="26" t="s">
        <v>277</v>
      </c>
      <c r="F145" s="26"/>
      <c r="G145" s="26"/>
      <c r="H145" s="26"/>
      <c r="I145" s="26"/>
      <c r="J145" s="25" t="s">
        <v>642</v>
      </c>
      <c r="K145" s="674" t="s">
        <v>270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297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297</v>
      </c>
      <c r="D149" s="137"/>
      <c r="E149" s="43" t="s">
        <v>298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641</v>
      </c>
      <c r="F150" s="39"/>
      <c r="G150" s="39"/>
      <c r="H150" s="39"/>
      <c r="I150" s="39"/>
      <c r="J150" s="873" t="s">
        <v>240</v>
      </c>
      <c r="K150" s="607" t="s">
        <v>643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299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644</v>
      </c>
      <c r="M157" s="765"/>
    </row>
    <row r="158" spans="2:18" ht="25" customHeight="1">
      <c r="B158" s="515" t="s">
        <v>208</v>
      </c>
      <c r="C158" s="25"/>
      <c r="D158" s="110"/>
      <c r="E158" s="26" t="s">
        <v>277</v>
      </c>
      <c r="F158" s="880"/>
      <c r="G158" s="880"/>
      <c r="H158" s="880"/>
      <c r="I158" s="880"/>
      <c r="J158" s="25" t="s">
        <v>642</v>
      </c>
      <c r="K158" s="674" t="s">
        <v>270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">
        <v>643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">
        <v>643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">
        <v>643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645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646</v>
      </c>
      <c r="M171" s="765"/>
    </row>
    <row r="172" spans="2:18" ht="25" customHeight="1">
      <c r="B172" s="510" t="s">
        <v>208</v>
      </c>
      <c r="C172" s="25"/>
      <c r="D172" s="25"/>
      <c r="E172" s="26" t="s">
        <v>277</v>
      </c>
      <c r="F172" s="26"/>
      <c r="G172" s="26"/>
      <c r="H172" s="26"/>
      <c r="I172" s="26"/>
      <c r="J172" s="1015"/>
      <c r="K172" s="674" t="s">
        <v>270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">
        <v>643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">
        <v>643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">
        <v>643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643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2" t="s">
        <v>301</v>
      </c>
      <c r="C183" s="1072"/>
      <c r="D183" s="1072"/>
      <c r="E183" s="1072"/>
      <c r="F183" s="1072"/>
      <c r="G183" s="1072"/>
      <c r="H183" s="884"/>
      <c r="J183" s="749"/>
      <c r="K183" s="950"/>
      <c r="M183" s="774"/>
    </row>
    <row r="184" spans="2:20" s="6" customFormat="1" ht="25" customHeight="1">
      <c r="B184" s="1072"/>
      <c r="C184" s="1072"/>
      <c r="D184" s="1072"/>
      <c r="E184" s="1072"/>
      <c r="F184" s="1072"/>
      <c r="G184" s="1072"/>
      <c r="H184" s="884"/>
      <c r="J184" s="749"/>
      <c r="K184" s="950"/>
      <c r="M184" s="774"/>
    </row>
    <row r="185" spans="2:20" s="6" customFormat="1" ht="25" customHeight="1">
      <c r="B185" s="1072"/>
      <c r="C185" s="1072"/>
      <c r="D185" s="1072"/>
      <c r="E185" s="1072"/>
      <c r="F185" s="1072"/>
      <c r="G185" s="1072"/>
      <c r="H185" s="884"/>
      <c r="J185" s="749"/>
      <c r="K185" s="950"/>
      <c r="M185" s="774"/>
    </row>
    <row r="186" spans="2:20" s="6" customFormat="1" ht="25" customHeight="1">
      <c r="B186" s="1074" t="s">
        <v>647</v>
      </c>
      <c r="C186" s="1074"/>
      <c r="D186" s="1074"/>
      <c r="E186" s="1074"/>
      <c r="F186" s="1074"/>
      <c r="H186" s="884"/>
      <c r="J186" s="749"/>
      <c r="K186" s="950"/>
      <c r="M186" s="774"/>
    </row>
    <row r="187" spans="2:20" s="6" customFormat="1" ht="25" customHeight="1">
      <c r="B187" s="1075" t="s">
        <v>421</v>
      </c>
      <c r="C187" s="1075"/>
      <c r="D187" s="1075"/>
      <c r="E187" s="1075"/>
      <c r="F187" s="1075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648</v>
      </c>
      <c r="M190" s="765"/>
    </row>
    <row r="191" spans="2:20" ht="25" customHeight="1">
      <c r="B191" s="510" t="s">
        <v>208</v>
      </c>
      <c r="C191" s="25"/>
      <c r="D191" s="26" t="s">
        <v>277</v>
      </c>
      <c r="E191" s="1020"/>
      <c r="F191" s="26"/>
      <c r="G191" s="1015"/>
      <c r="H191" s="1015"/>
      <c r="I191" s="25" t="s">
        <v>642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649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07" t="s">
        <v>643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650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651</v>
      </c>
      <c r="M198" s="765"/>
    </row>
    <row r="199" spans="2:18" ht="25" customHeight="1">
      <c r="B199" s="510" t="s">
        <v>208</v>
      </c>
      <c r="C199" s="25"/>
      <c r="D199" s="26" t="s">
        <v>277</v>
      </c>
      <c r="E199" s="1020"/>
      <c r="F199" s="26"/>
      <c r="G199" s="1015"/>
      <c r="H199" s="1015"/>
      <c r="I199" s="25" t="s">
        <v>642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652</v>
      </c>
      <c r="M209" s="765"/>
    </row>
    <row r="210" spans="1:18" ht="25" customHeight="1">
      <c r="B210" s="510" t="s">
        <v>208</v>
      </c>
      <c r="C210" s="25"/>
      <c r="D210" s="26" t="s">
        <v>277</v>
      </c>
      <c r="E210" s="1020"/>
      <c r="F210" s="26"/>
      <c r="G210" s="25" t="s">
        <v>253</v>
      </c>
      <c r="H210" s="25"/>
      <c r="I210" s="25" t="s">
        <v>642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309</v>
      </c>
      <c r="J211" s="873"/>
      <c r="K211" s="651" t="s">
        <v>643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309</v>
      </c>
      <c r="J212" s="876"/>
      <c r="K212" s="1021" t="s">
        <v>643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653</v>
      </c>
      <c r="H213" s="873"/>
      <c r="I213" s="873" t="s">
        <v>309</v>
      </c>
      <c r="J213" s="873"/>
      <c r="K213" s="651" t="s">
        <v>643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653</v>
      </c>
      <c r="H214" s="876"/>
      <c r="I214" s="876" t="s">
        <v>309</v>
      </c>
      <c r="J214" s="876"/>
      <c r="K214" s="1021" t="s">
        <v>643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70" t="s">
        <v>314</v>
      </c>
      <c r="C221" s="1070"/>
      <c r="D221" s="1070"/>
      <c r="E221" s="1070"/>
      <c r="F221" s="1070"/>
      <c r="G221" s="1070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70"/>
      <c r="C222" s="1070"/>
      <c r="D222" s="1070"/>
      <c r="E222" s="1070"/>
      <c r="F222" s="1070"/>
      <c r="G222" s="1070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70"/>
      <c r="C223" s="1070"/>
      <c r="D223" s="1070"/>
      <c r="E223" s="1070"/>
      <c r="F223" s="1070"/>
      <c r="G223" s="1070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71" t="s">
        <v>616</v>
      </c>
      <c r="C224" s="1071"/>
      <c r="D224" s="1071"/>
      <c r="E224" s="1071"/>
      <c r="F224" s="1071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654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442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314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administrert tjeneste - support hverdager 08:00-17:00",IF(J131=3,"Fullt administrert tjeneste - support døgnet rundt, hver dag",""))</f>
        <v/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9ndA1yMhLW6MpBpdaoReIODJLaAKOFt9TY6SKy+9/lb3OJo7EwT1qlbh9nRejhCfPsekNyrtwNIUQyIzihHT1Q==" saltValue="/khttXIkHr2R5t1Bohknkw==" spinCount="100000" sheet="1" objects="1" scenarios="1" selectLockedCells="1"/>
  <mergeCells count="47"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</mergeCells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440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264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441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50" t="str">
        <f>"1 SEK = "&amp;NOK&amp;" NOK"</f>
        <v>1 SEK = 1 NOK</v>
      </c>
      <c r="E11" s="1150"/>
      <c r="F11" s="1150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266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47" t="s">
        <v>267</v>
      </c>
      <c r="C19" s="1147"/>
      <c r="D19" s="1147"/>
      <c r="E19" s="1147"/>
      <c r="F19" s="1147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401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268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269</v>
      </c>
      <c r="H24" s="207" t="s">
        <v>270</v>
      </c>
      <c r="I24" s="208" t="s">
        <v>271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398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399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269</v>
      </c>
      <c r="H42" s="207" t="s">
        <v>270</v>
      </c>
      <c r="I42" s="208" t="s">
        <v>271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274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269</v>
      </c>
      <c r="H71" s="207" t="s">
        <v>270</v>
      </c>
      <c r="I71" s="208" t="s">
        <v>271</v>
      </c>
      <c r="J71" s="208" t="s">
        <v>272</v>
      </c>
      <c r="K71" s="209"/>
      <c r="L71" s="207" t="s">
        <v>215</v>
      </c>
      <c r="M71" s="207" t="s">
        <v>273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275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269</v>
      </c>
      <c r="H80" s="207" t="s">
        <v>270</v>
      </c>
      <c r="I80" s="208" t="s">
        <v>271</v>
      </c>
      <c r="J80" s="208" t="s">
        <v>272</v>
      </c>
      <c r="K80" s="209"/>
      <c r="L80" s="207" t="s">
        <v>215</v>
      </c>
      <c r="M80" s="207" t="s">
        <v>273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276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277</v>
      </c>
      <c r="D88" s="26"/>
      <c r="E88" s="139" t="s">
        <v>269</v>
      </c>
      <c r="F88" s="1149" t="s">
        <v>278</v>
      </c>
      <c r="G88" s="1149"/>
      <c r="H88" s="284"/>
      <c r="I88" s="285" t="s">
        <v>279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66">
        <f>VOLUME_large_SEK</f>
        <v>1.2</v>
      </c>
      <c r="G89" s="1166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68">
        <f>VOLUME_fast_SEK</f>
        <v>3.6</v>
      </c>
      <c r="G90" s="1168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140" t="s">
        <v>72</v>
      </c>
      <c r="C95" s="1140"/>
      <c r="D95" s="1140"/>
      <c r="E95" s="1140"/>
      <c r="F95" s="1140"/>
      <c r="G95" s="1140"/>
      <c r="H95" s="188"/>
      <c r="J95" s="189"/>
      <c r="K95" s="189"/>
      <c r="M95" s="190"/>
      <c r="O95" s="191"/>
    </row>
    <row r="96" spans="2:23" s="187" customFormat="1" ht="25.5" customHeight="1">
      <c r="B96" s="1140"/>
      <c r="C96" s="1140"/>
      <c r="D96" s="1140"/>
      <c r="E96" s="1140"/>
      <c r="F96" s="1140"/>
      <c r="G96" s="1140"/>
      <c r="H96" s="188"/>
      <c r="J96" s="189"/>
      <c r="K96" s="189"/>
      <c r="M96" s="190"/>
      <c r="O96" s="191"/>
    </row>
    <row r="97" spans="2:23" s="187" customFormat="1" ht="25.5" customHeight="1">
      <c r="B97" s="1140"/>
      <c r="C97" s="1140"/>
      <c r="D97" s="1140"/>
      <c r="E97" s="1140"/>
      <c r="F97" s="1140"/>
      <c r="G97" s="1140"/>
      <c r="H97" s="188"/>
      <c r="J97" s="189"/>
      <c r="K97" s="189"/>
      <c r="M97" s="190"/>
      <c r="O97" s="191"/>
    </row>
    <row r="98" spans="2:23" s="187" customFormat="1" ht="25.5" customHeight="1">
      <c r="B98" s="1169" t="s">
        <v>280</v>
      </c>
      <c r="C98" s="1169"/>
      <c r="D98" s="1169"/>
      <c r="E98" s="1169"/>
      <c r="F98" s="1169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47" t="s">
        <v>281</v>
      </c>
      <c r="C99" s="1147"/>
      <c r="D99" s="1147"/>
      <c r="E99" s="1147"/>
      <c r="F99" s="1147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282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283</v>
      </c>
      <c r="D102" s="1149" t="s">
        <v>284</v>
      </c>
      <c r="E102" s="1149"/>
      <c r="F102" s="1149"/>
      <c r="G102" s="1149"/>
      <c r="H102" s="1149"/>
      <c r="I102" s="1149"/>
      <c r="J102" s="1149"/>
      <c r="K102" s="1149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67">
        <f>S3_storage.50_SEK</f>
        <v>350</v>
      </c>
      <c r="E103" s="1167"/>
      <c r="F103" s="1167"/>
      <c r="G103" s="1167"/>
      <c r="H103" s="1167"/>
      <c r="I103" s="1167"/>
      <c r="J103" s="1167"/>
      <c r="K103" s="1167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1">
        <f>S3_storage.100_SEK</f>
        <v>270</v>
      </c>
      <c r="E104" s="1171"/>
      <c r="F104" s="1171"/>
      <c r="G104" s="1171"/>
      <c r="H104" s="1171"/>
      <c r="I104" s="1171"/>
      <c r="J104" s="1171"/>
      <c r="K104" s="1171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0">
        <f>S3_storage.500_SEK</f>
        <v>200</v>
      </c>
      <c r="E105" s="1170"/>
      <c r="F105" s="1170"/>
      <c r="G105" s="1170"/>
      <c r="H105" s="1170"/>
      <c r="I105" s="1170"/>
      <c r="J105" s="1170"/>
      <c r="K105" s="1170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1">
        <f>S3_storage.1000_SEK</f>
        <v>185</v>
      </c>
      <c r="E106" s="1171"/>
      <c r="F106" s="1171"/>
      <c r="G106" s="1171"/>
      <c r="H106" s="1171"/>
      <c r="I106" s="1171"/>
      <c r="J106" s="1171"/>
      <c r="K106" s="1171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2" t="str">
        <f>S3_storage.quote_SEK</f>
        <v>Be om offert</v>
      </c>
      <c r="E107" s="1172"/>
      <c r="F107" s="1172"/>
      <c r="G107" s="1172"/>
      <c r="H107" s="1172"/>
      <c r="I107" s="1172"/>
      <c r="J107" s="1172"/>
      <c r="K107" s="1172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284</v>
      </c>
      <c r="G110" s="284"/>
      <c r="H110" s="285" t="s">
        <v>283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140" t="s">
        <v>86</v>
      </c>
      <c r="C116" s="1140"/>
      <c r="D116" s="1140"/>
      <c r="E116" s="1140"/>
      <c r="F116" s="1140"/>
      <c r="G116" s="1140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140"/>
      <c r="C117" s="1140"/>
      <c r="D117" s="1140"/>
      <c r="E117" s="1140"/>
      <c r="F117" s="1140"/>
      <c r="G117" s="1140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140"/>
      <c r="C118" s="1140"/>
      <c r="D118" s="1140"/>
      <c r="E118" s="1140"/>
      <c r="F118" s="1140"/>
      <c r="G118" s="1140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69" t="s">
        <v>285</v>
      </c>
      <c r="C119" s="1169"/>
      <c r="D119" s="1169"/>
      <c r="E119" s="1169"/>
      <c r="F119" s="1169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47" t="s">
        <v>286</v>
      </c>
      <c r="C120" s="1147"/>
      <c r="D120" s="1147"/>
      <c r="E120" s="1147"/>
      <c r="F120" s="1147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282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49" t="s">
        <v>287</v>
      </c>
      <c r="D123" s="1149"/>
      <c r="E123" s="138" t="s">
        <v>269</v>
      </c>
      <c r="F123" s="1149" t="s">
        <v>278</v>
      </c>
      <c r="G123" s="1149"/>
      <c r="H123" s="285" t="s">
        <v>90</v>
      </c>
      <c r="I123" s="284"/>
      <c r="J123" s="1124" t="s">
        <v>288</v>
      </c>
      <c r="K123" s="1124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73">
        <f>BAAS_on.demand_SEK</f>
        <v>2.4500000000000002</v>
      </c>
      <c r="G124" s="1174"/>
      <c r="H124" s="329"/>
      <c r="I124" s="512" t="s">
        <v>69</v>
      </c>
      <c r="J124" s="1129" t="s">
        <v>94</v>
      </c>
      <c r="K124" s="1129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75">
        <f>BAAS_small_SEK</f>
        <v>1.75</v>
      </c>
      <c r="G125" s="1176"/>
      <c r="H125" s="331"/>
      <c r="I125" s="513" t="s">
        <v>69</v>
      </c>
      <c r="J125" s="1133">
        <v>0.75</v>
      </c>
      <c r="K125" s="1134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7">
        <f>BAAS_large_SEK</f>
        <v>0.92</v>
      </c>
      <c r="G126" s="1178"/>
      <c r="H126" s="318"/>
      <c r="I126" s="514" t="s">
        <v>69</v>
      </c>
      <c r="J126" s="1138">
        <v>0.75</v>
      </c>
      <c r="K126" s="1139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289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290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291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292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140" t="s">
        <v>293</v>
      </c>
      <c r="C137" s="1140"/>
      <c r="D137" s="1140"/>
      <c r="E137" s="1140"/>
      <c r="F137" s="1140"/>
      <c r="G137" s="1140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140"/>
      <c r="C138" s="1140"/>
      <c r="D138" s="1140"/>
      <c r="E138" s="1140"/>
      <c r="F138" s="1140"/>
      <c r="G138" s="1140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140"/>
      <c r="C139" s="1140"/>
      <c r="D139" s="1140"/>
      <c r="E139" s="1140"/>
      <c r="F139" s="1140"/>
      <c r="G139" s="1140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47" t="s">
        <v>286</v>
      </c>
      <c r="C140" s="1147"/>
      <c r="D140" s="1147"/>
      <c r="E140" s="1147"/>
      <c r="F140" s="1147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125"/>
      <c r="C141" s="1125"/>
      <c r="D141" s="1125"/>
      <c r="E141" s="1125"/>
      <c r="F141" s="112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294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277</v>
      </c>
      <c r="F144" s="284"/>
      <c r="G144" s="284"/>
      <c r="H144" s="284"/>
      <c r="I144" s="284"/>
      <c r="J144" s="284"/>
      <c r="K144" s="284"/>
      <c r="L144" s="337" t="s">
        <v>295</v>
      </c>
      <c r="M144" s="583" t="s">
        <v>270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296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297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297</v>
      </c>
      <c r="D148" s="137"/>
      <c r="E148" s="43" t="s">
        <v>298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299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277</v>
      </c>
      <c r="F154" s="354"/>
      <c r="G154" s="354"/>
      <c r="H154" s="354"/>
      <c r="I154" s="354"/>
      <c r="J154" s="354"/>
      <c r="K154" s="354"/>
      <c r="L154" s="337" t="s">
        <v>295</v>
      </c>
      <c r="M154" s="583" t="s">
        <v>270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300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243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277</v>
      </c>
      <c r="F166" s="284"/>
      <c r="G166" s="284"/>
      <c r="H166" s="284"/>
      <c r="I166" s="284"/>
      <c r="J166" s="284"/>
      <c r="K166" s="284"/>
      <c r="L166" s="583"/>
      <c r="M166" s="583" t="s">
        <v>270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413</v>
      </c>
      <c r="C167" s="136"/>
      <c r="D167" s="32"/>
      <c r="E167" s="32" t="s">
        <v>415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414</v>
      </c>
      <c r="C168" s="137"/>
      <c r="D168" s="40"/>
      <c r="E168" s="40" t="s">
        <v>416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244</v>
      </c>
      <c r="F169" s="340"/>
      <c r="G169" s="340"/>
      <c r="H169" s="340"/>
      <c r="I169" s="340"/>
      <c r="J169" s="340"/>
      <c r="K169" s="340"/>
      <c r="L169" s="341"/>
      <c r="M169" s="607" t="s">
        <v>310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310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310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310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140" t="s">
        <v>301</v>
      </c>
      <c r="C176" s="1140"/>
      <c r="D176" s="1140"/>
      <c r="E176" s="1140"/>
      <c r="F176" s="1140"/>
      <c r="G176" s="1140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140"/>
      <c r="C177" s="1140"/>
      <c r="D177" s="1140"/>
      <c r="E177" s="1140"/>
      <c r="F177" s="1140"/>
      <c r="G177" s="1140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140"/>
      <c r="C178" s="1140"/>
      <c r="D178" s="1140"/>
      <c r="E178" s="1140"/>
      <c r="F178" s="1140"/>
      <c r="G178" s="1140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47" t="s">
        <v>286</v>
      </c>
      <c r="C179" s="1147"/>
      <c r="D179" s="1147"/>
      <c r="E179" s="1147"/>
      <c r="F179" s="1147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125"/>
      <c r="C180" s="1125"/>
      <c r="D180" s="1125"/>
      <c r="E180" s="1125"/>
      <c r="F180" s="112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277</v>
      </c>
      <c r="E183" s="139"/>
      <c r="F183" s="284"/>
      <c r="G183" s="583"/>
      <c r="H183" s="583"/>
      <c r="I183" s="583"/>
      <c r="J183" s="583"/>
      <c r="K183" s="337" t="s">
        <v>302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246</v>
      </c>
      <c r="L185" s="348"/>
      <c r="M185" s="475" t="s">
        <v>247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303</v>
      </c>
      <c r="L186" s="342"/>
      <c r="M186" s="476" t="s">
        <v>304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250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277</v>
      </c>
      <c r="E190" s="139"/>
      <c r="F190" s="284"/>
      <c r="G190" s="583"/>
      <c r="H190" s="583"/>
      <c r="I190" s="583"/>
      <c r="J190" s="583"/>
      <c r="K190" s="337" t="s">
        <v>302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303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303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303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303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303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303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277</v>
      </c>
      <c r="E200" s="139"/>
      <c r="F200" s="284"/>
      <c r="G200" s="337" t="s">
        <v>307</v>
      </c>
      <c r="H200" s="337"/>
      <c r="I200" s="337"/>
      <c r="J200" s="337"/>
      <c r="K200" s="337" t="s">
        <v>302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308</v>
      </c>
      <c r="E201" s="42"/>
      <c r="F201" s="340"/>
      <c r="G201" s="342" t="s">
        <v>255</v>
      </c>
      <c r="H201" s="342"/>
      <c r="I201" s="342"/>
      <c r="J201" s="342"/>
      <c r="K201" s="342" t="s">
        <v>309</v>
      </c>
      <c r="L201" s="342"/>
      <c r="M201" s="476" t="s">
        <v>310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311</v>
      </c>
      <c r="E202" s="33"/>
      <c r="F202" s="343"/>
      <c r="G202" s="348" t="s">
        <v>255</v>
      </c>
      <c r="H202" s="348"/>
      <c r="I202" s="348"/>
      <c r="J202" s="348"/>
      <c r="K202" s="348" t="s">
        <v>309</v>
      </c>
      <c r="L202" s="348"/>
      <c r="M202" s="475" t="s">
        <v>310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312</v>
      </c>
      <c r="E203" s="42"/>
      <c r="F203" s="340"/>
      <c r="G203" s="342" t="s">
        <v>259</v>
      </c>
      <c r="H203" s="342"/>
      <c r="I203" s="342"/>
      <c r="J203" s="342"/>
      <c r="K203" s="342" t="s">
        <v>309</v>
      </c>
      <c r="L203" s="342"/>
      <c r="M203" s="476" t="s">
        <v>310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313</v>
      </c>
      <c r="E204" s="33"/>
      <c r="F204" s="343"/>
      <c r="G204" s="348" t="s">
        <v>259</v>
      </c>
      <c r="H204" s="348"/>
      <c r="I204" s="348"/>
      <c r="J204" s="348"/>
      <c r="K204" s="348" t="s">
        <v>309</v>
      </c>
      <c r="L204" s="348"/>
      <c r="M204" s="475" t="s">
        <v>310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56" t="s">
        <v>314</v>
      </c>
      <c r="C211" s="1156"/>
      <c r="D211" s="1156"/>
      <c r="E211" s="1156"/>
      <c r="F211" s="1156"/>
      <c r="G211" s="115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56"/>
      <c r="C212" s="1156"/>
      <c r="D212" s="1156"/>
      <c r="E212" s="1156"/>
      <c r="F212" s="1156"/>
      <c r="G212" s="115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56"/>
      <c r="C213" s="1156"/>
      <c r="D213" s="1156"/>
      <c r="E213" s="1156"/>
      <c r="F213" s="1156"/>
      <c r="G213" s="115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79" t="s">
        <v>315</v>
      </c>
      <c r="C214" s="1179"/>
      <c r="D214" s="1179"/>
      <c r="E214" s="1179"/>
      <c r="F214" s="1179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316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317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314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80" t="str">
        <f>SUM(E67)&amp;" GB NVME-Disk"</f>
        <v>0 GB NVME-Disk</v>
      </c>
      <c r="G221" s="1180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48"/>
      <c r="C4" s="114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318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140" t="s">
        <v>4</v>
      </c>
      <c r="C15" s="1140"/>
      <c r="D15" s="1140"/>
      <c r="E15" s="1140"/>
      <c r="F15" s="1140"/>
      <c r="G15" s="1140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140"/>
      <c r="C16" s="1140"/>
      <c r="D16" s="1140"/>
      <c r="E16" s="1140"/>
      <c r="F16" s="1140"/>
      <c r="G16" s="1140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140"/>
      <c r="C17" s="1140"/>
      <c r="D17" s="1140"/>
      <c r="E17" s="1140"/>
      <c r="F17" s="1140"/>
      <c r="G17" s="1140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125" t="s">
        <v>205</v>
      </c>
      <c r="C19" s="1125"/>
      <c r="D19" s="1125"/>
      <c r="E19" s="1125"/>
      <c r="F19" s="112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319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320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320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320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320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320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320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320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320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320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320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320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319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320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320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320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320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320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320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320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320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320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320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320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320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320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320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320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320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320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320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320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321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319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322</v>
      </c>
      <c r="C65" s="552" t="s">
        <v>323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324</v>
      </c>
      <c r="C66" s="555" t="s">
        <v>323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325</v>
      </c>
      <c r="C67" s="552" t="s">
        <v>323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326</v>
      </c>
      <c r="C68" s="555" t="s">
        <v>323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327</v>
      </c>
      <c r="C69" s="552" t="s">
        <v>323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328</v>
      </c>
      <c r="C70" s="555" t="s">
        <v>323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329</v>
      </c>
      <c r="C71" s="552" t="s">
        <v>323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330</v>
      </c>
      <c r="C72" s="555" t="s">
        <v>323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331</v>
      </c>
      <c r="C73" s="552" t="s">
        <v>323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332</v>
      </c>
      <c r="C74" s="555" t="s">
        <v>323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333</v>
      </c>
      <c r="C75" s="552" t="s">
        <v>323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334</v>
      </c>
      <c r="C76" s="555" t="s">
        <v>323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335</v>
      </c>
      <c r="C77" s="552" t="s">
        <v>323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336</v>
      </c>
      <c r="C78" s="555" t="s">
        <v>323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337</v>
      </c>
      <c r="C79" s="552" t="s">
        <v>323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338</v>
      </c>
      <c r="C80" s="555" t="s">
        <v>323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339</v>
      </c>
      <c r="C81" s="552" t="s">
        <v>323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340</v>
      </c>
      <c r="C82" s="555" t="s">
        <v>323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341</v>
      </c>
      <c r="C83" s="552" t="s">
        <v>323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342</v>
      </c>
      <c r="C84" s="555" t="s">
        <v>323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343</v>
      </c>
      <c r="C85" s="552" t="s">
        <v>323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344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49" t="s">
        <v>221</v>
      </c>
      <c r="G98" s="1149"/>
      <c r="H98" s="1124"/>
      <c r="I98" s="1124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66">
        <f>VOLUME_large_SEK</f>
        <v>1.2</v>
      </c>
      <c r="G99" s="1166"/>
      <c r="H99" s="1193"/>
      <c r="I99" s="1193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68">
        <f>VOLUME_fast_SEK</f>
        <v>3.6</v>
      </c>
      <c r="G100" s="1168"/>
      <c r="H100" s="1194"/>
      <c r="I100" s="119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140" t="s">
        <v>345</v>
      </c>
      <c r="C105" s="1140"/>
      <c r="D105" s="1140"/>
      <c r="E105" s="1140"/>
      <c r="F105" s="1140"/>
      <c r="G105" s="1140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140"/>
      <c r="C106" s="1140"/>
      <c r="D106" s="1140"/>
      <c r="E106" s="1140"/>
      <c r="F106" s="1140"/>
      <c r="G106" s="1140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140"/>
      <c r="C107" s="1140"/>
      <c r="D107" s="1140"/>
      <c r="E107" s="1140"/>
      <c r="F107" s="1140"/>
      <c r="G107" s="1140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47" t="s">
        <v>346</v>
      </c>
      <c r="C109" s="1147"/>
      <c r="D109" s="1147"/>
      <c r="E109" s="1147"/>
      <c r="F109" s="1147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49" t="s">
        <v>347</v>
      </c>
      <c r="E112" s="1149"/>
      <c r="F112" s="1149"/>
      <c r="G112" s="1149"/>
      <c r="H112" s="1149"/>
      <c r="I112" s="1149"/>
      <c r="J112" s="1149"/>
      <c r="K112" s="1149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348</v>
      </c>
      <c r="D113" s="1190">
        <f>S3_storage.50_SUNET</f>
        <v>0.35</v>
      </c>
      <c r="E113" s="1190"/>
      <c r="F113" s="1167"/>
      <c r="G113" s="1167"/>
      <c r="H113" s="1167"/>
      <c r="I113" s="1167"/>
      <c r="J113" s="1167"/>
      <c r="K113" s="1167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349</v>
      </c>
      <c r="D114" s="1189">
        <f>S3_storage.100_SUNET</f>
        <v>0.19</v>
      </c>
      <c r="E114" s="1189"/>
      <c r="F114" s="1171"/>
      <c r="G114" s="1171"/>
      <c r="H114" s="1171"/>
      <c r="I114" s="1171"/>
      <c r="J114" s="1171"/>
      <c r="K114" s="1171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350</v>
      </c>
      <c r="D115" s="1188">
        <f>S3_storage.500_SUNET</f>
        <v>0.1</v>
      </c>
      <c r="E115" s="1188"/>
      <c r="F115" s="1170"/>
      <c r="G115" s="1170"/>
      <c r="H115" s="1170"/>
      <c r="I115" s="1170"/>
      <c r="J115" s="1170"/>
      <c r="K115" s="1170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351</v>
      </c>
      <c r="D116" s="1189">
        <f>S3_storage.1000_SUNET</f>
        <v>0.06</v>
      </c>
      <c r="E116" s="1189"/>
      <c r="F116" s="1171"/>
      <c r="G116" s="1171"/>
      <c r="H116" s="1171"/>
      <c r="I116" s="1171"/>
      <c r="J116" s="1171"/>
      <c r="K116" s="1171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5" t="str">
        <f>S3_storage.quote_SUNET</f>
        <v>Be om offert</v>
      </c>
      <c r="E117" s="1185"/>
      <c r="F117" s="1172"/>
      <c r="G117" s="1172"/>
      <c r="H117" s="1172"/>
      <c r="I117" s="1172"/>
      <c r="J117" s="1172"/>
      <c r="K117" s="1172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49" t="s">
        <v>221</v>
      </c>
      <c r="G120" s="1149"/>
      <c r="H120" s="285" t="s">
        <v>224</v>
      </c>
      <c r="I120" s="284"/>
      <c r="J120" s="284"/>
      <c r="K120" s="26" t="s">
        <v>352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6" cm="1">
        <f t="array" ref="F121">_xlfn.IFS(H121&lt;=299,D113,H121&lt;1000,D114,H121&lt;2000,D115,H121&gt;=2000,D116)</f>
        <v>0.35</v>
      </c>
      <c r="G121" s="1187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91">
        <f>ROUNDUP((H121*1000)*F121,2)</f>
        <v>0</v>
      </c>
      <c r="N121" s="1191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92">
        <f>SUM(M121)</f>
        <v>0</v>
      </c>
      <c r="N122" s="1192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140" t="s">
        <v>86</v>
      </c>
      <c r="C126" s="1140"/>
      <c r="D126" s="1140"/>
      <c r="E126" s="1140"/>
      <c r="F126" s="1140"/>
      <c r="G126" s="1140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140"/>
      <c r="C127" s="1140"/>
      <c r="D127" s="1140"/>
      <c r="E127" s="1140"/>
      <c r="F127" s="1140"/>
      <c r="G127" s="1140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140"/>
      <c r="C128" s="1140"/>
      <c r="D128" s="1140"/>
      <c r="E128" s="1140"/>
      <c r="F128" s="1140"/>
      <c r="G128" s="1140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55" t="s">
        <v>87</v>
      </c>
      <c r="C129" s="1155"/>
      <c r="D129" s="1155"/>
      <c r="E129" s="1155"/>
      <c r="F129" s="1155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125" t="s">
        <v>226</v>
      </c>
      <c r="C130" s="1125"/>
      <c r="D130" s="1125"/>
      <c r="E130" s="1125"/>
      <c r="F130" s="112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49" t="s">
        <v>228</v>
      </c>
      <c r="D133" s="1149"/>
      <c r="E133" s="138" t="s">
        <v>210</v>
      </c>
      <c r="F133" s="1149" t="s">
        <v>221</v>
      </c>
      <c r="G133" s="1149"/>
      <c r="H133" s="285" t="s">
        <v>90</v>
      </c>
      <c r="I133" s="284"/>
      <c r="J133" s="1124" t="s">
        <v>229</v>
      </c>
      <c r="K133" s="1124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73">
        <f>BAAS_on.demand_SEK</f>
        <v>2.4500000000000002</v>
      </c>
      <c r="G134" s="1174"/>
      <c r="H134" s="329">
        <v>0</v>
      </c>
      <c r="I134" s="512" t="s">
        <v>69</v>
      </c>
      <c r="J134" s="1129" t="s">
        <v>94</v>
      </c>
      <c r="K134" s="1129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75">
        <f>BAAS_small_SEK</f>
        <v>1.75</v>
      </c>
      <c r="G135" s="1176"/>
      <c r="H135" s="331">
        <v>0</v>
      </c>
      <c r="I135" s="513" t="s">
        <v>69</v>
      </c>
      <c r="J135" s="1133">
        <v>0.75</v>
      </c>
      <c r="K135" s="1134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7">
        <f>BAAS_large_SEK</f>
        <v>0.92</v>
      </c>
      <c r="G136" s="1178"/>
      <c r="H136" s="318">
        <v>0</v>
      </c>
      <c r="I136" s="514" t="s">
        <v>69</v>
      </c>
      <c r="J136" s="1138">
        <v>0.75</v>
      </c>
      <c r="K136" s="1139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56" t="s">
        <v>261</v>
      </c>
      <c r="C150" s="1156"/>
      <c r="D150" s="1156"/>
      <c r="E150" s="1156"/>
      <c r="F150" s="1156"/>
      <c r="G150" s="115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56"/>
      <c r="C151" s="1156"/>
      <c r="D151" s="1156"/>
      <c r="E151" s="1156"/>
      <c r="F151" s="1156"/>
      <c r="G151" s="115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56"/>
      <c r="C152" s="1156"/>
      <c r="D152" s="1156"/>
      <c r="E152" s="1156"/>
      <c r="F152" s="1156"/>
      <c r="G152" s="115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79" t="s">
        <v>226</v>
      </c>
      <c r="C153" s="1179"/>
      <c r="D153" s="1179"/>
      <c r="E153" s="1179"/>
      <c r="F153" s="1179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262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263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261</v>
      </c>
      <c r="N159" s="385"/>
      <c r="O159" s="386"/>
      <c r="P159" s="205"/>
      <c r="Q159" s="336"/>
    </row>
    <row r="160" spans="1:23" ht="25.5" customHeight="1">
      <c r="A160" s="382"/>
      <c r="B160" s="1182" t="s">
        <v>196</v>
      </c>
      <c r="C160" s="1182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83" t="s">
        <v>197</v>
      </c>
      <c r="C161" s="1183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84" t="s">
        <v>199</v>
      </c>
      <c r="C163" s="1184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81">
        <f>SUM(M160:M163)</f>
        <v>0</v>
      </c>
      <c r="K164" s="1181"/>
      <c r="L164" s="1181"/>
      <c r="M164" s="1181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353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354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355</v>
      </c>
      <c r="E2" s="124" t="s">
        <v>356</v>
      </c>
      <c r="F2" s="124" t="s">
        <v>357</v>
      </c>
      <c r="G2" s="525" t="s">
        <v>358</v>
      </c>
      <c r="I2" s="123" t="s">
        <v>359</v>
      </c>
      <c r="J2" s="124"/>
      <c r="K2" s="124"/>
    </row>
    <row r="3" spans="2:14" s="52" customFormat="1" ht="30" customHeight="1">
      <c r="B3" s="135" t="s">
        <v>360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361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357</v>
      </c>
      <c r="K4" s="494">
        <v>9.8000000000000004E-2</v>
      </c>
    </row>
    <row r="5" spans="2:14" s="52" customFormat="1" ht="30" customHeight="1">
      <c r="B5" s="135" t="s">
        <v>362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265</v>
      </c>
      <c r="J5" s="49"/>
      <c r="K5" s="495">
        <v>1</v>
      </c>
    </row>
    <row r="6" spans="2:14" s="52" customFormat="1" ht="30" customHeight="1">
      <c r="B6" s="86" t="s">
        <v>363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364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365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366</v>
      </c>
      <c r="J8" s="126" t="s">
        <v>367</v>
      </c>
      <c r="K8" s="124" t="s">
        <v>92</v>
      </c>
    </row>
    <row r="9" spans="2:14" s="52" customFormat="1" ht="30" customHeight="1">
      <c r="B9" s="135" t="s">
        <v>368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369</v>
      </c>
      <c r="J9" s="145"/>
      <c r="K9" s="17">
        <f>J9*IAAS_vcpu_SEK</f>
        <v>0</v>
      </c>
    </row>
    <row r="10" spans="2:14" s="52" customFormat="1" ht="30" customHeight="1">
      <c r="B10" s="454" t="s">
        <v>370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371</v>
      </c>
      <c r="J10" s="145"/>
      <c r="K10" s="87">
        <f>J10*IAAS_ram_SEK</f>
        <v>0</v>
      </c>
    </row>
    <row r="11" spans="2:14" s="153" customFormat="1" ht="30" customHeight="1">
      <c r="B11" s="135" t="s">
        <v>372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344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373</v>
      </c>
      <c r="C13" s="123"/>
      <c r="D13" s="124" t="s">
        <v>355</v>
      </c>
      <c r="E13" s="124" t="s">
        <v>203</v>
      </c>
      <c r="F13" s="124" t="s">
        <v>357</v>
      </c>
      <c r="G13" s="525" t="s">
        <v>374</v>
      </c>
      <c r="I13" s="125" t="s">
        <v>375</v>
      </c>
      <c r="J13" s="125"/>
      <c r="K13" s="126" t="s">
        <v>376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377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378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355</v>
      </c>
      <c r="E18" s="124" t="s">
        <v>203</v>
      </c>
      <c r="F18" s="124" t="s">
        <v>357</v>
      </c>
      <c r="G18" s="525" t="s">
        <v>374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355</v>
      </c>
      <c r="E22" s="124" t="s">
        <v>203</v>
      </c>
      <c r="F22" s="124" t="s">
        <v>357</v>
      </c>
      <c r="G22" s="525" t="s">
        <v>374</v>
      </c>
    </row>
    <row r="23" spans="2:7" ht="30" customHeight="1">
      <c r="B23" s="135" t="s">
        <v>379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380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381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382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383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355</v>
      </c>
      <c r="E29" s="124" t="s">
        <v>203</v>
      </c>
      <c r="F29" s="124" t="s">
        <v>357</v>
      </c>
      <c r="G29" s="525" t="s">
        <v>374</v>
      </c>
    </row>
    <row r="30" spans="2:7" ht="30" customHeight="1">
      <c r="B30" s="135" t="s">
        <v>384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385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386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387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388</v>
      </c>
      <c r="C34" s="46"/>
      <c r="D34" s="432" t="s">
        <v>389</v>
      </c>
      <c r="E34" s="158" t="str">
        <f>D34</f>
        <v>Be om offert</v>
      </c>
      <c r="F34" s="663" t="s">
        <v>393</v>
      </c>
      <c r="G34" s="527" t="str">
        <f>S3_storage.quote_SEK</f>
        <v>Be om offert</v>
      </c>
    </row>
    <row r="35" spans="2:7" ht="30" customHeight="1">
      <c r="B35" s="574" t="s">
        <v>425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426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427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428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429</v>
      </c>
      <c r="C39" s="85"/>
      <c r="D39" s="432" t="s">
        <v>389</v>
      </c>
      <c r="E39" s="156" t="str">
        <f>D39</f>
        <v>Be om offert</v>
      </c>
      <c r="F39" s="664" t="s">
        <v>393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390</v>
      </c>
      <c r="C41" s="123"/>
      <c r="D41" s="124" t="s">
        <v>355</v>
      </c>
      <c r="E41" s="124" t="s">
        <v>203</v>
      </c>
      <c r="F41" s="124" t="s">
        <v>357</v>
      </c>
      <c r="G41" s="525" t="s">
        <v>374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249</v>
      </c>
      <c r="E46" s="158" t="str">
        <f>D46</f>
        <v>Begär offert</v>
      </c>
      <c r="F46" s="673" t="s">
        <v>393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249</v>
      </c>
      <c r="E48" s="158" t="str">
        <f>D48</f>
        <v>Begär offert</v>
      </c>
      <c r="F48" s="159" t="s">
        <v>393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391</v>
      </c>
      <c r="C51" s="123"/>
      <c r="D51" s="124" t="s">
        <v>355</v>
      </c>
      <c r="E51" s="124" t="s">
        <v>203</v>
      </c>
      <c r="F51" s="124" t="s">
        <v>357</v>
      </c>
      <c r="G51" s="525" t="s">
        <v>374</v>
      </c>
    </row>
    <row r="52" spans="2:9" ht="30" customHeight="1">
      <c r="B52" s="135" t="s">
        <v>392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249</v>
      </c>
      <c r="F54" s="159" t="s">
        <v>393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249</v>
      </c>
      <c r="F55" s="157" t="s">
        <v>393</v>
      </c>
      <c r="G55" s="528" t="s">
        <v>94</v>
      </c>
    </row>
    <row r="56" spans="2:9" ht="30" customHeight="1">
      <c r="B56" s="135" t="s">
        <v>394</v>
      </c>
      <c r="C56" s="46"/>
      <c r="D56" s="150"/>
      <c r="E56" s="158" t="s">
        <v>249</v>
      </c>
      <c r="F56" s="159" t="s">
        <v>393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395</v>
      </c>
      <c r="F57" s="157" t="s">
        <v>396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243</v>
      </c>
      <c r="C60" s="123"/>
      <c r="D60" s="124" t="s">
        <v>355</v>
      </c>
      <c r="E60" s="124" t="s">
        <v>203</v>
      </c>
      <c r="F60" s="124" t="s">
        <v>357</v>
      </c>
      <c r="G60" s="525" t="s">
        <v>374</v>
      </c>
      <c r="I60" s="502"/>
    </row>
    <row r="61" spans="2:9" ht="30" customHeight="1">
      <c r="B61" s="135" t="s">
        <v>413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414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249</v>
      </c>
      <c r="F63" s="159" t="s">
        <v>599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249</v>
      </c>
      <c r="F64" s="157" t="s">
        <v>599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249</v>
      </c>
      <c r="F65" s="159" t="s">
        <v>599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249</v>
      </c>
      <c r="F66" s="157" t="s">
        <v>599</v>
      </c>
      <c r="G66" s="528" t="s">
        <v>94</v>
      </c>
    </row>
    <row r="67" spans="2:7" ht="30" customHeight="1">
      <c r="B67" s="135" t="s">
        <v>436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251</v>
      </c>
      <c r="C69" s="123"/>
      <c r="D69" s="124" t="s">
        <v>355</v>
      </c>
      <c r="E69" s="124" t="s">
        <v>203</v>
      </c>
      <c r="F69" s="124" t="s">
        <v>357</v>
      </c>
      <c r="G69" s="525" t="s">
        <v>374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2022-02-24T07:37:08Z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