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NOK/"/>
    </mc:Choice>
  </mc:AlternateContent>
  <xr:revisionPtr revIDLastSave="0" documentId="13_ncr:1_{27CD70D2-224C-A44A-8A42-7ACB09228559}" xr6:coauthVersionLast="47" xr6:coauthVersionMax="47" xr10:uidLastSave="{00000000-0000-0000-0000-000000000000}"/>
  <workbookProtection workbookAlgorithmName="SHA-512" workbookHashValue="flwOpWggv7MN8RdV3zj4cRMY8RK9GtYh6QBG8vzOHPhc6PocaCGxREf6gZPLaniq8u7D/zOKcIF0qPsw2i8bEw==" workbookSaltValue="J8ENkb1DLFNK91oUNVU9eQ==" workbookSpinCount="100000" lockStructure="1"/>
  <bookViews>
    <workbookView xWindow="0" yWindow="500" windowWidth="51200" windowHeight="28300" tabRatio="530" activeTab="3" xr2:uid="{00000000-000D-0000-FFFF-FFFF00000000}"/>
  </bookViews>
  <sheets>
    <sheet name="SEK - Safesprings tjänster 2023" sheetId="3" r:id="rId1"/>
    <sheet name="EUR - Safespring services 2023" sheetId="11" r:id="rId2"/>
    <sheet name="EUR - Safespring services 2021" sheetId="8" state="hidden" r:id="rId3"/>
    <sheet name="NOK - Safespring tjenester 2023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2023'!#REF!</definedName>
    <definedName name="Antal_instanser" localSheetId="3">'NOK - Safespring tjenester 2023'!#REF!</definedName>
    <definedName name="Antal_instanser">'SEK - Safesprings tjänster 2023'!#REF!</definedName>
    <definedName name="b2_list_Antal_instanser" localSheetId="1">'EUR - Safespring services 2023'!$C$46:$C$55</definedName>
    <definedName name="b2_list_Antal_instanser" localSheetId="3">'NOK - Safespring tjenester 2023'!$C$46:$C$55</definedName>
    <definedName name="b2_list_Antal_instanser">'SEK - Safesprings tjänster 2023'!$C$46:$C$55</definedName>
    <definedName name="b2_list_ram" localSheetId="1">'EUR - Safespring services 2023'!$D$46:$D$55</definedName>
    <definedName name="b2_list_ram" localSheetId="3">'NOK - Safespring tjenester 2023'!$D$46:$D$55</definedName>
    <definedName name="b2_list_ram">'SEK - Safesprings tjänster 2023'!$D$46:$D$55</definedName>
    <definedName name="b2_list_vCPU" localSheetId="1">'EUR - Safespring services 2023'!$I$46:$I$55</definedName>
    <definedName name="b2_list_vCPU" localSheetId="3">'NOK - Safespring tjenester 2023'!$I$46:$I$55</definedName>
    <definedName name="b2_list_vCPU">'SEK - Safesprings tjänster 2023'!$I$46:$I$55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2023'!#REF!</definedName>
    <definedName name="Disk__GB" localSheetId="3">'NOK - Safespring tjenester 2023'!#REF!</definedName>
    <definedName name="Disk__GB">'SEK - Safesprings tjänster 2023'!#REF!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2023'!#REF!</definedName>
    <definedName name="list_Antal_instanser" localSheetId="3">'NOK - Safespring tjenester 2023'!#REF!</definedName>
    <definedName name="list_Antal_instanser">'SEK - Safesprings tjänster 2023'!#REF!</definedName>
    <definedName name="list_Disk__GB" localSheetId="1">'EUR - Safespring services 2023'!#REF!</definedName>
    <definedName name="list_Disk__GB" localSheetId="3">'NOK - Safespring tjenester 2023'!#REF!</definedName>
    <definedName name="list_Disk__GB">'SEK - Safesprings tjänster 2023'!#REF!</definedName>
    <definedName name="list_RAM__GB" localSheetId="1">'EUR - Safespring services 2023'!#REF!</definedName>
    <definedName name="list_RAM__GB" localSheetId="3">'NOK - Safespring tjenester 2023'!#REF!</definedName>
    <definedName name="list_RAM__GB">'SEK - Safesprings tjänster 2023'!#REF!</definedName>
    <definedName name="list_vCPU" localSheetId="1">'EUR - Safespring services 2023'!#REF!</definedName>
    <definedName name="list_vCPU" localSheetId="3">'NOK - Safespring tjenester 2023'!#REF!</definedName>
    <definedName name="list_vCPU">'SEK - Safesprings tjänster 2023'!#REF!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2023'!#REF!</definedName>
    <definedName name="RAM__GB" localSheetId="3">'NOK - Safespring tjenester 2023'!#REF!</definedName>
    <definedName name="RAM__GB">'SEK - Safesprings tjänster 2023'!#REF!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2023'!$A$3:$L$242</definedName>
    <definedName name="_xlnm.Print_Area" localSheetId="3">'NOK - Safespring tjenester 2023'!$A$1:$L$243</definedName>
    <definedName name="_xlnm.Print_Area" localSheetId="4">'NOK - Safesprings tjeneste 2021'!$A$1:$N$305</definedName>
    <definedName name="_xlnm.Print_Area" localSheetId="0">'SEK - Safesprings tjänster 2023'!$A$1:$L$240</definedName>
    <definedName name="_xlnm.Print_Area" localSheetId="5">'SUNET SEK - priser 2020'!$A$1:$N$246</definedName>
    <definedName name="vCPU" localSheetId="1">'EUR - Safespring services 2023'!#REF!</definedName>
    <definedName name="vCPU" localSheetId="3">'NOK - Safespring tjenester 2023'!#REF!</definedName>
    <definedName name="vCPU">'SEK - Safesprings tjänster 2023'!#REF!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1" i="3" l="1"/>
  <c r="K172" i="3"/>
  <c r="K174" i="3"/>
  <c r="K175" i="3"/>
  <c r="K174" i="11"/>
  <c r="K175" i="11"/>
  <c r="K177" i="11"/>
  <c r="K178" i="11"/>
  <c r="B26" i="11"/>
  <c r="B46" i="12"/>
  <c r="C46" i="12"/>
  <c r="D46" i="12"/>
  <c r="E46" i="12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46" i="11"/>
  <c r="C46" i="11"/>
  <c r="D46" i="11"/>
  <c r="E46" i="11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C26" i="11"/>
  <c r="D26" i="11"/>
  <c r="E26" i="11"/>
  <c r="B27" i="11"/>
  <c r="C27" i="11"/>
  <c r="D27" i="11"/>
  <c r="E27" i="11"/>
  <c r="B28" i="11"/>
  <c r="C28" i="11"/>
  <c r="D28" i="11"/>
  <c r="E28" i="11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G38" i="12" l="1"/>
  <c r="K38" i="12" s="1"/>
  <c r="C39" i="12" a="1"/>
  <c r="C39" i="12" s="1"/>
  <c r="D39" i="12" a="1"/>
  <c r="D39" i="12" s="1"/>
  <c r="E39" i="12" a="1"/>
  <c r="E39" i="12" s="1"/>
  <c r="G38" i="3"/>
  <c r="K38" i="3" s="1"/>
  <c r="C39" i="3" a="1"/>
  <c r="C39" i="3" s="1"/>
  <c r="D39" i="3" a="1"/>
  <c r="D39" i="3" s="1"/>
  <c r="E39" i="3" a="1"/>
  <c r="E39" i="3" s="1"/>
  <c r="G38" i="11"/>
  <c r="K38" i="11" s="1"/>
  <c r="G51" i="12"/>
  <c r="K51" i="12" s="1"/>
  <c r="G50" i="12"/>
  <c r="K50" i="12" s="1"/>
  <c r="G36" i="12"/>
  <c r="F36" i="12" s="1"/>
  <c r="G35" i="12"/>
  <c r="K35" i="12" s="1"/>
  <c r="G55" i="11"/>
  <c r="K55" i="11" s="1"/>
  <c r="G54" i="11"/>
  <c r="K54" i="11" s="1"/>
  <c r="G37" i="11"/>
  <c r="K37" i="11" s="1"/>
  <c r="G36" i="11"/>
  <c r="K36" i="11" s="1"/>
  <c r="C39" i="11" a="1"/>
  <c r="C39" i="11" s="1"/>
  <c r="D39" i="11" a="1"/>
  <c r="D39" i="11" s="1"/>
  <c r="E39" i="11" a="1"/>
  <c r="E39" i="11" s="1"/>
  <c r="G55" i="3"/>
  <c r="K55" i="3" s="1"/>
  <c r="G54" i="3"/>
  <c r="F54" i="3" s="1"/>
  <c r="G37" i="3"/>
  <c r="K37" i="3" s="1"/>
  <c r="K163" i="11"/>
  <c r="K164" i="11"/>
  <c r="K161" i="3"/>
  <c r="K162" i="3"/>
  <c r="F38" i="12" l="1"/>
  <c r="F38" i="3"/>
  <c r="F38" i="11"/>
  <c r="F50" i="12"/>
  <c r="F51" i="12"/>
  <c r="K36" i="12"/>
  <c r="F35" i="12"/>
  <c r="F54" i="11"/>
  <c r="F55" i="11"/>
  <c r="F37" i="11"/>
  <c r="F36" i="11"/>
  <c r="K54" i="3"/>
  <c r="F55" i="3"/>
  <c r="F37" i="3"/>
  <c r="C231" i="12" a="1"/>
  <c r="C231" i="12" s="1"/>
  <c r="K133" i="12"/>
  <c r="K132" i="12"/>
  <c r="I120" i="12"/>
  <c r="K119" i="12"/>
  <c r="K118" i="12"/>
  <c r="D105" i="12"/>
  <c r="I83" i="12"/>
  <c r="I74" i="12"/>
  <c r="E74" i="12" a="1"/>
  <c r="E74" i="12" s="1"/>
  <c r="D74" i="12" a="1"/>
  <c r="D74" i="12" s="1"/>
  <c r="C74" i="12" a="1"/>
  <c r="C74" i="12" s="1"/>
  <c r="I65" i="12"/>
  <c r="F65" i="12" a="1"/>
  <c r="F65" i="12" s="1"/>
  <c r="E65" i="12" a="1"/>
  <c r="E65" i="12" s="1"/>
  <c r="D65" i="12" a="1"/>
  <c r="D65" i="12" s="1"/>
  <c r="C65" i="12" a="1"/>
  <c r="C65" i="12" s="1"/>
  <c r="I56" i="12"/>
  <c r="D56" i="12" a="1"/>
  <c r="D56" i="12" s="1"/>
  <c r="C56" i="12" a="1"/>
  <c r="C56" i="12" s="1"/>
  <c r="I39" i="12"/>
  <c r="K173" i="11"/>
  <c r="K150" i="11"/>
  <c r="I56" i="11"/>
  <c r="C56" i="11" a="1"/>
  <c r="C56" i="11" s="1"/>
  <c r="D56" i="11" a="1"/>
  <c r="D56" i="11" s="1"/>
  <c r="I39" i="11"/>
  <c r="C230" i="11" a="1"/>
  <c r="C230" i="11" s="1"/>
  <c r="K133" i="11"/>
  <c r="I120" i="11"/>
  <c r="K119" i="11"/>
  <c r="K118" i="11"/>
  <c r="D105" i="11"/>
  <c r="I83" i="11"/>
  <c r="I74" i="11"/>
  <c r="E74" i="11" a="1"/>
  <c r="E74" i="11" s="1"/>
  <c r="D74" i="11" a="1"/>
  <c r="D74" i="11" s="1"/>
  <c r="C74" i="11" a="1"/>
  <c r="C74" i="11" s="1"/>
  <c r="I65" i="11"/>
  <c r="F65" i="11" a="1"/>
  <c r="F65" i="11" s="1"/>
  <c r="E65" i="11" a="1"/>
  <c r="E65" i="11" s="1"/>
  <c r="D65" i="11" a="1"/>
  <c r="D65" i="11" s="1"/>
  <c r="C65" i="11" a="1"/>
  <c r="C65" i="11" s="1"/>
  <c r="K133" i="3"/>
  <c r="I39" i="3"/>
  <c r="C228" i="3" a="1"/>
  <c r="C228" i="3" s="1"/>
  <c r="I56" i="3"/>
  <c r="K118" i="3"/>
  <c r="K119" i="3"/>
  <c r="I120" i="3"/>
  <c r="D65" i="3" a="1"/>
  <c r="D65" i="3" s="1"/>
  <c r="E74" i="3" a="1"/>
  <c r="E74" i="3" s="1"/>
  <c r="D74" i="3" a="1"/>
  <c r="D74" i="3" s="1"/>
  <c r="C74" i="3" a="1"/>
  <c r="C74" i="3" s="1"/>
  <c r="E65" i="3" a="1"/>
  <c r="E65" i="3" s="1"/>
  <c r="F65" i="3" a="1"/>
  <c r="F65" i="3" s="1"/>
  <c r="C65" i="3" a="1"/>
  <c r="C65" i="3" s="1"/>
  <c r="D56" i="3" a="1"/>
  <c r="D56" i="3" s="1"/>
  <c r="C56" i="3" a="1"/>
  <c r="C56" i="3" s="1"/>
  <c r="D105" i="3"/>
  <c r="K132" i="3"/>
  <c r="K150" i="3"/>
  <c r="D117" i="8"/>
  <c r="D108" i="8"/>
  <c r="I83" i="3"/>
  <c r="E46" i="4"/>
  <c r="E32" i="4"/>
  <c r="F32" i="4"/>
  <c r="E33" i="4"/>
  <c r="F33" i="4"/>
  <c r="E34" i="4"/>
  <c r="E35" i="4"/>
  <c r="G94" i="3" s="1"/>
  <c r="K94" i="3" s="1"/>
  <c r="F35" i="4"/>
  <c r="E36" i="4"/>
  <c r="D102" i="3" s="1"/>
  <c r="F36" i="4"/>
  <c r="D105" i="8" s="1"/>
  <c r="E37" i="4"/>
  <c r="D103" i="11" s="1"/>
  <c r="F37" i="4"/>
  <c r="D106" i="8" s="1"/>
  <c r="E38" i="4"/>
  <c r="D104" i="11" s="1"/>
  <c r="E100" i="11" s="1" a="1"/>
  <c r="E100" i="11" s="1"/>
  <c r="K100" i="11" s="1" a="1"/>
  <c r="K100" i="11" s="1"/>
  <c r="K106" i="11" s="1"/>
  <c r="F38" i="4"/>
  <c r="D107" i="8" s="1"/>
  <c r="E39" i="4"/>
  <c r="G34" i="4" s="1"/>
  <c r="G39" i="4"/>
  <c r="F31" i="4"/>
  <c r="E31" i="4"/>
  <c r="F30" i="4"/>
  <c r="G95" i="11" s="1"/>
  <c r="E30" i="4"/>
  <c r="G95" i="3" s="1"/>
  <c r="K95" i="3" s="1"/>
  <c r="D114" i="8" l="1"/>
  <c r="C229" i="3"/>
  <c r="K134" i="12"/>
  <c r="D104" i="8"/>
  <c r="E103" i="8" s="1" a="1"/>
  <c r="E103" i="8" s="1"/>
  <c r="M103" i="8" s="1" a="1"/>
  <c r="M103" i="8" s="1"/>
  <c r="M109" i="8" s="1"/>
  <c r="G94" i="11"/>
  <c r="K94" i="11" s="1"/>
  <c r="K95" i="11"/>
  <c r="G95" i="12"/>
  <c r="K95" i="12" s="1"/>
  <c r="D102" i="12"/>
  <c r="D101" i="3"/>
  <c r="D101" i="11"/>
  <c r="D103" i="12"/>
  <c r="G94" i="12"/>
  <c r="K94" i="12" s="1"/>
  <c r="D101" i="12"/>
  <c r="D104" i="12"/>
  <c r="E100" i="12" s="1" a="1"/>
  <c r="E100" i="12" s="1"/>
  <c r="K100" i="12" s="1" a="1"/>
  <c r="K100" i="12" s="1"/>
  <c r="K106" i="12" s="1"/>
  <c r="D104" i="3"/>
  <c r="E100" i="3" s="1" a="1"/>
  <c r="E100" i="3" s="1"/>
  <c r="K100" i="3" s="1" a="1"/>
  <c r="K100" i="3" s="1"/>
  <c r="K106" i="3" s="1"/>
  <c r="D102" i="11"/>
  <c r="D103" i="3"/>
  <c r="K96" i="3"/>
  <c r="D115" i="8"/>
  <c r="D116" i="8"/>
  <c r="D113" i="8"/>
  <c r="E112" i="8" s="1" a="1"/>
  <c r="E112" i="8" s="1"/>
  <c r="M112" i="8" s="1" a="1"/>
  <c r="M112" i="8" s="1"/>
  <c r="M118" i="8" s="1"/>
  <c r="K134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5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2" i="12" l="1"/>
  <c r="K96" i="11"/>
  <c r="J231" i="11" s="1"/>
  <c r="C231" i="11"/>
  <c r="L174" i="8"/>
  <c r="K172" i="11"/>
  <c r="G133" i="11"/>
  <c r="L173" i="8"/>
  <c r="G132" i="11"/>
  <c r="K132" i="11" s="1"/>
  <c r="K134" i="11" s="1"/>
  <c r="K171" i="11"/>
  <c r="K96" i="12"/>
  <c r="J232" i="12" s="1"/>
  <c r="K170" i="3"/>
  <c r="K169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3" i="11" l="1"/>
  <c r="G52" i="11"/>
  <c r="G48" i="11"/>
  <c r="G49" i="11"/>
  <c r="G46" i="11"/>
  <c r="G47" i="11"/>
  <c r="G51" i="11"/>
  <c r="G50" i="11"/>
  <c r="G49" i="12"/>
  <c r="G46" i="12"/>
  <c r="G48" i="12"/>
  <c r="G55" i="12"/>
  <c r="G54" i="12"/>
  <c r="G47" i="12"/>
  <c r="G52" i="12"/>
  <c r="G53" i="12"/>
  <c r="G32" i="11"/>
  <c r="G31" i="11"/>
  <c r="G33" i="11"/>
  <c r="G29" i="11"/>
  <c r="G28" i="11"/>
  <c r="G35" i="11"/>
  <c r="G26" i="11"/>
  <c r="G27" i="11"/>
  <c r="G34" i="11"/>
  <c r="G30" i="11"/>
  <c r="H63" i="12"/>
  <c r="G28" i="12"/>
  <c r="G30" i="12"/>
  <c r="G33" i="12"/>
  <c r="H61" i="12"/>
  <c r="G31" i="12"/>
  <c r="G37" i="12"/>
  <c r="G32" i="12"/>
  <c r="H62" i="12"/>
  <c r="G27" i="12"/>
  <c r="H64" i="12"/>
  <c r="G34" i="12"/>
  <c r="G29" i="12"/>
  <c r="G50" i="3"/>
  <c r="G51" i="3"/>
  <c r="G47" i="3"/>
  <c r="G49" i="3"/>
  <c r="G52" i="3"/>
  <c r="G53" i="3"/>
  <c r="G46" i="3"/>
  <c r="G48" i="3"/>
  <c r="H62" i="11"/>
  <c r="H61" i="11"/>
  <c r="H64" i="11"/>
  <c r="H63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7" i="12"/>
  <c r="K47" i="12"/>
  <c r="G64" i="12"/>
  <c r="K64" i="12"/>
  <c r="K55" i="12"/>
  <c r="F55" i="12"/>
  <c r="F33" i="12"/>
  <c r="K33" i="12"/>
  <c r="F54" i="12"/>
  <c r="K54" i="12"/>
  <c r="G61" i="12"/>
  <c r="K61" i="12"/>
  <c r="K48" i="12"/>
  <c r="F48" i="12"/>
  <c r="K30" i="12"/>
  <c r="F30" i="12"/>
  <c r="K26" i="12"/>
  <c r="F26" i="12"/>
  <c r="F28" i="12"/>
  <c r="K28" i="12"/>
  <c r="K53" i="12"/>
  <c r="F53" i="12"/>
  <c r="K49" i="12"/>
  <c r="F49" i="12"/>
  <c r="K62" i="12"/>
  <c r="G62" i="12"/>
  <c r="K46" i="12"/>
  <c r="F46" i="12"/>
  <c r="F32" i="12"/>
  <c r="K32" i="12"/>
  <c r="F52" i="12"/>
  <c r="K52" i="12"/>
  <c r="F34" i="12"/>
  <c r="K34" i="12"/>
  <c r="K27" i="12"/>
  <c r="F27" i="12"/>
  <c r="K37" i="12"/>
  <c r="F37" i="12"/>
  <c r="G63" i="12"/>
  <c r="K63" i="12"/>
  <c r="G63" i="11"/>
  <c r="K63" i="11"/>
  <c r="K51" i="3"/>
  <c r="F51" i="3"/>
  <c r="K47" i="11"/>
  <c r="F47" i="11"/>
  <c r="K27" i="11"/>
  <c r="F27" i="11"/>
  <c r="K35" i="11"/>
  <c r="F35" i="11"/>
  <c r="K61" i="11"/>
  <c r="G61" i="11"/>
  <c r="K51" i="11"/>
  <c r="F51" i="11"/>
  <c r="K52" i="3"/>
  <c r="F52" i="3"/>
  <c r="K48" i="3"/>
  <c r="F48" i="3"/>
  <c r="K30" i="11"/>
  <c r="F30" i="11"/>
  <c r="K62" i="11"/>
  <c r="G62" i="11"/>
  <c r="K46" i="3"/>
  <c r="F46" i="3"/>
  <c r="K49" i="3"/>
  <c r="F49" i="3"/>
  <c r="F52" i="11"/>
  <c r="K52" i="11"/>
  <c r="K46" i="11"/>
  <c r="F46" i="11"/>
  <c r="G64" i="11"/>
  <c r="K64" i="11"/>
  <c r="K34" i="11"/>
  <c r="F34" i="11"/>
  <c r="F53" i="11"/>
  <c r="K53" i="11"/>
  <c r="F28" i="11"/>
  <c r="K28" i="11"/>
  <c r="F47" i="3"/>
  <c r="K47" i="3"/>
  <c r="K50" i="3"/>
  <c r="F50" i="3"/>
  <c r="K26" i="11"/>
  <c r="F26" i="11"/>
  <c r="K31" i="11"/>
  <c r="F31" i="11"/>
  <c r="F29" i="11"/>
  <c r="K29" i="11"/>
  <c r="K50" i="11"/>
  <c r="F50" i="11"/>
  <c r="F32" i="11"/>
  <c r="K32" i="11"/>
  <c r="F33" i="11"/>
  <c r="K33" i="11"/>
  <c r="K53" i="3"/>
  <c r="F53" i="3"/>
  <c r="F48" i="11"/>
  <c r="K48" i="11"/>
  <c r="F49" i="11"/>
  <c r="K49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9" i="12" l="1"/>
  <c r="K65" i="12"/>
  <c r="K56" i="12"/>
  <c r="K56" i="11"/>
  <c r="K39" i="11"/>
  <c r="K65" i="11"/>
  <c r="K56" i="3"/>
  <c r="K67" i="10"/>
  <c r="L76" i="10"/>
  <c r="K38" i="10"/>
  <c r="H133" i="8"/>
  <c r="J84" i="8"/>
  <c r="I84" i="8"/>
  <c r="J76" i="8"/>
  <c r="I76" i="8"/>
  <c r="I74" i="3"/>
  <c r="F71" i="4"/>
  <c r="F72" i="4"/>
  <c r="F73" i="4"/>
  <c r="F74" i="4"/>
  <c r="F75" i="4"/>
  <c r="F70" i="4"/>
  <c r="F45" i="4"/>
  <c r="K149" i="11" s="1"/>
  <c r="F42" i="4"/>
  <c r="K146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1" i="3"/>
  <c r="M195" i="10"/>
  <c r="K200" i="3"/>
  <c r="M194" i="10"/>
  <c r="K199" i="3"/>
  <c r="M193" i="10"/>
  <c r="K197" i="3"/>
  <c r="K198" i="3"/>
  <c r="K202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9" i="12" s="1"/>
  <c r="D131" i="8" l="1"/>
  <c r="E118" i="11"/>
  <c r="F132" i="8"/>
  <c r="G119" i="11"/>
  <c r="G72" i="11"/>
  <c r="F72" i="11" s="1"/>
  <c r="G72" i="12"/>
  <c r="D132" i="8"/>
  <c r="E119" i="11"/>
  <c r="F126" i="10"/>
  <c r="G119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2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F26" i="4"/>
  <c r="E26" i="4"/>
  <c r="G118" i="12" s="1"/>
  <c r="F23" i="4"/>
  <c r="E23" i="4"/>
  <c r="G117" i="12" s="1"/>
  <c r="K117" i="12" s="1"/>
  <c r="K120" i="12" s="1"/>
  <c r="J233" i="12" s="1"/>
  <c r="F49" i="4"/>
  <c r="L157" i="8" s="1"/>
  <c r="E49" i="4"/>
  <c r="M151" i="10" s="1"/>
  <c r="F47" i="4"/>
  <c r="E47" i="4"/>
  <c r="K152" i="12" s="1"/>
  <c r="L155" i="8"/>
  <c r="L154" i="8"/>
  <c r="E45" i="4"/>
  <c r="K150" i="12" s="1"/>
  <c r="F44" i="4"/>
  <c r="E44" i="4"/>
  <c r="K149" i="12" s="1"/>
  <c r="F43" i="4"/>
  <c r="E43" i="4"/>
  <c r="K148" i="12" s="1"/>
  <c r="L151" i="8"/>
  <c r="E42" i="4"/>
  <c r="K147" i="12" s="1"/>
  <c r="L153" i="8" l="1"/>
  <c r="K148" i="11"/>
  <c r="F72" i="12"/>
  <c r="K72" i="12"/>
  <c r="F131" i="8"/>
  <c r="G118" i="11"/>
  <c r="K72" i="11"/>
  <c r="L168" i="8"/>
  <c r="L156" i="8"/>
  <c r="K151" i="11"/>
  <c r="F130" i="8"/>
  <c r="G117" i="11"/>
  <c r="K117" i="11" s="1"/>
  <c r="K120" i="11" s="1"/>
  <c r="J232" i="11" s="1"/>
  <c r="L152" i="8"/>
  <c r="K147" i="11"/>
  <c r="M150" i="10"/>
  <c r="M162" i="10"/>
  <c r="G117" i="3"/>
  <c r="K117" i="3" s="1"/>
  <c r="G118" i="3"/>
  <c r="M146" i="10"/>
  <c r="M148" i="10"/>
  <c r="M145" i="10"/>
  <c r="M147" i="10"/>
  <c r="J229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6" i="3"/>
  <c r="K148" i="3"/>
  <c r="K147" i="3"/>
  <c r="K149" i="3"/>
  <c r="K151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1" i="11" l="1"/>
  <c r="F71" i="11" s="1"/>
  <c r="G71" i="12"/>
  <c r="G73" i="11"/>
  <c r="K73" i="11" s="1"/>
  <c r="G73" i="12"/>
  <c r="G71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3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1" i="12" s="1"/>
  <c r="E19" i="4"/>
  <c r="E52" i="4"/>
  <c r="F52" i="4"/>
  <c r="K161" i="11" s="1"/>
  <c r="E53" i="4"/>
  <c r="F53" i="4"/>
  <c r="K162" i="11" s="1"/>
  <c r="K163" i="12" l="1"/>
  <c r="K160" i="3"/>
  <c r="K162" i="12"/>
  <c r="K159" i="3"/>
  <c r="K71" i="11"/>
  <c r="K74" i="11" s="1"/>
  <c r="F73" i="11"/>
  <c r="F89" i="8"/>
  <c r="G80" i="11"/>
  <c r="G82" i="11"/>
  <c r="K160" i="11"/>
  <c r="K159" i="11"/>
  <c r="G82" i="12"/>
  <c r="G80" i="12"/>
  <c r="K160" i="12"/>
  <c r="K161" i="12"/>
  <c r="K73" i="12"/>
  <c r="F73" i="12"/>
  <c r="L163" i="8"/>
  <c r="K81" i="12"/>
  <c r="F81" i="12"/>
  <c r="F71" i="12"/>
  <c r="K71" i="12"/>
  <c r="F90" i="8"/>
  <c r="G81" i="11"/>
  <c r="K81" i="11" s="1"/>
  <c r="M157" i="10"/>
  <c r="L81" i="10"/>
  <c r="G82" i="3"/>
  <c r="K82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1" i="3"/>
  <c r="H63" i="3"/>
  <c r="H62" i="3"/>
  <c r="H64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1" i="3"/>
  <c r="K89" i="8"/>
  <c r="E89" i="8"/>
  <c r="G80" i="3"/>
  <c r="L84" i="10" l="1"/>
  <c r="F81" i="11"/>
  <c r="K80" i="12"/>
  <c r="F80" i="12"/>
  <c r="K82" i="12"/>
  <c r="F82" i="12"/>
  <c r="F82" i="3"/>
  <c r="K74" i="12"/>
  <c r="K80" i="11"/>
  <c r="F80" i="11"/>
  <c r="F82" i="11"/>
  <c r="K82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1" i="3"/>
  <c r="K61" i="3"/>
  <c r="L73" i="8"/>
  <c r="G73" i="8"/>
  <c r="G64" i="3"/>
  <c r="K64" i="3"/>
  <c r="G72" i="8"/>
  <c r="L72" i="8"/>
  <c r="G62" i="3"/>
  <c r="K62" i="3"/>
  <c r="L75" i="8"/>
  <c r="G75" i="8"/>
  <c r="G63" i="3"/>
  <c r="K63" i="3"/>
  <c r="E90" i="8"/>
  <c r="K90" i="8"/>
  <c r="K91" i="8" s="1"/>
  <c r="K83" i="12" l="1"/>
  <c r="J231" i="12" s="1"/>
  <c r="J234" i="12" s="1"/>
  <c r="K83" i="11"/>
  <c r="J230" i="11" s="1"/>
  <c r="J233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1" i="3" l="1"/>
  <c r="F72" i="3"/>
  <c r="F73" i="3"/>
  <c r="K72" i="3" l="1"/>
  <c r="K73" i="3"/>
  <c r="K71" i="3"/>
  <c r="K74" i="3" l="1"/>
  <c r="K39" i="3" l="1"/>
  <c r="K65" i="3" l="1"/>
  <c r="K11" i="4" l="1"/>
  <c r="K120" i="3" l="1"/>
  <c r="J230" i="3" s="1"/>
  <c r="K81" i="3"/>
  <c r="K80" i="3"/>
  <c r="F81" i="3"/>
  <c r="F80" i="3"/>
  <c r="K83" i="3" l="1"/>
  <c r="J228" i="3" s="1"/>
  <c r="J23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<sst xmlns="http://schemas.openxmlformats.org/spreadsheetml/2006/main" count="2108" uniqueCount="672">
  <si>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</si>
  <si>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</si>
  <si>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</si>
  <si>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</si>
  <si>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</si>
  <si>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</si>
  <si>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</si>
  <si>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</si>
  <si>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</si>
  <si>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</si>
  <si>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</si>
  <si>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</si>
  <si>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</si>
  <si>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</si>
  <si>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</si>
  <si>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</si>
  <si>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</si>
  <si>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</si>
  <si>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</si>
  <si>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</si>
  <si>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</si>
  <si>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</si>
  <si>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</si>
  <si>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</si>
  <si>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</si>
  <si>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</si>
  <si>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</si>
  <si>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</si>
  <si>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</si>
  <si>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</si>
  <si>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</si>
  <si>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</si>
  <si>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</si>
  <si>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</si>
  <si>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</si>
  <si>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</si>
  <si>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</si>
  <si>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</si>
  <si>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</si>
  <si>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</si>
  <si>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</si>
  <si>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</si>
  <si>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</si>
  <si>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</si>
  <si>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</si>
  <si>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</si>
  <si>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</si>
  <si>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</si>
  <si>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</si>
  <si>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</si>
  <si>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</si>
  <si>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</si>
  <si>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</si>
  <si>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</si>
  <si>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</si>
  <si>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</si>
  <si>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</si>
  <si>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</si>
  <si>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</si>
  <si>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</si>
  <si>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</si>
  <si>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</si>
  <si>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</si>
  <si>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</si>
  <si>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</si>
  <si>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</si>
  <si>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</si>
  <si>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</si>
  <si>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</si>
  <si>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</si>
  <si>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</si>
  <si>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</si>
  <si>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</si>
  <si>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</si>
  <si>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</si>
  <si>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</si>
  <si>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</si>
  <si>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</si>
  <si>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</si>
  <si>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</si>
  <si>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</si>
  <si>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</si>
  <si>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</si>
  <si>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</si>
  <si>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</si>
  <si>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</si>
  <si>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</si>
  <si>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</si>
  <si>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</si>
  <si>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</si>
  <si>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</si>
  <si>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</si>
  <si>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</si>
  <si>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</si>
  <si>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</si>
  <si>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</si>
  <si>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</si>
  <si>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</si>
  <si>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</si>
  <si>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</si>
  <si>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</si>
  <si>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</si>
  <si>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</si>
  <si>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</si>
  <si>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</si>
  <si>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</si>
  <si>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</si>
  <si>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</si>
  <si>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</si>
  <si>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</si>
  <si>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</si>
  <si>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</si>
  <si>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</si>
  <si>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</si>
  <si>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</si>
  <si>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</si>
  <si>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</si>
  <si>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</si>
  <si>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</si>
  <si>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</si>
  <si>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</si>
  <si>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</si>
  <si>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</si>
  <si>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</si>
  <si>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</si>
  <si>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</si>
  <si>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</si>
  <si>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</si>
  <si>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</si>
  <si>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</si>
  <si>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</si>
  <si>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</si>
  <si>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</si>
  <si>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</si>
  <si>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</si>
  <si>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</si>
  <si>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</si>
  <si>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</si>
  <si>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</si>
  <si>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</si>
  <si>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</si>
  <si>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</si>
  <si>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</si>
  <si>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</si>
  <si>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</si>
  <si>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</si>
  <si>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</si>
  <si>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</si>
  <si>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</si>
  <si>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</si>
  <si>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</si>
  <si>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</si>
  <si>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</si>
  <si>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</si>
  <si>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</si>
  <si>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</si>
  <si>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</si>
  <si>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</si>
  <si>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</si>
  <si>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</si>
  <si>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</si>
  <si>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</si>
  <si>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</si>
  <si>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</si>
  <si>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</si>
  <si>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</si>
  <si>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</si>
  <si>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</si>
  <si>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</si>
  <si>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</si>
  <si>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</si>
  <si>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</si>
  <si>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</si>
  <si>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</si>
  <si>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</si>
  <si>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</si>
  <si>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</si>
  <si>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</si>
  <si>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</si>
  <si>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</si>
  <si>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</si>
  <si>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</si>
  <si>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</si>
  <si>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</si>
  <si>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</si>
  <si>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</si>
  <si>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</si>
  <si>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</si>
  <si>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</si>
  <si>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</si>
  <si>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</si>
  <si>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</si>
  <si>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</si>
  <si>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</si>
  <si>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</si>
  <si>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</si>
  <si>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</si>
  <si>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</si>
  <si>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</si>
  <si>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</si>
  <si>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</si>
  <si>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</si>
  <si>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</si>
  <si>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</si>
  <si>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</si>
  <si>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</si>
  <si>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</si>
  <si>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</si>
  <si>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</si>
  <si>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</si>
  <si>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</si>
  <si>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</si>
  <si>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</si>
  <si>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</si>
  <si>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</si>
  <si>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</si>
  <si>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</si>
  <si>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</si>
  <si>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</si>
  <si>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</si>
  <si>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</si>
  <si>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</si>
  <si>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</si>
  <si>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</si>
  <si>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</si>
  <si>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</si>
  <si>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</si>
  <si>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</si>
  <si>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</si>
  <si>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</si>
  <si>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</si>
  <si>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</si>
  <si>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</si>
  <si>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</si>
  <si>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</si>
  <si>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</si>
  <si>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</si>
  <si>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</si>
  <si>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</si>
  <si>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</si>
  <si>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</si>
  <si>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</si>
  <si>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</si>
  <si>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</si>
  <si>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</si>
  <si>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</si>
  <si>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</si>
  <si>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</si>
  <si>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</si>
  <si>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</si>
  <si>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</si>
  <si>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</si>
  <si>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</si>
  <si>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</si>
  <si>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</si>
  <si>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</si>
  <si>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</si>
  <si>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</si>
  <si>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</si>
  <si>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</si>
  <si>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</si>
  <si>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</si>
  <si>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</si>
  <si>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</si>
  <si>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</si>
  <si>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</si>
  <si>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</si>
  <si>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</si>
  <si>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</si>
  <si>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</si>
  <si>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</si>
  <si>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</si>
  <si>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</si>
  <si>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</si>
  <si>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</si>
  <si>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</si>
  <si>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</si>
  <si>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</si>
  <si>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</si>
  <si>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</si>
  <si>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</si>
  <si>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</si>
  <si>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</si>
  <si>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</si>
  <si>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</si>
  <si>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</si>
  <si>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</si>
  <si>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</si>
  <si>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</si>
  <si>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</si>
  <si>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</si>
  <si>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</si>
  <si>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</si>
  <si>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</si>
  <si>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</si>
  <si>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</si>
  <si>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</si>
  <si>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</si>
  <si>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</si>
  <si>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</si>
  <si>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</si>
  <si>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</si>
  <si>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</si>
  <si>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</si>
  <si>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</si>
  <si>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</si>
  <si>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</si>
  <si>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</si>
  <si>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</si>
  <si>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</si>
  <si>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</si>
  <si>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</si>
  <si>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</si>
  <si>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</si>
  <si>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</si>
  <si>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</si>
  <si>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</si>
  <si>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</si>
  <si>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</si>
  <si>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</si>
  <si>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</si>
  <si>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</si>
  <si>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</si>
  <si>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</si>
  <si>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</si>
  <si>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</si>
  <si>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</si>
  <si>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</si>
  <si>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</si>
  <si>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</si>
  <si>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</si>
  <si>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</si>
  <si>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</si>
  <si>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</si>
  <si>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</si>
  <si>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</si>
  <si>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</si>
  <si>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</si>
  <si>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</si>
  <si>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</si>
  <si>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</si>
  <si>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</si>
  <si>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</si>
  <si>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</si>
  <si>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</si>
  <si>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</si>
  <si>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</si>
  <si>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</si>
  <si>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</si>
  <si>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</si>
  <si>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</si>
  <si>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</si>
  <si>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</si>
  <si>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</si>
  <si>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</si>
  <si>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</si>
  <si>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</si>
  <si>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</si>
  <si>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</si>
  <si>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</si>
  <si>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</si>
  <si>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</si>
  <si>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</si>
  <si>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</si>
  <si>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</si>
  <si>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</si>
  <si>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</si>
  <si>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</si>
  <si>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</si>
  <si>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</si>
  <si>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</si>
  <si>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</si>
  <si>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</si>
  <si>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</si>
  <si>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</si>
  <si>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</si>
  <si>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</si>
  <si>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</si>
  <si>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</si>
  <si>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</si>
  <si>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</si>
  <si>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</si>
  <si>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</si>
  <si>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</si>
  <si>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</si>
  <si>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</si>
  <si>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</si>
  <si>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</si>
  <si>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</si>
  <si>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</si>
  <si>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</si>
  <si>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</si>
  <si>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</si>
  <si>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</si>
  <si>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</si>
  <si>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</si>
  <si>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</si>
  <si>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</si>
  <si>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</si>
  <si>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</si>
  <si>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</si>
  <si>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</si>
  <si>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</si>
  <si>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</si>
  <si>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</si>
  <si>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</si>
  <si>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</si>
  <si>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</si>
  <si>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</si>
  <si>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</si>
  <si>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</si>
  <si>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</si>
  <si>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</si>
  <si>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</si>
  <si>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</si>
  <si>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</si>
  <si>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</si>
  <si>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</si>
  <si>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</si>
  <si>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</si>
  <si>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</si>
  <si>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</si>
  <si>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</si>
  <si>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</si>
  <si>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</si>
  <si>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</si>
  <si>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</si>
  <si>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</si>
  <si>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</si>
  <si>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</si>
  <si>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</si>
  <si>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</si>
  <si>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</si>
  <si>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</si>
  <si>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</si>
  <si>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</si>
  <si>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</si>
  <si>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</si>
  <si>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</si>
  <si>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</si>
  <si>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</si>
  <si>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</si>
  <si>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</si>
  <si>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</si>
  <si>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</si>
  <si>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</si>
  <si>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</si>
  <si>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</si>
  <si>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</si>
  <si>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</si>
  <si>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</si>
  <si>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</si>
  <si>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</si>
  <si>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</si>
  <si>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</si>
  <si>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</si>
  <si>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</si>
  <si>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</si>
  <si>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</si>
  <si>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</si>
  <si>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</si>
  <si>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</si>
  <si>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</si>
  <si>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</si>
  <si>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</si>
  <si>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</si>
  <si>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</si>
  <si>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</si>
  <si>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</si>
  <si>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</si>
  <si>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</si>
  <si>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</si>
  <si>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</si>
  <si>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</si>
  <si>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</si>
  <si>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</si>
  <si>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</si>
  <si>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</si>
  <si>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</si>
  <si>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</si>
  <si>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</si>
  <si>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</si>
  <si>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</si>
  <si>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</si>
  <si>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</si>
  <si>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</si>
  <si>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</si>
  <si>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</si>
  <si>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</si>
  <si>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</si>
  <si>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</si>
  <si>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</si>
  <si>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</si>
  <si>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</si>
  <si>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</si>
  <si>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</si>
  <si>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</si>
  <si>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</si>
  <si>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</si>
  <si>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</si>
  <si>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</si>
  <si>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</si>
  <si>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</si>
  <si>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</si>
  <si>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</si>
  <si>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</si>
  <si>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</si>
  <si>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</si>
  <si>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</si>
  <si>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</si>
  <si>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</si>
  <si>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</si>
  <si>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</si>
  <si>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</si>
  <si>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</si>
  <si>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</si>
  <si>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</si>
  <si>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</si>
  <si>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</si>
  <si>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</si>
  <si>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</si>
  <si>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</si>
  <si>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</si>
  <si>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</si>
  <si>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</si>
  <si>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</si>
  <si>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</si>
  <si>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</si>
  <si>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</si>
  <si>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</si>
  <si>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</si>
  <si>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</si>
  <si>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</si>
  <si>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</si>
  <si>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</si>
  <si>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</si>
  <si>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</si>
  <si>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</si>
  <si>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</si>
  <si>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</si>
  <si>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</si>
  <si>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</si>
  <si>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</si>
  <si>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</si>
  <si>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</si>
  <si>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</si>
  <si>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</si>
  <si>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</si>
  <si>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</si>
  <si>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</si>
  <si>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</si>
  <si>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</si>
  <si>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</si>
  <si>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</si>
  <si>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</si>
  <si>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</si>
  <si>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</si>
  <si>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</si>
  <si>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</si>
  <si>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</si>
  <si>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</si>
  <si>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</si>
  <si>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</si>
  <si>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</si>
  <si>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</si>
  <si>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</si>
  <si>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</si>
  <si>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</si>
  <si>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</si>
  <si>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</si>
  <si>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</si>
  <si>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</si>
  <si>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</si>
  <si>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</si>
  <si>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</si>
  <si>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</si>
  <si>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</si>
  <si>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</si>
  <si>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</si>
  <si>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</si>
  <si>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</si>
  <si>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</si>
  <si>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</si>
  <si>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</si>
  <si>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</si>
  <si>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</si>
  <si>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</si>
  <si>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</si>
  <si>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</si>
  <si>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</si>
  <si>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</si>
  <si>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</si>
  <si>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</si>
  <si>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</si>
  <si>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</si>
  <si>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</si>
  <si>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</si>
  <si>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</si>
  <si>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</si>
  <si>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</si>
  <si>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</si>
  <si>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</si>
  <si>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</si>
  <si>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</si>
  <si>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</si>
  <si>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</si>
  <si>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</si>
  <si>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</si>
  <si>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</si>
  <si>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</si>
  <si>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</si>
  <si>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</si>
  <si>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</si>
  <si>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</si>
  <si>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</si>
  <si>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</si>
  <si>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</si>
  <si>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</si>
  <si>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</si>
  <si>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</si>
  <si>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</si>
  <si>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</si>
  <si>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 xml:space="preserve"> Begär offert </t>
  </si>
  <si>
    <t xml:space="preserve"> Requests for quotation </t>
  </si>
  <si>
    <t>Kontaka oss för rabatter vid större lagringsmängder. Prismodell baserat på antal lagrade TB i månaden.</t>
  </si>
  <si>
    <t>Contact us for discounts on larger storage quantities. Pricing model based on the number of stored terabytes per month.</t>
  </si>
  <si>
    <t>Kontakt oss for rabatter på større lagringsmengder. Prismodell basert på antall lagrede TB per måned.</t>
  </si>
  <si>
    <t>hello@safespring.com</t>
  </si>
  <si>
    <t>No support</t>
  </si>
  <si>
    <t>Ingen suport</t>
  </si>
  <si>
    <t>Price calculator 2023-03-30</t>
  </si>
  <si>
    <t>Priskalkylator 2023-03-30</t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</si>
  <si>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</si>
  <si>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</si>
  <si>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</si>
  <si>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devops.microservices</t>
    </r>
  </si>
  <si>
    <r>
      <t xml:space="preserve">Lokal disk </t>
    </r>
    <r>
      <rPr>
        <sz val="11"/>
        <color theme="4"/>
        <rFont val="Hind Light"/>
      </rPr>
      <t>(GB)</t>
    </r>
  </si>
  <si>
    <r>
      <t>RAM</t>
    </r>
    <r>
      <rPr>
        <sz val="11"/>
        <color theme="4"/>
        <rFont val="Hind Light"/>
      </rPr>
      <t xml:space="preserve"> (GB)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</si>
  <si>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</si>
  <si>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</si>
  <si>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</si>
  <si>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</si>
  <si>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</si>
  <si>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</si>
  <si>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FLAVOR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</si>
  <si>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</si>
  <si>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</si>
  <si>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</si>
  <si>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</si>
  <si>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</si>
  <si>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l2. c32 r64.1000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</si>
  <si>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</si>
  <si>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</si>
  <si>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</si>
  <si>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</si>
  <si>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</si>
  <si>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</si>
  <si>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</si>
  <si>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</si>
  <si>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</si>
  <si>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</si>
  <si>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</si>
  <si>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</si>
  <si>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</si>
  <si>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</si>
  <si>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</rPr>
      <t>Central blocklagring</t>
    </r>
    <r>
      <rPr>
        <sz val="8"/>
        <color theme="3" tint="0.39997558519241921"/>
        <rFont val="Montserrat"/>
      </rPr>
      <t>" i prislistan.</t>
    </r>
  </si>
  <si>
    <t>Sentral blokklagring kan kjøpes til instansene. Se "Sentral blokklagring" i prislisten.</t>
  </si>
  <si>
    <t>Sentral blokklagring kan kjøpes til innsatsene. Se "Sentral blokklagring" i prislisten.</t>
  </si>
  <si>
    <t>Central block storage can be purchased for the instances. See "Central block storage" in the price list.</t>
  </si>
  <si>
    <t>Single basic Jupyter notebook with 1 lab, 8vCPU/16GB RAM virtual machine</t>
  </si>
  <si>
    <r>
      <rPr>
        <sz val="10"/>
        <color theme="1" tint="0.39997558519241921"/>
        <rFont val="Montserrat Medium"/>
      </rPr>
      <t>PAAS</t>
    </r>
    <r>
      <rPr>
        <sz val="11"/>
        <color theme="1"/>
        <rFont val="Montserrat Medium"/>
      </rPr>
      <t>-jupyter.notebook</t>
    </r>
  </si>
  <si>
    <t>Priskalkulator 31.07.2023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</si>
</sst>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  <numFmt numFmtId="185" formatCode="[$€-2]\ #,##0;[Red]\-[$€-2]\ #,##0"/>
    <numFmt numFmtId="186" formatCode="[$€-2]\ #,##0.00;\-[$€-2]\ #,##0.00"/>
  </numFmts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theme="4"/>
      <name val="Hind Light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  <font>
      <sz val="11"/>
      <color theme="4"/>
      <name val="Hind Light"/>
    </font>
    <font>
      <sz val="8"/>
      <color theme="3" tint="0.39997558519241921"/>
      <name val="Montserrat"/>
    </font>
    <font>
      <b/>
      <sz val="8"/>
      <color theme="5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8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4" borderId="0" xfId="0" applyNumberFormat="1" applyFont="1" applyFill="1" applyAlignment="1" applyProtection="1">
      <alignment horizontal="center" vertical="center" readingOrder="1"/>
      <protection hidden="1"/>
    </xf>
    <xf numFmtId="184" fontId="6" fillId="0" borderId="0" xfId="0" applyNumberFormat="1" applyFont="1" applyAlignment="1" applyProtection="1">
      <alignment horizontal="center" vertical="center" readingOrder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185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6" fontId="6" fillId="0" borderId="0" xfId="0" applyNumberFormat="1" applyFont="1" applyAlignment="1" applyProtection="1">
      <alignment horizontal="right" vertical="center" indent="1" readingOrder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76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top"/>
      <protection locked="0"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59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3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3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3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1</xdr:col>
      <xdr:colOff>63500</xdr:colOff>
      <xdr:row>128</xdr:row>
      <xdr:rowOff>0</xdr:rowOff>
    </xdr:from>
    <xdr:to>
      <xdr:col>1</xdr:col>
      <xdr:colOff>1892300</xdr:colOff>
      <xdr:row>129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609600</xdr:colOff>
      <xdr:row>127</xdr:row>
      <xdr:rowOff>177800</xdr:rowOff>
    </xdr:from>
    <xdr:to>
      <xdr:col>7</xdr:col>
      <xdr:colOff>177800</xdr:colOff>
      <xdr:row>129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914400</xdr:colOff>
      <xdr:row>127</xdr:row>
      <xdr:rowOff>139700</xdr:rowOff>
    </xdr:from>
    <xdr:to>
      <xdr:col>7</xdr:col>
      <xdr:colOff>482600</xdr:colOff>
      <xdr:row>129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7"/>
  <sheetViews>
    <sheetView showGridLines="0" topLeftCell="A156" zoomScale="120" zoomScaleNormal="120" zoomScaleSheetLayoutView="100" workbookViewId="0">
      <selection activeCell="I80" sqref="I80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3"/>
      <c r="C4" s="983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631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8" t="s">
        <v>608</v>
      </c>
      <c r="C15" s="978"/>
      <c r="D15" s="978"/>
      <c r="E15" s="978"/>
      <c r="F15" s="978"/>
      <c r="G15" s="978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399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0" t="s">
        <v>400</v>
      </c>
      <c r="C19" s="980"/>
      <c r="D19" s="980"/>
      <c r="E19" s="980"/>
      <c r="F19" s="980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401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663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84" t="s">
        <v>665</v>
      </c>
      <c r="C24" s="984"/>
      <c r="D24" s="984"/>
      <c r="E24" s="984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637</v>
      </c>
      <c r="E25" s="131" t="s">
        <v>636</v>
      </c>
      <c r="F25" s="131" t="s">
        <v>210</v>
      </c>
      <c r="G25" s="131" t="s">
        <v>429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638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639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640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641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642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643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644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645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646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647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648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649</v>
      </c>
      <c r="C37" s="95">
        <v>16</v>
      </c>
      <c r="D37" s="95">
        <v>32</v>
      </c>
      <c r="E37" s="653">
        <v>1000</v>
      </c>
      <c r="F37" s="692">
        <f t="shared" ref="F37:F38" si="3">G37/720</f>
        <v>5.6111111111111107</v>
      </c>
      <c r="G37" s="693">
        <f t="shared" ref="G37:G38" si="4">C37*IAAS_vcpu_SEK+D37*IAAS_ram_SEK+E37*IAAS_nvme_SEK</f>
        <v>4040</v>
      </c>
      <c r="H37" s="46"/>
      <c r="I37" s="691"/>
      <c r="J37" s="46"/>
      <c r="K37" s="839">
        <f t="shared" ref="K37:K38" si="5">ROUNDUP(I37*G37,2)</f>
        <v>0</v>
      </c>
      <c r="M37" s="664"/>
      <c r="P37" s="681"/>
      <c r="R37" s="681"/>
    </row>
    <row r="38" spans="2:19" s="675" customFormat="1" ht="25" customHeight="1">
      <c r="B38" s="445" t="s">
        <v>650</v>
      </c>
      <c r="C38" s="97">
        <v>32</v>
      </c>
      <c r="D38" s="97">
        <v>64</v>
      </c>
      <c r="E38" s="101">
        <v>1000</v>
      </c>
      <c r="F38" s="689">
        <f t="shared" si="3"/>
        <v>9.8333333333333339</v>
      </c>
      <c r="G38" s="690">
        <f t="shared" si="4"/>
        <v>7080</v>
      </c>
      <c r="H38" s="44"/>
      <c r="I38" s="691"/>
      <c r="J38" s="44"/>
      <c r="K38" s="838">
        <f t="shared" si="5"/>
        <v>0</v>
      </c>
      <c r="M38" s="664"/>
      <c r="P38" s="681"/>
      <c r="R38" s="681"/>
    </row>
    <row r="39" spans="2:19" s="873" customFormat="1" ht="25" customHeight="1">
      <c r="B39" s="869" t="s">
        <v>222</v>
      </c>
      <c r="C39" s="870" t="str" cm="1">
        <f t="array" ref="C39">SUM(C26:C37*I26:I37)&amp;" st"</f>
        <v>0 st</v>
      </c>
      <c r="D39" s="870" t="str" cm="1">
        <f t="array" ref="D39">SUM(D26:D37*I26:I37)&amp;" GB"</f>
        <v>0 GB</v>
      </c>
      <c r="E39" s="871" t="str" cm="1">
        <f t="array" ref="E39">SUM(E26:E37*I26:I37)&amp;" GB"</f>
        <v>0 GB</v>
      </c>
      <c r="F39" s="870"/>
      <c r="G39" s="870"/>
      <c r="H39" s="870"/>
      <c r="I39" s="870" t="str">
        <f>SUM(I26:I37)&amp;" st"</f>
        <v>0 st</v>
      </c>
      <c r="J39" s="870"/>
      <c r="K39" s="872">
        <f>SUM(K26:K37)</f>
        <v>0</v>
      </c>
      <c r="M39" s="664"/>
      <c r="P39" s="874"/>
      <c r="R39" s="874"/>
    </row>
    <row r="40" spans="2:19" s="675" customFormat="1" ht="25" customHeight="1">
      <c r="B40" s="694"/>
      <c r="C40" s="694"/>
      <c r="D40" s="694"/>
      <c r="E40" s="695"/>
      <c r="F40" s="696"/>
      <c r="G40" s="697"/>
      <c r="H40" s="698"/>
      <c r="I40" s="699"/>
      <c r="J40" s="700"/>
      <c r="K40" s="840"/>
      <c r="M40" s="664"/>
      <c r="P40" s="681"/>
      <c r="R40" s="681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841"/>
      <c r="M42" s="664"/>
      <c r="P42" s="681"/>
      <c r="Q42" s="681"/>
      <c r="R42" s="688"/>
    </row>
    <row r="43" spans="2:19" s="651" customFormat="1" ht="25" customHeight="1">
      <c r="B43" s="652" t="s">
        <v>664</v>
      </c>
      <c r="C43" s="650"/>
      <c r="D43" s="650"/>
      <c r="K43" s="842"/>
      <c r="M43" s="664"/>
    </row>
    <row r="44" spans="2:19" ht="25" customHeight="1">
      <c r="B44" s="984" t="s">
        <v>665</v>
      </c>
      <c r="C44" s="984"/>
      <c r="D44" s="984"/>
      <c r="E44" s="984"/>
      <c r="M44" s="664"/>
    </row>
    <row r="45" spans="2:19" s="706" customFormat="1" ht="25" customHeight="1">
      <c r="B45" s="444" t="s">
        <v>208</v>
      </c>
      <c r="C45" s="11" t="s">
        <v>10</v>
      </c>
      <c r="D45" s="11" t="s">
        <v>11</v>
      </c>
      <c r="E45" s="132" t="s">
        <v>440</v>
      </c>
      <c r="F45" s="12" t="s">
        <v>210</v>
      </c>
      <c r="G45" s="131" t="s">
        <v>429</v>
      </c>
      <c r="H45" s="705"/>
      <c r="I45" s="687" t="s">
        <v>212</v>
      </c>
      <c r="J45" s="686"/>
      <c r="K45" s="837" t="s">
        <v>215</v>
      </c>
      <c r="M45" s="664"/>
      <c r="O45" s="13"/>
      <c r="P45" s="707"/>
      <c r="Q45" s="707"/>
      <c r="R45" s="707"/>
      <c r="S45" s="13"/>
    </row>
    <row r="46" spans="2:19" s="675" customFormat="1" ht="25" customHeight="1">
      <c r="B46" s="445" t="s">
        <v>651</v>
      </c>
      <c r="C46" s="97">
        <v>1</v>
      </c>
      <c r="D46" s="97">
        <v>2</v>
      </c>
      <c r="E46" s="654">
        <v>0</v>
      </c>
      <c r="F46" s="689">
        <f t="shared" ref="F46:F54" si="6">G46/720</f>
        <v>0.2638888888888889</v>
      </c>
      <c r="G46" s="690">
        <f t="shared" ref="G46:G54" si="7">C46*IAAS_vcpu_SEK+D46*IAAS_ram_SEK+E46*IAAS_ssd_SEK</f>
        <v>190</v>
      </c>
      <c r="H46" s="44"/>
      <c r="I46" s="691"/>
      <c r="J46" s="44"/>
      <c r="K46" s="838">
        <f t="shared" ref="K46:K54" si="8">ROUNDUP(I46*G46,2)</f>
        <v>0</v>
      </c>
      <c r="M46" s="664"/>
      <c r="N46" s="708"/>
      <c r="O46" s="709"/>
    </row>
    <row r="47" spans="2:19" s="675" customFormat="1" ht="25" customHeight="1">
      <c r="B47" s="446" t="s">
        <v>652</v>
      </c>
      <c r="C47" s="95">
        <v>1</v>
      </c>
      <c r="D47" s="95">
        <v>4</v>
      </c>
      <c r="E47" s="655">
        <v>0</v>
      </c>
      <c r="F47" s="692">
        <f t="shared" si="6"/>
        <v>0.41666666666666669</v>
      </c>
      <c r="G47" s="693">
        <f t="shared" si="7"/>
        <v>300</v>
      </c>
      <c r="H47" s="46"/>
      <c r="I47" s="691"/>
      <c r="J47" s="46"/>
      <c r="K47" s="839">
        <f t="shared" si="8"/>
        <v>0</v>
      </c>
      <c r="L47" s="710"/>
      <c r="M47" s="664"/>
      <c r="N47" s="708"/>
      <c r="O47" s="709"/>
    </row>
    <row r="48" spans="2:19" s="675" customFormat="1" ht="25" customHeight="1">
      <c r="B48" s="445" t="s">
        <v>653</v>
      </c>
      <c r="C48" s="97">
        <v>2</v>
      </c>
      <c r="D48" s="97">
        <v>4</v>
      </c>
      <c r="E48" s="654">
        <v>0</v>
      </c>
      <c r="F48" s="689">
        <f t="shared" si="6"/>
        <v>0.52777777777777779</v>
      </c>
      <c r="G48" s="690">
        <f t="shared" si="7"/>
        <v>380</v>
      </c>
      <c r="H48" s="44"/>
      <c r="I48" s="691"/>
      <c r="J48" s="44"/>
      <c r="K48" s="838">
        <f t="shared" si="8"/>
        <v>0</v>
      </c>
      <c r="L48" s="710"/>
      <c r="M48" s="664"/>
      <c r="N48" s="708"/>
      <c r="O48" s="709"/>
    </row>
    <row r="49" spans="1:20" s="675" customFormat="1" ht="25" customHeight="1">
      <c r="B49" s="446" t="s">
        <v>654</v>
      </c>
      <c r="C49" s="95">
        <v>2</v>
      </c>
      <c r="D49" s="95">
        <v>8</v>
      </c>
      <c r="E49" s="655">
        <v>0</v>
      </c>
      <c r="F49" s="692">
        <f t="shared" si="6"/>
        <v>0.83333333333333337</v>
      </c>
      <c r="G49" s="693">
        <f t="shared" si="7"/>
        <v>600</v>
      </c>
      <c r="H49" s="46"/>
      <c r="I49" s="691"/>
      <c r="J49" s="46"/>
      <c r="K49" s="839">
        <f t="shared" si="8"/>
        <v>0</v>
      </c>
      <c r="L49" s="710"/>
      <c r="M49" s="664"/>
      <c r="N49" s="708"/>
      <c r="O49" s="973"/>
    </row>
    <row r="50" spans="1:20" s="675" customFormat="1" ht="25" customHeight="1">
      <c r="B50" s="445" t="s">
        <v>655</v>
      </c>
      <c r="C50" s="97">
        <v>4</v>
      </c>
      <c r="D50" s="97">
        <v>8</v>
      </c>
      <c r="E50" s="654">
        <v>0</v>
      </c>
      <c r="F50" s="689">
        <f t="shared" si="6"/>
        <v>1.0555555555555556</v>
      </c>
      <c r="G50" s="690">
        <f t="shared" si="7"/>
        <v>760</v>
      </c>
      <c r="H50" s="44"/>
      <c r="I50" s="691"/>
      <c r="J50" s="44"/>
      <c r="K50" s="838">
        <f t="shared" si="8"/>
        <v>0</v>
      </c>
      <c r="L50" s="710"/>
      <c r="M50" s="664"/>
      <c r="N50" s="708"/>
    </row>
    <row r="51" spans="1:20" s="675" customFormat="1" ht="25" customHeight="1">
      <c r="B51" s="446" t="s">
        <v>656</v>
      </c>
      <c r="C51" s="95">
        <v>4</v>
      </c>
      <c r="D51" s="95">
        <v>16</v>
      </c>
      <c r="E51" s="655">
        <v>0</v>
      </c>
      <c r="F51" s="692">
        <f t="shared" si="6"/>
        <v>1.6666666666666667</v>
      </c>
      <c r="G51" s="693">
        <f t="shared" si="7"/>
        <v>1200</v>
      </c>
      <c r="H51" s="46"/>
      <c r="I51" s="691"/>
      <c r="J51" s="46"/>
      <c r="K51" s="839">
        <f t="shared" si="8"/>
        <v>0</v>
      </c>
      <c r="L51" s="710"/>
      <c r="M51" s="664"/>
    </row>
    <row r="52" spans="1:20" s="675" customFormat="1" ht="25" customHeight="1">
      <c r="B52" s="445" t="s">
        <v>657</v>
      </c>
      <c r="C52" s="97">
        <v>8</v>
      </c>
      <c r="D52" s="97">
        <v>16</v>
      </c>
      <c r="E52" s="654">
        <v>0</v>
      </c>
      <c r="F52" s="689">
        <f t="shared" si="6"/>
        <v>2.1111111111111112</v>
      </c>
      <c r="G52" s="690">
        <f t="shared" si="7"/>
        <v>1520</v>
      </c>
      <c r="H52" s="44"/>
      <c r="I52" s="691"/>
      <c r="J52" s="44"/>
      <c r="K52" s="838">
        <f t="shared" si="8"/>
        <v>0</v>
      </c>
      <c r="L52" s="710"/>
      <c r="M52" s="664"/>
    </row>
    <row r="53" spans="1:20" s="675" customFormat="1" ht="25" customHeight="1">
      <c r="B53" s="446" t="s">
        <v>658</v>
      </c>
      <c r="C53" s="95">
        <v>8</v>
      </c>
      <c r="D53" s="95">
        <v>32</v>
      </c>
      <c r="E53" s="655">
        <v>0</v>
      </c>
      <c r="F53" s="692">
        <f t="shared" si="6"/>
        <v>3.3333333333333335</v>
      </c>
      <c r="G53" s="693">
        <f t="shared" si="7"/>
        <v>2400</v>
      </c>
      <c r="H53" s="46"/>
      <c r="I53" s="691"/>
      <c r="J53" s="46"/>
      <c r="K53" s="839">
        <f t="shared" si="8"/>
        <v>0</v>
      </c>
      <c r="L53" s="710"/>
      <c r="M53" s="664"/>
    </row>
    <row r="54" spans="1:20" s="675" customFormat="1" ht="25" customHeight="1">
      <c r="B54" s="445" t="s">
        <v>659</v>
      </c>
      <c r="C54" s="97">
        <v>16</v>
      </c>
      <c r="D54" s="97">
        <v>32</v>
      </c>
      <c r="E54" s="654">
        <v>0</v>
      </c>
      <c r="F54" s="689">
        <f t="shared" si="6"/>
        <v>4.2222222222222223</v>
      </c>
      <c r="G54" s="690">
        <f t="shared" si="7"/>
        <v>3040</v>
      </c>
      <c r="H54" s="44"/>
      <c r="I54" s="691"/>
      <c r="J54" s="44"/>
      <c r="K54" s="838">
        <f t="shared" si="8"/>
        <v>0</v>
      </c>
      <c r="L54" s="710"/>
      <c r="M54" s="664"/>
      <c r="P54" s="681"/>
      <c r="Q54" s="681"/>
      <c r="R54" s="681"/>
    </row>
    <row r="55" spans="1:20" s="675" customFormat="1" ht="25" customHeight="1">
      <c r="B55" s="446" t="s">
        <v>660</v>
      </c>
      <c r="C55" s="95">
        <v>16</v>
      </c>
      <c r="D55" s="95">
        <v>64</v>
      </c>
      <c r="E55" s="655">
        <v>0</v>
      </c>
      <c r="F55" s="692">
        <f t="shared" ref="F55" si="9">G55/720</f>
        <v>6.666666666666667</v>
      </c>
      <c r="G55" s="693">
        <f t="shared" ref="G55" si="10">C55*IAAS_vcpu_SEK+D55*IAAS_ram_SEK+E55*IAAS_ssd_SEK</f>
        <v>4800</v>
      </c>
      <c r="H55" s="46"/>
      <c r="I55" s="691"/>
      <c r="J55" s="46"/>
      <c r="K55" s="839">
        <f t="shared" ref="K55" si="11">ROUNDUP(I55*G55,2)</f>
        <v>0</v>
      </c>
      <c r="L55" s="710"/>
      <c r="M55" s="664"/>
      <c r="P55" s="681"/>
      <c r="Q55" s="681"/>
      <c r="R55" s="681"/>
    </row>
    <row r="56" spans="1:20" s="873" customFormat="1" ht="25" customHeight="1">
      <c r="A56" s="675"/>
      <c r="B56" s="869" t="s">
        <v>222</v>
      </c>
      <c r="C56" s="870" t="str" cm="1">
        <f t="array" ref="C56">SUM(b2_list_vCPU*b2_list_Antal_instanser)&amp;" st"</f>
        <v>0 st</v>
      </c>
      <c r="D56" s="870" t="str" cm="1">
        <f t="array" ref="D56">SUM(b2_list_ram*b2_list_vCPU)&amp;" GB"</f>
        <v>0 GB</v>
      </c>
      <c r="E56" s="875" t="s">
        <v>94</v>
      </c>
      <c r="F56" s="870"/>
      <c r="G56" s="870"/>
      <c r="H56" s="870"/>
      <c r="I56" s="870" t="str">
        <f>SUM(I46:I55)&amp;" st"</f>
        <v>0 st</v>
      </c>
      <c r="J56" s="870"/>
      <c r="K56" s="872">
        <f>SUM(K46:K55)</f>
        <v>0</v>
      </c>
      <c r="M56" s="664"/>
      <c r="N56" s="675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840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843"/>
      <c r="L58" s="712"/>
      <c r="M58" s="664"/>
      <c r="R58" s="713"/>
      <c r="S58" s="713"/>
      <c r="T58" s="714"/>
    </row>
    <row r="59" spans="1:20" ht="25" hidden="1" customHeight="1">
      <c r="B59" s="985" t="s">
        <v>603</v>
      </c>
      <c r="C59" s="985"/>
      <c r="D59" s="985"/>
      <c r="E59" s="985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837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2" si="12">H61/720</f>
        <v>9.6527777777777786</v>
      </c>
      <c r="H61" s="690">
        <f>C61*IAAS_vcpu_SEK+D61*IAAS_ram_SEK+E61*IAAS_nvme_SEK+F61*IAAS_gpu_SEK</f>
        <v>6950</v>
      </c>
      <c r="I61" s="908"/>
      <c r="J61" s="14"/>
      <c r="K61" s="838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2"/>
        <v>19.305555555555557</v>
      </c>
      <c r="H62" s="693">
        <f>C62*IAAS_vcpu_SEK+D62*IAAS_ram_SEK+E62*IAAS_nvme_SEK+F62*IAAS_gpu_SEK</f>
        <v>13900</v>
      </c>
      <c r="I62" s="908"/>
      <c r="J62" s="16"/>
      <c r="K62" s="839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ref="G63:G64" si="13">H63/720</f>
        <v>38.611111111111114</v>
      </c>
      <c r="H63" s="690">
        <f>C63*IAAS_vcpu_SEK+D63*IAAS_ram_SEK+E63*IAAS_nvme_SEK+F63*IAAS_gpu_SEK</f>
        <v>27800</v>
      </c>
      <c r="I63" s="908"/>
      <c r="J63" s="14"/>
      <c r="K63" s="838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3"/>
        <v>60.555555555555557</v>
      </c>
      <c r="H64" s="693">
        <f>C64*IAAS_vcpu_SEK+D64*IAAS_ram_SEK+E64*IAAS_nvme_SEK+F64*IAAS_gpu_SEK</f>
        <v>43600</v>
      </c>
      <c r="I64" s="908"/>
      <c r="J64" s="16"/>
      <c r="K64" s="839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872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4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844"/>
      <c r="M68" s="664"/>
      <c r="N68" s="8"/>
      <c r="O68" s="8"/>
      <c r="P68" s="684"/>
      <c r="Q68" s="8"/>
      <c r="R68" s="685"/>
    </row>
    <row r="69" spans="2:20" ht="25" hidden="1" customHeight="1">
      <c r="B69" s="985" t="s">
        <v>603</v>
      </c>
      <c r="C69" s="985"/>
      <c r="D69" s="985"/>
      <c r="E69" s="985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837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4">G71/720</f>
        <v>9.5</v>
      </c>
      <c r="G71" s="724">
        <f>INSTANCE_p1.2xlarge.16d_SEK</f>
        <v>6840</v>
      </c>
      <c r="H71" s="14"/>
      <c r="I71" s="908"/>
      <c r="J71" s="14"/>
      <c r="K71" s="838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4"/>
        <v>19</v>
      </c>
      <c r="G72" s="96">
        <f>INSTANCE_p1.4xlarge.16d_SEK</f>
        <v>13680</v>
      </c>
      <c r="H72" s="16"/>
      <c r="I72" s="908"/>
      <c r="J72" s="16"/>
      <c r="K72" s="839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4"/>
        <v>38</v>
      </c>
      <c r="G73" s="724">
        <f>INSTANCE_p1.8xlarge.32d_SEK</f>
        <v>27360</v>
      </c>
      <c r="H73" s="14"/>
      <c r="I73" s="908"/>
      <c r="J73" s="14"/>
      <c r="K73" s="838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872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845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844"/>
      <c r="L76" s="722"/>
      <c r="M76" s="664"/>
      <c r="Q76" s="681"/>
      <c r="S76" s="681"/>
    </row>
    <row r="77" spans="2:20" ht="25" customHeight="1">
      <c r="B77" s="649" t="s">
        <v>443</v>
      </c>
      <c r="C77" s="22"/>
      <c r="D77" s="22"/>
      <c r="E77" s="22"/>
      <c r="F77" s="22"/>
      <c r="G77" s="22"/>
      <c r="H77" s="8"/>
      <c r="I77" s="8"/>
      <c r="J77" s="8"/>
      <c r="K77" s="844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507</v>
      </c>
      <c r="M78" s="664"/>
    </row>
    <row r="79" spans="2:20" s="729" customFormat="1" ht="25" customHeight="1">
      <c r="B79" s="444" t="s">
        <v>208</v>
      </c>
      <c r="C79" s="24" t="s">
        <v>220</v>
      </c>
      <c r="D79" s="24"/>
      <c r="E79" s="24"/>
      <c r="F79" s="132" t="s">
        <v>210</v>
      </c>
      <c r="G79" s="131" t="s">
        <v>429</v>
      </c>
      <c r="H79" s="24"/>
      <c r="I79" s="728" t="s">
        <v>66</v>
      </c>
      <c r="J79" s="24"/>
      <c r="K79" s="612" t="s">
        <v>496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0">
        <f>G80/720</f>
        <v>1.6666666666666666E-3</v>
      </c>
      <c r="G80" s="723">
        <f>VOLUME_large_SEK</f>
        <v>1.2</v>
      </c>
      <c r="H80" s="732"/>
      <c r="I80" s="733"/>
      <c r="J80" s="399"/>
      <c r="K80" s="828">
        <f>ROUNDUP(I80*G80,2)</f>
        <v>0</v>
      </c>
      <c r="L80" s="8"/>
      <c r="M80" s="664"/>
    </row>
    <row r="81" spans="2:20" s="675" customFormat="1" ht="25" customHeight="1">
      <c r="B81" s="137" t="s">
        <v>460</v>
      </c>
      <c r="C81" s="41" t="s">
        <v>71</v>
      </c>
      <c r="D81" s="79"/>
      <c r="E81" s="79"/>
      <c r="F81" s="81">
        <f>G81/720</f>
        <v>5.0000000000000001E-3</v>
      </c>
      <c r="G81" s="725">
        <f>VOLUME_fast_SEK</f>
        <v>3.6</v>
      </c>
      <c r="H81" s="735"/>
      <c r="I81" s="737"/>
      <c r="J81" s="738"/>
      <c r="K81" s="829">
        <f>ROUNDUP(I81*G81,2)</f>
        <v>0</v>
      </c>
      <c r="L81" s="8"/>
      <c r="M81" s="664"/>
      <c r="T81" s="681"/>
    </row>
    <row r="82" spans="2:20" s="675" customFormat="1" ht="25" customHeight="1">
      <c r="B82" s="134" t="s">
        <v>461</v>
      </c>
      <c r="C82" s="39" t="s">
        <v>426</v>
      </c>
      <c r="D82" s="78"/>
      <c r="E82" s="78"/>
      <c r="F82" s="80">
        <f>G82/720</f>
        <v>1.6666666666666666E-3</v>
      </c>
      <c r="G82" s="723">
        <f>VOLUME_large_SEK</f>
        <v>1.2</v>
      </c>
      <c r="H82" s="739"/>
      <c r="I82" s="733"/>
      <c r="J82" s="399"/>
      <c r="K82" s="828">
        <f>ROUNDUP(I82*G82,2)</f>
        <v>0</v>
      </c>
      <c r="L82" s="8"/>
      <c r="M82" s="664"/>
    </row>
    <row r="83" spans="2:20" s="873" customFormat="1" ht="25" customHeight="1">
      <c r="B83" s="869" t="s">
        <v>222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872">
        <f>SUM(K80:K82)</f>
        <v>0</v>
      </c>
      <c r="M83" s="664"/>
      <c r="P83" s="874"/>
      <c r="R83" s="874"/>
    </row>
    <row r="84" spans="2:20" ht="25" customHeight="1">
      <c r="B84" s="452"/>
      <c r="C84" s="452"/>
      <c r="D84" s="76"/>
      <c r="E84" s="76"/>
      <c r="F84" s="76"/>
      <c r="G84" s="76"/>
      <c r="H84" s="721"/>
      <c r="I84" s="740"/>
      <c r="J84" s="740"/>
      <c r="K84" s="846"/>
      <c r="L84" s="742"/>
      <c r="M84" s="664"/>
    </row>
    <row r="85" spans="2:20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847"/>
      <c r="L85" s="741"/>
      <c r="M85" s="664"/>
    </row>
    <row r="86" spans="2:20" s="4" customFormat="1" ht="25" customHeight="1">
      <c r="B86" s="978" t="s">
        <v>609</v>
      </c>
      <c r="C86" s="978"/>
      <c r="D86" s="978"/>
      <c r="E86" s="978"/>
      <c r="F86" s="978"/>
      <c r="G86" s="978"/>
      <c r="H86" s="978"/>
      <c r="I86" s="978"/>
      <c r="J86" s="978"/>
      <c r="K86" s="978"/>
      <c r="M86" s="664"/>
    </row>
    <row r="87" spans="2:20" s="4" customFormat="1" ht="25" customHeight="1">
      <c r="B87" s="978"/>
      <c r="C87" s="978"/>
      <c r="D87" s="978"/>
      <c r="E87" s="978"/>
      <c r="F87" s="978"/>
      <c r="G87" s="978"/>
      <c r="H87" s="978"/>
      <c r="I87" s="978"/>
      <c r="J87" s="978"/>
      <c r="K87" s="978"/>
      <c r="M87" s="664"/>
    </row>
    <row r="88" spans="2:20" s="4" customFormat="1" ht="25" customHeight="1">
      <c r="B88" s="978"/>
      <c r="C88" s="978"/>
      <c r="D88" s="978"/>
      <c r="E88" s="978"/>
      <c r="F88" s="978"/>
      <c r="G88" s="978"/>
      <c r="H88" s="978"/>
      <c r="I88" s="978"/>
      <c r="J88" s="978"/>
      <c r="K88" s="978"/>
      <c r="M88" s="664"/>
    </row>
    <row r="89" spans="2:20" s="4" customFormat="1" ht="25" customHeight="1">
      <c r="B89" s="549" t="s">
        <v>508</v>
      </c>
      <c r="C89" s="549"/>
      <c r="D89" s="549"/>
      <c r="E89" s="549"/>
      <c r="F89" s="549"/>
      <c r="H89" s="672"/>
      <c r="J89" s="674"/>
      <c r="K89" s="833"/>
      <c r="M89" s="664"/>
    </row>
    <row r="90" spans="2:20" s="503" customFormat="1" ht="25" customHeight="1">
      <c r="B90" s="465" t="s">
        <v>624</v>
      </c>
      <c r="C90" s="465"/>
      <c r="D90" s="465"/>
      <c r="E90" s="465"/>
      <c r="F90" s="465"/>
      <c r="G90" s="743"/>
      <c r="H90" s="744"/>
      <c r="I90" s="743"/>
      <c r="J90" s="745"/>
      <c r="K90" s="848"/>
      <c r="L90" s="743"/>
      <c r="M90" s="664"/>
    </row>
    <row r="91" spans="2:20" s="4" customFormat="1" ht="25" customHeight="1">
      <c r="B91" s="552" t="s">
        <v>401</v>
      </c>
      <c r="C91" s="74"/>
      <c r="D91" s="74"/>
      <c r="E91" s="133"/>
      <c r="F91" s="133"/>
      <c r="G91" s="677"/>
      <c r="H91" s="678"/>
      <c r="I91" s="677"/>
      <c r="J91" s="679"/>
      <c r="K91" s="834"/>
      <c r="L91" s="746"/>
      <c r="M91" s="664"/>
      <c r="O91" s="675"/>
      <c r="P91" s="675"/>
    </row>
    <row r="92" spans="2:20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844"/>
      <c r="L92" s="722"/>
      <c r="M92" s="664"/>
      <c r="R92" s="681"/>
      <c r="T92" s="681"/>
    </row>
    <row r="93" spans="2:20" s="4" customFormat="1" ht="25" customHeight="1">
      <c r="B93" s="444" t="s">
        <v>208</v>
      </c>
      <c r="C93" s="10"/>
      <c r="D93" s="131"/>
      <c r="E93" s="131"/>
      <c r="F93" s="24"/>
      <c r="G93" s="131" t="s">
        <v>501</v>
      </c>
      <c r="H93" s="24"/>
      <c r="I93" s="728" t="s">
        <v>224</v>
      </c>
      <c r="J93" s="131"/>
      <c r="K93" s="612" t="s">
        <v>83</v>
      </c>
      <c r="L93" s="680"/>
      <c r="M93" s="664"/>
      <c r="N93" s="675"/>
    </row>
    <row r="94" spans="2:20" s="752" customFormat="1" ht="25" customHeight="1">
      <c r="B94" s="445" t="s">
        <v>497</v>
      </c>
      <c r="C94" s="912" t="s">
        <v>606</v>
      </c>
      <c r="D94" s="912"/>
      <c r="E94" s="522"/>
      <c r="F94" s="748"/>
      <c r="G94" s="747">
        <f>S3_archive.50_SEK</f>
        <v>350</v>
      </c>
      <c r="H94" s="748"/>
      <c r="I94" s="749"/>
      <c r="J94" s="750"/>
      <c r="K94" s="629">
        <f>I94*G94</f>
        <v>0</v>
      </c>
      <c r="L94" s="751"/>
      <c r="M94" s="664"/>
      <c r="N94" s="721"/>
    </row>
    <row r="95" spans="2:20" s="675" customFormat="1" ht="25" customHeight="1">
      <c r="B95" s="137" t="s">
        <v>462</v>
      </c>
      <c r="C95" s="41" t="s">
        <v>607</v>
      </c>
      <c r="D95" s="79"/>
      <c r="E95" s="79"/>
      <c r="F95" s="735"/>
      <c r="G95" s="648">
        <f>S3_storage50_SEK</f>
        <v>500</v>
      </c>
      <c r="H95" s="736"/>
      <c r="I95" s="753"/>
      <c r="J95" s="738"/>
      <c r="K95" s="829">
        <f>I95*G95</f>
        <v>0</v>
      </c>
      <c r="L95" s="8"/>
      <c r="M95" s="664"/>
      <c r="T95" s="681"/>
    </row>
    <row r="96" spans="2:20" s="873" customFormat="1" ht="25" customHeight="1">
      <c r="B96" s="869" t="s">
        <v>222</v>
      </c>
      <c r="C96" s="870"/>
      <c r="D96" s="870"/>
      <c r="E96" s="870"/>
      <c r="F96" s="870"/>
      <c r="G96" s="870"/>
      <c r="H96" s="870"/>
      <c r="I96" s="870"/>
      <c r="J96" s="870"/>
      <c r="K96" s="872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844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82" t="s">
        <v>225</v>
      </c>
      <c r="E99" s="982"/>
      <c r="F99" s="982"/>
      <c r="G99" s="982"/>
      <c r="H99" s="982"/>
      <c r="I99" s="982"/>
      <c r="J99" s="131"/>
      <c r="K99" s="612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594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81">
        <f>S3_archive.50_SEK</f>
        <v>350</v>
      </c>
      <c r="E101" s="981"/>
      <c r="F101" s="981"/>
      <c r="G101" s="981"/>
      <c r="H101" s="981"/>
      <c r="I101" s="981"/>
      <c r="J101" s="884"/>
      <c r="K101" s="849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86">
        <f>S3_archive.100_SEK</f>
        <v>270</v>
      </c>
      <c r="E102" s="986"/>
      <c r="F102" s="986"/>
      <c r="G102" s="986"/>
      <c r="H102" s="986"/>
      <c r="I102" s="986"/>
      <c r="J102" s="886"/>
      <c r="K102" s="850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88">
        <f>S3_archive.500_SEK</f>
        <v>200</v>
      </c>
      <c r="E103" s="988"/>
      <c r="F103" s="988"/>
      <c r="G103" s="988"/>
      <c r="H103" s="988"/>
      <c r="I103" s="988"/>
      <c r="J103" s="887"/>
      <c r="K103" s="851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86">
        <f>S3_archive.1000_SEK</f>
        <v>185</v>
      </c>
      <c r="E104" s="986"/>
      <c r="F104" s="986"/>
      <c r="G104" s="986"/>
      <c r="H104" s="986"/>
      <c r="I104" s="986"/>
      <c r="J104" s="886"/>
      <c r="K104" s="850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87" t="str">
        <f>S3_archive.quote_SEK</f>
        <v>Be om offert</v>
      </c>
      <c r="E105" s="987"/>
      <c r="F105" s="987"/>
      <c r="G105" s="987"/>
      <c r="H105" s="987"/>
      <c r="I105" s="987"/>
      <c r="J105" s="885"/>
      <c r="K105" s="852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840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834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846"/>
      <c r="L108" s="742"/>
      <c r="M108" s="664"/>
      <c r="N108" s="675"/>
      <c r="Q108" s="4"/>
    </row>
    <row r="109" spans="2:19" s="4" customFormat="1" ht="25" customHeight="1">
      <c r="B109" s="978" t="s">
        <v>616</v>
      </c>
      <c r="C109" s="978"/>
      <c r="D109" s="978"/>
      <c r="E109" s="978"/>
      <c r="F109" s="978"/>
      <c r="G109" s="978"/>
      <c r="H109" s="672"/>
      <c r="J109" s="674"/>
      <c r="K109" s="833"/>
      <c r="L109" s="674"/>
      <c r="M109" s="664"/>
    </row>
    <row r="110" spans="2:19" s="4" customFormat="1" ht="25" customHeight="1">
      <c r="B110" s="978"/>
      <c r="C110" s="978"/>
      <c r="D110" s="978"/>
      <c r="E110" s="978"/>
      <c r="F110" s="978"/>
      <c r="G110" s="978"/>
      <c r="H110" s="672"/>
      <c r="J110" s="674"/>
      <c r="K110" s="833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833"/>
      <c r="L111" s="674"/>
      <c r="M111" s="664"/>
    </row>
    <row r="112" spans="2:19" s="4" customFormat="1" ht="25" customHeight="1">
      <c r="B112" s="549" t="s">
        <v>498</v>
      </c>
      <c r="C112" s="549"/>
      <c r="D112" s="549"/>
      <c r="E112" s="549"/>
      <c r="F112" s="549"/>
      <c r="H112" s="672"/>
      <c r="J112" s="674"/>
      <c r="K112" s="833"/>
      <c r="L112" s="674"/>
      <c r="M112" s="664"/>
    </row>
    <row r="113" spans="2:32" s="4" customFormat="1" ht="25" customHeight="1">
      <c r="B113" s="465" t="s">
        <v>412</v>
      </c>
      <c r="C113" s="465"/>
      <c r="D113" s="465"/>
      <c r="E113" s="465"/>
      <c r="F113" s="465"/>
      <c r="G113" s="677"/>
      <c r="H113" s="678"/>
      <c r="I113" s="677"/>
      <c r="J113" s="679"/>
      <c r="K113" s="834"/>
      <c r="L113" s="746"/>
      <c r="M113" s="664"/>
    </row>
    <row r="114" spans="2:32" s="8" customFormat="1" ht="25" customHeight="1">
      <c r="B114" s="552" t="s">
        <v>441</v>
      </c>
      <c r="C114" s="74"/>
      <c r="D114" s="74"/>
      <c r="E114" s="133"/>
      <c r="F114" s="133"/>
      <c r="G114" s="677"/>
      <c r="H114" s="678"/>
      <c r="I114" s="677"/>
      <c r="J114" s="679"/>
      <c r="K114" s="834"/>
      <c r="L114" s="746"/>
      <c r="M114" s="664"/>
      <c r="O114" s="675"/>
      <c r="P114" s="675"/>
      <c r="Q114" s="675"/>
      <c r="R114" s="675"/>
      <c r="S114" s="675"/>
      <c r="T114" s="675"/>
      <c r="U114" s="675"/>
      <c r="X114" s="1"/>
      <c r="Y114" s="1"/>
      <c r="Z114" s="1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844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208</v>
      </c>
      <c r="C116" s="769"/>
      <c r="D116" s="769"/>
      <c r="E116" s="24" t="s">
        <v>228</v>
      </c>
      <c r="F116" s="769"/>
      <c r="G116" s="24" t="s">
        <v>572</v>
      </c>
      <c r="H116" s="24"/>
      <c r="I116" s="728" t="s">
        <v>90</v>
      </c>
      <c r="J116" s="728" t="s">
        <v>448</v>
      </c>
      <c r="K116" s="612" t="s">
        <v>92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763">
        <f>BAAS_on.demand_SEK</f>
        <v>2.4500000000000002</v>
      </c>
      <c r="H117" s="399"/>
      <c r="I117" s="749"/>
      <c r="J117" s="877" t="s">
        <v>94</v>
      </c>
      <c r="K117" s="828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31">
        <v>5500</v>
      </c>
      <c r="F118" s="738"/>
      <c r="G118" s="764">
        <f>BAAS_small_SEK</f>
        <v>1.75</v>
      </c>
      <c r="H118" s="738"/>
      <c r="I118" s="765"/>
      <c r="J118" s="766">
        <v>0.75</v>
      </c>
      <c r="K118" s="829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33">
        <v>9500</v>
      </c>
      <c r="F119" s="757"/>
      <c r="G119" s="763">
        <f>BAAS_large_SEK</f>
        <v>0.92</v>
      </c>
      <c r="H119" s="757"/>
      <c r="I119" s="756"/>
      <c r="J119" s="768">
        <v>0.75</v>
      </c>
      <c r="K119" s="594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222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872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853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846"/>
      <c r="L122" s="751"/>
      <c r="M122" s="664"/>
      <c r="N122" s="675"/>
    </row>
    <row r="123" spans="2:32" ht="25" hidden="1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42"/>
      <c r="M123" s="664"/>
      <c r="N123" s="675"/>
      <c r="Q123" s="4"/>
    </row>
    <row r="124" spans="2:32" s="4" customFormat="1" ht="25" hidden="1" customHeight="1">
      <c r="B124" s="978" t="s">
        <v>434</v>
      </c>
      <c r="C124" s="978"/>
      <c r="D124" s="978"/>
      <c r="E124" s="978"/>
      <c r="F124" s="978"/>
      <c r="G124" s="978"/>
      <c r="H124" s="672"/>
      <c r="J124" s="674"/>
      <c r="K124" s="833"/>
      <c r="L124" s="674"/>
      <c r="M124" s="664"/>
    </row>
    <row r="125" spans="2:32" s="4" customFormat="1" ht="25" hidden="1" customHeight="1">
      <c r="B125" s="978"/>
      <c r="C125" s="978"/>
      <c r="D125" s="978"/>
      <c r="E125" s="978"/>
      <c r="F125" s="978"/>
      <c r="G125" s="978"/>
      <c r="H125" s="672"/>
      <c r="J125" s="674"/>
      <c r="K125" s="833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833"/>
      <c r="L126" s="674"/>
      <c r="M126" s="664"/>
    </row>
    <row r="127" spans="2:32" s="4" customFormat="1" ht="25" hidden="1" customHeight="1">
      <c r="B127" s="549" t="s">
        <v>610</v>
      </c>
      <c r="C127" s="6"/>
      <c r="D127" s="6"/>
      <c r="E127" s="6"/>
      <c r="F127" s="6"/>
      <c r="H127" s="672"/>
      <c r="J127" s="674"/>
      <c r="K127" s="833"/>
      <c r="L127" s="674"/>
      <c r="M127" s="664"/>
    </row>
    <row r="128" spans="2:32" s="4" customFormat="1" ht="25" hidden="1" customHeight="1">
      <c r="B128" s="465" t="s">
        <v>611</v>
      </c>
      <c r="C128" s="503"/>
      <c r="D128" s="503"/>
      <c r="E128" s="503"/>
      <c r="F128" s="503"/>
      <c r="H128" s="678"/>
      <c r="I128" s="677"/>
      <c r="J128" s="679"/>
      <c r="K128" s="834"/>
      <c r="L128" s="746"/>
      <c r="M128" s="664"/>
    </row>
    <row r="129" spans="2:32" s="8" customFormat="1" ht="25" hidden="1" customHeight="1">
      <c r="B129" s="638"/>
      <c r="C129" s="638"/>
      <c r="D129" s="638"/>
      <c r="E129" s="638"/>
      <c r="F129" s="133"/>
      <c r="G129" s="677"/>
      <c r="H129" s="678"/>
      <c r="I129" s="677"/>
      <c r="J129" s="679"/>
      <c r="K129" s="834"/>
      <c r="L129" s="746"/>
      <c r="M129" s="664"/>
      <c r="O129" s="675"/>
      <c r="P129" s="675"/>
      <c r="Q129" s="675"/>
      <c r="R129" s="675"/>
      <c r="S129" s="675"/>
      <c r="T129" s="675"/>
      <c r="U129" s="675"/>
      <c r="X129" s="1"/>
      <c r="Y129" s="1"/>
      <c r="Z129" s="1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844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208</v>
      </c>
      <c r="C131" s="989" t="s">
        <v>437</v>
      </c>
      <c r="D131" s="989"/>
      <c r="E131" s="989" t="s">
        <v>438</v>
      </c>
      <c r="F131" s="989"/>
      <c r="G131" s="989" t="s">
        <v>228</v>
      </c>
      <c r="H131" s="989"/>
      <c r="I131" s="24"/>
      <c r="J131" s="24"/>
      <c r="K131" s="612" t="s">
        <v>92</v>
      </c>
      <c r="L131" s="722"/>
      <c r="M131" s="664"/>
    </row>
    <row r="132" spans="2:32" ht="25" hidden="1" customHeight="1">
      <c r="B132" s="826" t="s">
        <v>466</v>
      </c>
      <c r="C132" s="994" t="s">
        <v>533</v>
      </c>
      <c r="D132" s="994"/>
      <c r="E132" s="996" t="s">
        <v>436</v>
      </c>
      <c r="F132" s="996"/>
      <c r="G132" s="990">
        <v>15000</v>
      </c>
      <c r="H132" s="991"/>
      <c r="I132" s="749"/>
      <c r="J132" s="911">
        <v>0</v>
      </c>
      <c r="K132" s="854" t="str">
        <f>IF(J132=1,G132," ")</f>
        <v xml:space="preserve"> </v>
      </c>
      <c r="L132" s="722"/>
      <c r="M132" s="664"/>
    </row>
    <row r="133" spans="2:32" ht="25" hidden="1" customHeight="1">
      <c r="B133" s="137" t="s">
        <v>467</v>
      </c>
      <c r="C133" s="995" t="s">
        <v>435</v>
      </c>
      <c r="D133" s="995"/>
      <c r="E133" s="997" t="s">
        <v>439</v>
      </c>
      <c r="F133" s="997"/>
      <c r="G133" s="992">
        <v>24000</v>
      </c>
      <c r="H133" s="993"/>
      <c r="I133" s="753"/>
      <c r="J133" s="738"/>
      <c r="K133" s="855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222</v>
      </c>
      <c r="C134" s="870"/>
      <c r="D134" s="870"/>
      <c r="E134" s="870"/>
      <c r="F134" s="870"/>
      <c r="G134" s="870"/>
      <c r="H134" s="870"/>
      <c r="I134" s="910"/>
      <c r="J134" s="870"/>
      <c r="K134" s="872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840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853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834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78" t="s">
        <v>234</v>
      </c>
      <c r="C138" s="978"/>
      <c r="D138" s="978"/>
      <c r="E138" s="978"/>
      <c r="F138" s="978"/>
      <c r="G138" s="978"/>
      <c r="H138" s="672"/>
      <c r="J138" s="674"/>
      <c r="K138" s="833"/>
      <c r="M138" s="664"/>
    </row>
    <row r="139" spans="2:32" s="4" customFormat="1" ht="25" customHeight="1">
      <c r="B139" s="978"/>
      <c r="C139" s="978"/>
      <c r="D139" s="978"/>
      <c r="E139" s="978"/>
      <c r="F139" s="978"/>
      <c r="G139" s="978"/>
      <c r="H139" s="672"/>
      <c r="J139" s="674"/>
      <c r="K139" s="833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833"/>
      <c r="M140" s="664"/>
    </row>
    <row r="141" spans="2:32" s="4" customFormat="1" ht="25" customHeight="1">
      <c r="B141" s="465" t="s">
        <v>412</v>
      </c>
      <c r="C141" s="503"/>
      <c r="D141" s="503"/>
      <c r="E141" s="503"/>
      <c r="F141" s="503"/>
      <c r="H141" s="672"/>
      <c r="J141" s="674"/>
      <c r="K141" s="833"/>
      <c r="M141" s="664"/>
    </row>
    <row r="142" spans="2:32" s="4" customFormat="1" ht="25" customHeight="1">
      <c r="B142" s="465"/>
      <c r="C142" s="133"/>
      <c r="D142" s="133"/>
      <c r="E142" s="133"/>
      <c r="F142" s="133"/>
      <c r="G142" s="677"/>
      <c r="H142" s="678"/>
      <c r="I142" s="677"/>
      <c r="J142" s="679"/>
      <c r="K142" s="834"/>
      <c r="L142" s="677"/>
      <c r="M142" s="664"/>
    </row>
    <row r="143" spans="2:32" s="8" customFormat="1" ht="25" customHeight="1">
      <c r="B143" s="649" t="s">
        <v>381</v>
      </c>
      <c r="C143" s="133"/>
      <c r="D143" s="133"/>
      <c r="E143" s="133"/>
      <c r="F143" s="133"/>
      <c r="G143" s="677"/>
      <c r="H143" s="677"/>
      <c r="I143" s="677"/>
      <c r="J143" s="679"/>
      <c r="K143" s="834"/>
      <c r="L143" s="677"/>
      <c r="M143" s="664"/>
      <c r="N143" s="675"/>
      <c r="O143" s="675"/>
      <c r="P143" s="675"/>
      <c r="Q143" s="675"/>
      <c r="R143" s="675"/>
      <c r="S143" s="675"/>
    </row>
    <row r="144" spans="2:32" ht="25" customHeight="1">
      <c r="B144" s="628" t="s">
        <v>505</v>
      </c>
      <c r="M144" s="664"/>
    </row>
    <row r="145" spans="2:18" ht="25" customHeight="1">
      <c r="B145" s="470" t="s">
        <v>208</v>
      </c>
      <c r="C145" s="23" t="s">
        <v>235</v>
      </c>
      <c r="D145" s="23"/>
      <c r="E145" s="24" t="s">
        <v>220</v>
      </c>
      <c r="F145" s="24"/>
      <c r="G145" s="24"/>
      <c r="H145" s="24"/>
      <c r="I145" s="24"/>
      <c r="J145" s="23" t="s">
        <v>236</v>
      </c>
      <c r="K145" s="612" t="s">
        <v>211</v>
      </c>
      <c r="L145" s="13"/>
      <c r="M145" s="664"/>
      <c r="N145" s="742"/>
      <c r="O145" s="8"/>
    </row>
    <row r="146" spans="2:18" ht="25" customHeight="1">
      <c r="B146" s="134" t="s">
        <v>468</v>
      </c>
      <c r="C146" s="129" t="s">
        <v>105</v>
      </c>
      <c r="D146" s="129"/>
      <c r="E146" s="39" t="s">
        <v>237</v>
      </c>
      <c r="F146" s="30"/>
      <c r="G146" s="30"/>
      <c r="H146" s="30"/>
      <c r="I146" s="30"/>
      <c r="J146" s="770" t="s">
        <v>107</v>
      </c>
      <c r="K146" s="828">
        <f>NET_publicv4_SEK</f>
        <v>25</v>
      </c>
      <c r="M146" s="664"/>
      <c r="N146" s="742"/>
      <c r="O146" s="8"/>
    </row>
    <row r="147" spans="2:18" ht="25" customHeight="1">
      <c r="B147" s="137" t="s">
        <v>469</v>
      </c>
      <c r="C147" s="130" t="s">
        <v>109</v>
      </c>
      <c r="D147" s="130"/>
      <c r="E147" s="41" t="s">
        <v>237</v>
      </c>
      <c r="F147" s="771"/>
      <c r="G147" s="771"/>
      <c r="H147" s="771"/>
      <c r="I147" s="771"/>
      <c r="J147" s="772" t="s">
        <v>94</v>
      </c>
      <c r="K147" s="554">
        <f>NET_publicv6_SEK</f>
        <v>0</v>
      </c>
      <c r="M147" s="664"/>
      <c r="N147" s="742"/>
      <c r="O147" s="8"/>
    </row>
    <row r="148" spans="2:18" ht="25" customHeight="1">
      <c r="B148" s="134" t="s">
        <v>470</v>
      </c>
      <c r="C148" s="129" t="s">
        <v>238</v>
      </c>
      <c r="D148" s="129"/>
      <c r="E148" s="148"/>
      <c r="F148" s="37"/>
      <c r="G148" s="37"/>
      <c r="H148" s="37"/>
      <c r="I148" s="37"/>
      <c r="J148" s="770" t="s">
        <v>69</v>
      </c>
      <c r="K148" s="555">
        <f>NET_ingress_SEK</f>
        <v>0</v>
      </c>
      <c r="M148" s="664"/>
      <c r="N148" s="742"/>
      <c r="O148" s="8"/>
    </row>
    <row r="149" spans="2:18" ht="25" customHeight="1">
      <c r="B149" s="137" t="s">
        <v>471</v>
      </c>
      <c r="C149" s="130" t="s">
        <v>238</v>
      </c>
      <c r="D149" s="130"/>
      <c r="E149" s="41"/>
      <c r="F149" s="771"/>
      <c r="G149" s="771"/>
      <c r="H149" s="771"/>
      <c r="I149" s="771"/>
      <c r="J149" s="773" t="s">
        <v>69</v>
      </c>
      <c r="K149" s="554">
        <f>NET_egress_SEK</f>
        <v>0</v>
      </c>
      <c r="M149" s="664"/>
      <c r="N149" s="742"/>
      <c r="O149" s="8"/>
    </row>
    <row r="150" spans="2:18" ht="25" customHeight="1">
      <c r="B150" s="134" t="s">
        <v>472</v>
      </c>
      <c r="C150" s="129" t="s">
        <v>115</v>
      </c>
      <c r="D150" s="129"/>
      <c r="E150" s="30" t="s">
        <v>403</v>
      </c>
      <c r="F150" s="37"/>
      <c r="G150" s="37"/>
      <c r="H150" s="37"/>
      <c r="I150" s="37"/>
      <c r="J150" s="770" t="s">
        <v>239</v>
      </c>
      <c r="K150" s="555" t="str">
        <f>NET_mgn.slb_SEK</f>
        <v>Begär offert</v>
      </c>
      <c r="M150" s="664"/>
    </row>
    <row r="151" spans="2:18" ht="25" customHeight="1">
      <c r="B151" s="137" t="s">
        <v>473</v>
      </c>
      <c r="C151" s="130" t="s">
        <v>118</v>
      </c>
      <c r="D151" s="130"/>
      <c r="E151" s="41"/>
      <c r="F151" s="771"/>
      <c r="G151" s="771"/>
      <c r="H151" s="771"/>
      <c r="I151" s="771"/>
      <c r="J151" s="772" t="s">
        <v>94</v>
      </c>
      <c r="K151" s="554">
        <f>NET_rdns_SEK</f>
        <v>0</v>
      </c>
      <c r="M151" s="664"/>
      <c r="N151" s="742"/>
      <c r="O151" s="8"/>
    </row>
    <row r="152" spans="2:18" ht="25" customHeight="1">
      <c r="B152" s="134" t="s">
        <v>474</v>
      </c>
      <c r="C152" s="129" t="s">
        <v>121</v>
      </c>
      <c r="D152" s="129"/>
      <c r="E152" s="30"/>
      <c r="F152" s="37"/>
      <c r="G152" s="37"/>
      <c r="H152" s="37"/>
      <c r="I152" s="37"/>
      <c r="J152" s="775" t="s">
        <v>94</v>
      </c>
      <c r="K152" s="555">
        <v>0</v>
      </c>
      <c r="M152" s="664"/>
      <c r="N152" s="742"/>
      <c r="O152" s="8"/>
    </row>
    <row r="153" spans="2:18" ht="25" customHeight="1">
      <c r="B153" s="639"/>
      <c r="C153" s="141"/>
      <c r="D153" s="142"/>
      <c r="E153" s="142"/>
      <c r="F153" s="142"/>
      <c r="G153" s="142"/>
      <c r="H153" s="142"/>
      <c r="I153" s="142"/>
      <c r="J153" s="141"/>
      <c r="K153" s="856"/>
      <c r="M153" s="664"/>
      <c r="N153" s="742"/>
      <c r="O153" s="8"/>
    </row>
    <row r="154" spans="2:18" ht="25" customHeight="1">
      <c r="C154" s="43"/>
      <c r="J154" s="43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B156" s="649" t="s">
        <v>240</v>
      </c>
      <c r="C156" s="13"/>
      <c r="D156" s="13"/>
      <c r="E156" s="13"/>
      <c r="F156" s="13"/>
      <c r="G156" s="13"/>
      <c r="H156" s="13"/>
      <c r="I156" s="13"/>
      <c r="J156" s="776"/>
      <c r="M156" s="664"/>
      <c r="N156" s="742"/>
      <c r="O156" s="8"/>
    </row>
    <row r="157" spans="2:18" ht="25" customHeight="1">
      <c r="B157" s="628" t="s">
        <v>449</v>
      </c>
      <c r="M157" s="664"/>
    </row>
    <row r="158" spans="2:18" ht="25" customHeight="1">
      <c r="B158" s="470" t="s">
        <v>208</v>
      </c>
      <c r="C158" s="23"/>
      <c r="D158" s="23"/>
      <c r="E158" s="23" t="s">
        <v>220</v>
      </c>
      <c r="F158" s="24"/>
      <c r="G158" s="24"/>
      <c r="H158" s="24"/>
      <c r="I158" s="24"/>
      <c r="J158" s="23" t="s">
        <v>236</v>
      </c>
      <c r="K158" s="612" t="s">
        <v>211</v>
      </c>
      <c r="M158" s="664"/>
      <c r="N158" s="742"/>
      <c r="O158" s="8"/>
    </row>
    <row r="159" spans="2:18" ht="25" customHeight="1">
      <c r="B159" s="134" t="s">
        <v>614</v>
      </c>
      <c r="C159" s="129"/>
      <c r="D159" s="30"/>
      <c r="E159" s="30" t="s">
        <v>615</v>
      </c>
      <c r="F159" s="30"/>
      <c r="G159" s="30"/>
      <c r="H159" s="30"/>
      <c r="I159" s="30"/>
      <c r="J159" s="770" t="s">
        <v>10</v>
      </c>
      <c r="K159" s="828">
        <f>SW_win.ser.201X_SEK</f>
        <v>78</v>
      </c>
      <c r="L159" s="740"/>
      <c r="M159" s="664"/>
      <c r="N159" s="742"/>
      <c r="O159" s="8"/>
      <c r="Q159" s="675"/>
      <c r="R159" s="675"/>
    </row>
    <row r="160" spans="2:18" s="4" customFormat="1" ht="25" customHeight="1">
      <c r="B160" s="137" t="s">
        <v>477</v>
      </c>
      <c r="C160" s="130"/>
      <c r="D160" s="38"/>
      <c r="E160" s="38" t="s">
        <v>409</v>
      </c>
      <c r="F160" s="771"/>
      <c r="G160" s="771"/>
      <c r="H160" s="771"/>
      <c r="I160" s="771"/>
      <c r="J160" s="773" t="s">
        <v>10</v>
      </c>
      <c r="K160" s="829">
        <f>SW_ms.sql.ser_SEK</f>
        <v>1498</v>
      </c>
      <c r="M160" s="664"/>
      <c r="N160" s="742"/>
      <c r="O160" s="8"/>
    </row>
    <row r="161" spans="2:18" ht="25" customHeight="1">
      <c r="B161" s="134" t="s">
        <v>478</v>
      </c>
      <c r="C161" s="129"/>
      <c r="D161" s="30"/>
      <c r="E161" s="30" t="s">
        <v>131</v>
      </c>
      <c r="F161" s="30"/>
      <c r="G161" s="30"/>
      <c r="H161" s="30"/>
      <c r="I161" s="30"/>
      <c r="J161" s="770" t="s">
        <v>94</v>
      </c>
      <c r="K161" s="828" t="str">
        <f>SW_nextcloud_SEK</f>
        <v>Begär offert</v>
      </c>
      <c r="L161" s="740"/>
      <c r="M161" s="664"/>
      <c r="N161" s="742"/>
      <c r="O161" s="8"/>
      <c r="Q161" s="675"/>
      <c r="R161" s="675"/>
    </row>
    <row r="162" spans="2:18" s="4" customFormat="1" ht="25" customHeight="1">
      <c r="B162" s="137" t="s">
        <v>479</v>
      </c>
      <c r="C162" s="130"/>
      <c r="D162" s="38"/>
      <c r="E162" s="38" t="s">
        <v>133</v>
      </c>
      <c r="F162" s="771"/>
      <c r="G162" s="771"/>
      <c r="H162" s="771"/>
      <c r="I162" s="771"/>
      <c r="J162" s="773" t="s">
        <v>94</v>
      </c>
      <c r="K162" s="829" t="str">
        <f>SW_suse_SEK</f>
        <v>Begär offert</v>
      </c>
      <c r="M162" s="664"/>
      <c r="N162" s="742"/>
      <c r="O162" s="8"/>
    </row>
    <row r="163" spans="2:18" ht="25" customHeight="1">
      <c r="B163" s="106"/>
      <c r="C163" s="103"/>
      <c r="D163" s="104"/>
      <c r="E163" s="105"/>
      <c r="F163" s="777"/>
      <c r="G163" s="777"/>
      <c r="H163" s="777"/>
      <c r="I163" s="777"/>
      <c r="J163" s="778"/>
      <c r="K163" s="857"/>
      <c r="M163" s="664"/>
      <c r="N163" s="742"/>
      <c r="O163" s="8"/>
    </row>
    <row r="164" spans="2:18" ht="25" customHeight="1">
      <c r="B164" s="137"/>
      <c r="C164" s="130"/>
      <c r="D164" s="41"/>
      <c r="E164" s="31"/>
      <c r="F164" s="771"/>
      <c r="G164" s="771"/>
      <c r="H164" s="771"/>
      <c r="I164" s="771"/>
      <c r="J164" s="779"/>
      <c r="K164" s="554"/>
      <c r="M164" s="664"/>
      <c r="N164" s="742"/>
      <c r="O164" s="8"/>
    </row>
    <row r="165" spans="2:18" ht="25" customHeight="1">
      <c r="M165" s="664"/>
      <c r="N165" s="742"/>
      <c r="O165" s="8"/>
    </row>
    <row r="166" spans="2:18" ht="25" customHeight="1">
      <c r="B166" s="649" t="s">
        <v>241</v>
      </c>
      <c r="C166" s="13"/>
      <c r="D166" s="13"/>
      <c r="F166" s="13"/>
      <c r="G166" s="13"/>
      <c r="H166" s="13"/>
      <c r="I166" s="13"/>
      <c r="J166" s="13"/>
      <c r="M166" s="664"/>
      <c r="N166" s="742"/>
      <c r="O166" s="8"/>
    </row>
    <row r="167" spans="2:18" ht="25" customHeight="1">
      <c r="B167" s="628" t="s">
        <v>450</v>
      </c>
      <c r="M167" s="664"/>
    </row>
    <row r="168" spans="2:18" ht="25" customHeight="1">
      <c r="B168" s="470" t="s">
        <v>208</v>
      </c>
      <c r="C168" s="23"/>
      <c r="D168" s="23"/>
      <c r="E168" s="23" t="s">
        <v>220</v>
      </c>
      <c r="F168" s="24"/>
      <c r="G168" s="24"/>
      <c r="H168" s="24"/>
      <c r="I168" s="24"/>
      <c r="J168" s="131"/>
      <c r="K168" s="612" t="s">
        <v>211</v>
      </c>
      <c r="M168" s="664"/>
      <c r="N168" s="742"/>
      <c r="O168" s="8"/>
    </row>
    <row r="169" spans="2:18" ht="25" customHeight="1">
      <c r="B169" s="134" t="s">
        <v>467</v>
      </c>
      <c r="C169" s="129"/>
      <c r="D169" s="30"/>
      <c r="E169" s="30" t="s">
        <v>406</v>
      </c>
      <c r="F169" s="30"/>
      <c r="G169" s="30"/>
      <c r="H169" s="30"/>
      <c r="I169" s="30"/>
      <c r="J169" s="40"/>
      <c r="K169" s="868" t="str">
        <f>PAAS_man.kubernetes_SEK</f>
        <v>Begär offert</v>
      </c>
      <c r="M169" s="664"/>
      <c r="N169" s="742"/>
      <c r="O169" s="8"/>
    </row>
    <row r="170" spans="2:18" ht="25" customHeight="1">
      <c r="B170" s="137" t="s">
        <v>480</v>
      </c>
      <c r="C170" s="130"/>
      <c r="D170" s="38"/>
      <c r="E170" s="38" t="s">
        <v>407</v>
      </c>
      <c r="F170" s="771"/>
      <c r="G170" s="771"/>
      <c r="H170" s="771"/>
      <c r="I170" s="771"/>
      <c r="J170" s="779"/>
      <c r="K170" s="829" t="str">
        <f>PAAS_man.postgres.sql_SEK</f>
        <v>Begär offert</v>
      </c>
      <c r="M170" s="664"/>
      <c r="N170" s="742"/>
      <c r="O170" s="8"/>
    </row>
    <row r="171" spans="2:18" ht="25" customHeight="1">
      <c r="B171" s="134" t="s">
        <v>481</v>
      </c>
      <c r="C171" s="129"/>
      <c r="D171" s="30"/>
      <c r="E171" s="30" t="s">
        <v>408</v>
      </c>
      <c r="F171" s="30"/>
      <c r="G171" s="30"/>
      <c r="H171" s="30"/>
      <c r="I171" s="30"/>
      <c r="J171" s="40"/>
      <c r="K171" s="868" t="str">
        <f>PAAS_man.elasticsearch_SEK</f>
        <v>Begär offert</v>
      </c>
      <c r="M171" s="664"/>
      <c r="N171" s="742"/>
      <c r="O171" s="8"/>
    </row>
    <row r="172" spans="2:18" ht="25" customHeight="1">
      <c r="B172" s="137" t="s">
        <v>482</v>
      </c>
      <c r="C172" s="130"/>
      <c r="D172" s="38"/>
      <c r="E172" s="38" t="s">
        <v>629</v>
      </c>
      <c r="F172" s="771"/>
      <c r="G172" s="771"/>
      <c r="H172" s="771"/>
      <c r="I172" s="771"/>
      <c r="J172" s="779"/>
      <c r="K172" s="829" t="str">
        <f>PAAS_openshift_SEK</f>
        <v>Begär offert</v>
      </c>
      <c r="M172" s="664"/>
      <c r="N172" s="742"/>
      <c r="O172" s="8"/>
    </row>
    <row r="173" spans="2:18" ht="25" customHeight="1">
      <c r="B173" s="134" t="s">
        <v>670</v>
      </c>
      <c r="C173" s="129"/>
      <c r="D173" s="30"/>
      <c r="E173" s="30" t="s">
        <v>669</v>
      </c>
      <c r="F173" s="30"/>
      <c r="G173" s="30"/>
      <c r="H173" s="30"/>
      <c r="I173" s="30"/>
      <c r="J173" s="40"/>
      <c r="K173" s="974">
        <v>565</v>
      </c>
      <c r="M173" s="664"/>
      <c r="N173" s="742"/>
      <c r="O173" s="8"/>
    </row>
    <row r="174" spans="2:18" ht="25" customHeight="1">
      <c r="B174" s="137" t="s">
        <v>483</v>
      </c>
      <c r="C174" s="130"/>
      <c r="D174" s="38"/>
      <c r="E174" s="38" t="s">
        <v>147</v>
      </c>
      <c r="F174" s="771"/>
      <c r="G174" s="771"/>
      <c r="H174" s="771"/>
      <c r="I174" s="771"/>
      <c r="J174" s="779"/>
      <c r="K174" s="829" t="str">
        <f>PAAS_man.nats_SEK</f>
        <v>Begär offert</v>
      </c>
      <c r="M174" s="664"/>
      <c r="N174" s="742"/>
      <c r="O174" s="8"/>
    </row>
    <row r="175" spans="2:18" ht="25" customHeight="1">
      <c r="B175" s="134" t="s">
        <v>484</v>
      </c>
      <c r="C175" s="129"/>
      <c r="D175" s="30"/>
      <c r="E175" s="30" t="s">
        <v>150</v>
      </c>
      <c r="F175" s="30"/>
      <c r="G175" s="30"/>
      <c r="H175" s="30"/>
      <c r="I175" s="30"/>
      <c r="J175" s="40"/>
      <c r="K175" s="868" t="str">
        <f>PAAS_man.mariadb_SEK</f>
        <v>Begär offert</v>
      </c>
      <c r="M175" s="664"/>
      <c r="N175" s="742"/>
      <c r="O175" s="8"/>
    </row>
    <row r="176" spans="2:18" ht="25" customHeight="1">
      <c r="B176" s="137" t="s">
        <v>442</v>
      </c>
      <c r="C176" s="130"/>
      <c r="D176" s="38"/>
      <c r="E176" s="38" t="s">
        <v>144</v>
      </c>
      <c r="F176" s="771"/>
      <c r="G176" s="771"/>
      <c r="H176" s="771"/>
      <c r="I176" s="771"/>
      <c r="J176" s="779"/>
      <c r="K176" s="829" t="s">
        <v>247</v>
      </c>
      <c r="M176" s="664"/>
      <c r="N176" s="742"/>
      <c r="O176" s="8"/>
    </row>
    <row r="177" spans="2:20" ht="25" customHeight="1">
      <c r="B177" s="106"/>
      <c r="C177" s="103"/>
      <c r="D177" s="397"/>
      <c r="E177" s="105"/>
      <c r="F177" s="777"/>
      <c r="G177" s="777"/>
      <c r="H177" s="777"/>
      <c r="I177" s="777"/>
      <c r="J177" s="778"/>
      <c r="K177" s="857"/>
      <c r="M177" s="664"/>
      <c r="N177" s="742"/>
      <c r="O177" s="8"/>
    </row>
    <row r="178" spans="2:20" ht="25" customHeight="1">
      <c r="B178" s="137"/>
      <c r="C178" s="130"/>
      <c r="D178" s="38"/>
      <c r="E178" s="31"/>
      <c r="F178" s="771"/>
      <c r="G178" s="779"/>
      <c r="H178" s="773"/>
      <c r="I178" s="441"/>
      <c r="M178" s="664"/>
    </row>
    <row r="179" spans="2:20" ht="25" customHeight="1">
      <c r="B179" s="417"/>
      <c r="C179" s="26"/>
      <c r="D179" s="26"/>
      <c r="E179" s="26"/>
      <c r="F179" s="760"/>
      <c r="G179" s="761"/>
      <c r="H179" s="26"/>
      <c r="I179" s="740"/>
      <c r="K179" s="846"/>
      <c r="L179" s="742"/>
      <c r="M179" s="664"/>
      <c r="N179" s="675"/>
      <c r="O179" s="675"/>
    </row>
    <row r="180" spans="2:20" s="4" customFormat="1" ht="25" customHeight="1">
      <c r="B180" s="978" t="s">
        <v>243</v>
      </c>
      <c r="C180" s="978"/>
      <c r="D180" s="978"/>
      <c r="E180" s="978"/>
      <c r="F180" s="978"/>
      <c r="G180" s="978"/>
      <c r="H180" s="780"/>
      <c r="J180" s="674"/>
      <c r="K180" s="833"/>
      <c r="M180" s="664"/>
    </row>
    <row r="181" spans="2:20" s="4" customFormat="1" ht="25" customHeight="1">
      <c r="B181" s="978"/>
      <c r="C181" s="978"/>
      <c r="D181" s="978"/>
      <c r="E181" s="978"/>
      <c r="F181" s="978"/>
      <c r="G181" s="978"/>
      <c r="H181" s="780"/>
      <c r="J181" s="674"/>
      <c r="K181" s="833"/>
      <c r="M181" s="664"/>
    </row>
    <row r="182" spans="2:20" s="4" customFormat="1" ht="25" customHeight="1">
      <c r="B182" s="978"/>
      <c r="C182" s="978"/>
      <c r="D182" s="978"/>
      <c r="E182" s="978"/>
      <c r="F182" s="978"/>
      <c r="G182" s="978"/>
      <c r="H182" s="780"/>
      <c r="J182" s="674"/>
      <c r="K182" s="833"/>
      <c r="M182" s="664"/>
    </row>
    <row r="183" spans="2:20" s="4" customFormat="1" ht="25" customHeight="1">
      <c r="B183" s="979" t="s">
        <v>506</v>
      </c>
      <c r="C183" s="979"/>
      <c r="D183" s="979"/>
      <c r="E183" s="979"/>
      <c r="F183" s="979"/>
      <c r="H183" s="780"/>
      <c r="J183" s="674"/>
      <c r="K183" s="833"/>
      <c r="M183" s="664"/>
    </row>
    <row r="184" spans="2:20" s="4" customFormat="1" ht="25" customHeight="1">
      <c r="B184" s="980" t="s">
        <v>412</v>
      </c>
      <c r="C184" s="980"/>
      <c r="D184" s="980"/>
      <c r="E184" s="980"/>
      <c r="F184" s="980"/>
      <c r="G184" s="677"/>
      <c r="H184" s="678"/>
      <c r="I184" s="677"/>
      <c r="J184" s="679"/>
      <c r="K184" s="834"/>
      <c r="L184" s="677"/>
      <c r="M184" s="664"/>
    </row>
    <row r="185" spans="2:20" s="4" customFormat="1" ht="25" customHeight="1">
      <c r="B185" s="465"/>
      <c r="C185" s="133"/>
      <c r="D185" s="133"/>
      <c r="E185" s="133"/>
      <c r="F185" s="133"/>
      <c r="G185" s="677"/>
      <c r="H185" s="678"/>
      <c r="I185" s="677"/>
      <c r="J185" s="679"/>
      <c r="K185" s="834"/>
      <c r="L185" s="677"/>
      <c r="M185" s="664"/>
    </row>
    <row r="186" spans="2:20" ht="25" customHeight="1">
      <c r="B186" s="649" t="s">
        <v>152</v>
      </c>
      <c r="C186" s="13"/>
      <c r="D186" s="13"/>
      <c r="F186" s="13"/>
      <c r="G186" s="13"/>
      <c r="H186" s="13"/>
      <c r="I186" s="13"/>
      <c r="J186" s="13"/>
      <c r="K186" s="858"/>
      <c r="L186" s="13"/>
      <c r="M186" s="664"/>
      <c r="O186" s="742"/>
      <c r="P186" s="742"/>
      <c r="Q186" s="8"/>
      <c r="S186" s="675"/>
      <c r="T186" s="675"/>
    </row>
    <row r="187" spans="2:20" ht="25" customHeight="1">
      <c r="B187" s="628" t="s">
        <v>502</v>
      </c>
      <c r="M187" s="664"/>
    </row>
    <row r="188" spans="2:20" ht="25" customHeight="1">
      <c r="B188" s="470" t="s">
        <v>208</v>
      </c>
      <c r="C188" s="23"/>
      <c r="D188" s="23" t="s">
        <v>220</v>
      </c>
      <c r="E188" s="132"/>
      <c r="F188" s="24"/>
      <c r="G188" s="131"/>
      <c r="H188" s="131"/>
      <c r="I188" s="23" t="s">
        <v>236</v>
      </c>
      <c r="J188" s="23"/>
      <c r="K188" s="612" t="s">
        <v>92</v>
      </c>
      <c r="L188" s="740"/>
      <c r="M188" s="664"/>
      <c r="N188" s="742"/>
      <c r="O188" s="8"/>
      <c r="Q188" s="675"/>
      <c r="R188" s="675"/>
    </row>
    <row r="189" spans="2:20" ht="25" customHeight="1">
      <c r="B189" s="134" t="s">
        <v>485</v>
      </c>
      <c r="C189" s="129"/>
      <c r="D189" s="30" t="s">
        <v>413</v>
      </c>
      <c r="E189" s="40"/>
      <c r="F189" s="30"/>
      <c r="G189" s="40"/>
      <c r="H189" s="40"/>
      <c r="I189" s="775" t="s">
        <v>94</v>
      </c>
      <c r="J189" s="775"/>
      <c r="K189" s="555">
        <v>0</v>
      </c>
      <c r="L189" s="740"/>
      <c r="M189" s="664"/>
      <c r="N189" s="742"/>
      <c r="O189" s="8"/>
      <c r="Q189" s="675"/>
      <c r="R189" s="675"/>
    </row>
    <row r="190" spans="2:20" ht="25" customHeight="1">
      <c r="B190" s="137" t="s">
        <v>486</v>
      </c>
      <c r="C190" s="130"/>
      <c r="D190" s="38" t="s">
        <v>156</v>
      </c>
      <c r="E190" s="31"/>
      <c r="F190" s="771"/>
      <c r="G190" s="779"/>
      <c r="H190" s="779"/>
      <c r="I190" s="773" t="s">
        <v>244</v>
      </c>
      <c r="J190" s="773"/>
      <c r="K190" s="554" t="s">
        <v>499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487</v>
      </c>
      <c r="C191" s="129"/>
      <c r="D191" s="30" t="s">
        <v>160</v>
      </c>
      <c r="E191" s="129"/>
      <c r="F191" s="129"/>
      <c r="G191" s="129"/>
      <c r="H191" s="40"/>
      <c r="I191" s="770" t="s">
        <v>246</v>
      </c>
      <c r="J191" s="770"/>
      <c r="K191" s="555" t="s">
        <v>247</v>
      </c>
      <c r="L191" s="740"/>
      <c r="M191" s="664"/>
      <c r="N191" s="742"/>
      <c r="O191" s="8"/>
      <c r="Q191" s="675"/>
      <c r="R191" s="675"/>
    </row>
    <row r="192" spans="2:20" ht="25" customHeight="1">
      <c r="B192" s="106"/>
      <c r="C192" s="103"/>
      <c r="D192" s="103"/>
      <c r="E192" s="105"/>
      <c r="F192" s="777"/>
      <c r="G192" s="778"/>
      <c r="H192" s="778"/>
      <c r="I192" s="781"/>
      <c r="J192" s="781"/>
      <c r="K192" s="857"/>
      <c r="L192" s="740"/>
      <c r="M192" s="664"/>
      <c r="N192" s="742"/>
      <c r="O192" s="8"/>
      <c r="Q192" s="675"/>
      <c r="R192" s="675"/>
    </row>
    <row r="193" spans="2:18" ht="25" customHeight="1">
      <c r="B193" s="137"/>
      <c r="C193" s="130"/>
      <c r="D193" s="38"/>
      <c r="E193" s="31"/>
      <c r="F193" s="771"/>
      <c r="G193" s="779"/>
      <c r="H193" s="779"/>
      <c r="I193" s="773"/>
      <c r="J193" s="773"/>
      <c r="K193" s="554"/>
      <c r="L193" s="740"/>
      <c r="M193" s="664"/>
      <c r="N193" s="742"/>
      <c r="O193" s="8"/>
      <c r="Q193" s="675"/>
      <c r="R193" s="675"/>
    </row>
    <row r="194" spans="2:18" s="651" customFormat="1" ht="25" customHeight="1">
      <c r="B194" s="649" t="s">
        <v>249</v>
      </c>
      <c r="C194" s="878"/>
      <c r="D194" s="878"/>
      <c r="F194" s="878"/>
      <c r="G194" s="878"/>
      <c r="H194" s="878"/>
      <c r="I194" s="879"/>
      <c r="J194" s="879"/>
      <c r="K194" s="704"/>
      <c r="L194" s="880"/>
      <c r="M194" s="664"/>
      <c r="N194" s="881"/>
      <c r="O194" s="882"/>
      <c r="Q194" s="882"/>
      <c r="R194" s="882"/>
    </row>
    <row r="195" spans="2:18" ht="25" customHeight="1">
      <c r="B195" s="628" t="s">
        <v>503</v>
      </c>
      <c r="M195" s="664"/>
    </row>
    <row r="196" spans="2:18" ht="25" customHeight="1">
      <c r="B196" s="470" t="s">
        <v>208</v>
      </c>
      <c r="C196" s="23"/>
      <c r="D196" s="23" t="s">
        <v>220</v>
      </c>
      <c r="E196" s="132"/>
      <c r="F196" s="24"/>
      <c r="G196" s="131"/>
      <c r="H196" s="131"/>
      <c r="I196" s="23" t="s">
        <v>236</v>
      </c>
      <c r="J196" s="23"/>
      <c r="K196" s="612" t="s">
        <v>92</v>
      </c>
      <c r="L196" s="740"/>
      <c r="M196" s="664"/>
      <c r="N196" s="742"/>
      <c r="O196" s="8"/>
      <c r="Q196" s="675"/>
      <c r="R196" s="675"/>
    </row>
    <row r="197" spans="2:18" ht="25" customHeight="1">
      <c r="B197" s="134" t="s">
        <v>488</v>
      </c>
      <c r="C197" s="129"/>
      <c r="D197" s="30" t="s">
        <v>166</v>
      </c>
      <c r="E197" s="40"/>
      <c r="F197" s="30"/>
      <c r="G197" s="40"/>
      <c r="H197" s="40"/>
      <c r="I197" s="770" t="s">
        <v>246</v>
      </c>
      <c r="J197" s="770"/>
      <c r="K197" s="629">
        <f>PS_consult.jun_SEK</f>
        <v>1127</v>
      </c>
      <c r="L197" s="740"/>
      <c r="M197" s="664"/>
      <c r="N197" s="742"/>
      <c r="O197" s="8"/>
      <c r="Q197" s="675"/>
      <c r="R197" s="675"/>
    </row>
    <row r="198" spans="2:18" ht="25" customHeight="1">
      <c r="B198" s="137" t="s">
        <v>489</v>
      </c>
      <c r="C198" s="130"/>
      <c r="D198" s="38" t="s">
        <v>168</v>
      </c>
      <c r="E198" s="31"/>
      <c r="F198" s="771"/>
      <c r="G198" s="779"/>
      <c r="H198" s="779"/>
      <c r="I198" s="773" t="s">
        <v>246</v>
      </c>
      <c r="J198" s="773"/>
      <c r="K198" s="867">
        <f>PS_consult.sen_SEK</f>
        <v>1374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490</v>
      </c>
      <c r="C199" s="129"/>
      <c r="D199" s="30" t="s">
        <v>170</v>
      </c>
      <c r="E199" s="40"/>
      <c r="F199" s="30"/>
      <c r="G199" s="40"/>
      <c r="H199" s="40"/>
      <c r="I199" s="770" t="s">
        <v>246</v>
      </c>
      <c r="J199" s="770"/>
      <c r="K199" s="629">
        <f>PS_cloudarch.jun_SEK</f>
        <v>1277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491</v>
      </c>
      <c r="C200" s="130"/>
      <c r="D200" s="38" t="s">
        <v>172</v>
      </c>
      <c r="E200" s="38"/>
      <c r="F200" s="38"/>
      <c r="G200" s="779"/>
      <c r="H200" s="779"/>
      <c r="I200" s="773" t="s">
        <v>246</v>
      </c>
      <c r="J200" s="773"/>
      <c r="K200" s="867">
        <f>PS_cloudarch.sen_SEK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492</v>
      </c>
      <c r="C201" s="129"/>
      <c r="D201" s="30" t="s">
        <v>174</v>
      </c>
      <c r="E201" s="40"/>
      <c r="F201" s="30"/>
      <c r="G201" s="40"/>
      <c r="H201" s="40"/>
      <c r="I201" s="770" t="s">
        <v>246</v>
      </c>
      <c r="J201" s="770"/>
      <c r="K201" s="629">
        <f>PS_pm.jun_SEK</f>
        <v>1139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493</v>
      </c>
      <c r="C202" s="130"/>
      <c r="D202" s="38" t="s">
        <v>176</v>
      </c>
      <c r="E202" s="31"/>
      <c r="F202" s="771"/>
      <c r="G202" s="779"/>
      <c r="H202" s="779"/>
      <c r="I202" s="773" t="s">
        <v>246</v>
      </c>
      <c r="J202" s="773"/>
      <c r="K202" s="867">
        <f>PS_pm.sen_SEK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06"/>
      <c r="C203" s="103"/>
      <c r="D203" s="397"/>
      <c r="E203" s="105"/>
      <c r="F203" s="777"/>
      <c r="G203" s="778"/>
      <c r="H203" s="778"/>
      <c r="I203" s="781"/>
      <c r="J203" s="781"/>
      <c r="K203" s="857"/>
      <c r="L203" s="740"/>
      <c r="M203" s="664"/>
      <c r="N203" s="742"/>
      <c r="O203" s="8"/>
      <c r="Q203" s="675"/>
      <c r="R203" s="675"/>
    </row>
    <row r="204" spans="2:18" ht="25" customHeight="1">
      <c r="B204" s="137"/>
      <c r="C204" s="130"/>
      <c r="D204" s="38"/>
      <c r="E204" s="31"/>
      <c r="F204" s="771"/>
      <c r="G204" s="779"/>
      <c r="H204" s="779"/>
      <c r="I204" s="773"/>
      <c r="J204" s="773"/>
      <c r="K204" s="554"/>
      <c r="M204" s="664"/>
      <c r="N204" s="742"/>
      <c r="O204" s="8"/>
    </row>
    <row r="205" spans="2:18" ht="25" customHeight="1">
      <c r="B205" s="649" t="s">
        <v>250</v>
      </c>
      <c r="C205" s="13"/>
      <c r="D205" s="13"/>
      <c r="F205" s="13"/>
      <c r="G205" s="13"/>
      <c r="H205" s="13"/>
      <c r="I205" s="776"/>
      <c r="J205" s="776"/>
      <c r="L205" s="740"/>
      <c r="M205" s="664"/>
      <c r="N205" s="742"/>
      <c r="O205" s="8"/>
      <c r="Q205" s="675"/>
      <c r="R205" s="675"/>
    </row>
    <row r="206" spans="2:18" ht="25" customHeight="1">
      <c r="B206" s="628" t="s">
        <v>504</v>
      </c>
      <c r="M206" s="664"/>
    </row>
    <row r="207" spans="2:18" ht="25" customHeight="1">
      <c r="B207" s="470" t="s">
        <v>208</v>
      </c>
      <c r="C207" s="23"/>
      <c r="D207" s="23" t="s">
        <v>220</v>
      </c>
      <c r="E207" s="132"/>
      <c r="F207" s="24"/>
      <c r="G207" s="23" t="s">
        <v>251</v>
      </c>
      <c r="H207" s="23"/>
      <c r="I207" s="23" t="s">
        <v>236</v>
      </c>
      <c r="J207" s="23"/>
      <c r="K207" s="612" t="s">
        <v>92</v>
      </c>
      <c r="L207" s="740"/>
      <c r="M207" s="664"/>
      <c r="N207" s="742"/>
      <c r="O207" s="8"/>
      <c r="Q207" s="675"/>
      <c r="R207" s="675"/>
    </row>
    <row r="208" spans="2:18" ht="25" customHeight="1">
      <c r="B208" s="134" t="s">
        <v>632</v>
      </c>
      <c r="C208" s="129"/>
      <c r="D208" s="30" t="s">
        <v>252</v>
      </c>
      <c r="E208" s="40"/>
      <c r="F208" s="30"/>
      <c r="G208" s="770" t="s">
        <v>253</v>
      </c>
      <c r="H208" s="770"/>
      <c r="I208" s="770" t="s">
        <v>254</v>
      </c>
      <c r="J208" s="770"/>
      <c r="K208" s="555" t="s">
        <v>247</v>
      </c>
      <c r="L208" s="740"/>
      <c r="M208" s="664"/>
      <c r="N208" s="742"/>
      <c r="O208" s="8"/>
      <c r="Q208" s="675"/>
      <c r="R208" s="675"/>
    </row>
    <row r="209" spans="1:18" ht="25" customHeight="1">
      <c r="B209" s="137" t="s">
        <v>633</v>
      </c>
      <c r="C209" s="130"/>
      <c r="D209" s="38" t="s">
        <v>255</v>
      </c>
      <c r="E209" s="31"/>
      <c r="F209" s="771"/>
      <c r="G209" s="773" t="s">
        <v>253</v>
      </c>
      <c r="H209" s="773"/>
      <c r="I209" s="773" t="s">
        <v>254</v>
      </c>
      <c r="J209" s="773"/>
      <c r="K209" s="554" t="s">
        <v>247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634</v>
      </c>
      <c r="C210" s="129"/>
      <c r="D210" s="30" t="s">
        <v>256</v>
      </c>
      <c r="E210" s="40"/>
      <c r="F210" s="30"/>
      <c r="G210" s="770" t="s">
        <v>257</v>
      </c>
      <c r="H210" s="770"/>
      <c r="I210" s="770" t="s">
        <v>254</v>
      </c>
      <c r="J210" s="770"/>
      <c r="K210" s="555" t="s">
        <v>247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635</v>
      </c>
      <c r="C211" s="130"/>
      <c r="D211" s="38" t="s">
        <v>258</v>
      </c>
      <c r="E211" s="31"/>
      <c r="F211" s="771"/>
      <c r="G211" s="773" t="s">
        <v>257</v>
      </c>
      <c r="H211" s="773"/>
      <c r="I211" s="773" t="s">
        <v>254</v>
      </c>
      <c r="J211" s="773"/>
      <c r="K211" s="554" t="s">
        <v>247</v>
      </c>
      <c r="L211" s="740"/>
      <c r="M211" s="664"/>
      <c r="N211" s="742"/>
      <c r="O211" s="8"/>
      <c r="Q211" s="675"/>
      <c r="R211" s="675"/>
    </row>
    <row r="212" spans="1:18" ht="25" customHeight="1">
      <c r="B212" s="106"/>
      <c r="C212" s="103"/>
      <c r="D212" s="397"/>
      <c r="E212" s="105"/>
      <c r="F212" s="777"/>
      <c r="G212" s="778"/>
      <c r="H212" s="778"/>
      <c r="I212" s="778"/>
      <c r="J212" s="778"/>
      <c r="K212" s="857"/>
      <c r="L212" s="740"/>
      <c r="M212" s="664"/>
      <c r="N212" s="742"/>
      <c r="O212" s="8"/>
      <c r="Q212" s="675"/>
      <c r="R212" s="675"/>
    </row>
    <row r="213" spans="1:18" ht="25" customHeight="1">
      <c r="B213" s="417"/>
      <c r="C213" s="26"/>
      <c r="D213" s="26"/>
      <c r="E213" s="26"/>
      <c r="F213" s="760"/>
      <c r="G213" s="761"/>
      <c r="H213" s="740"/>
      <c r="I213" s="740"/>
      <c r="J213" s="740"/>
      <c r="K213" s="847"/>
      <c r="L213" s="742"/>
      <c r="M213" s="664"/>
      <c r="N213" s="675"/>
      <c r="O213" s="675"/>
    </row>
    <row r="214" spans="1:18" ht="25" customHeight="1">
      <c r="A214" s="769"/>
      <c r="B214" s="640"/>
      <c r="C214" s="60"/>
      <c r="D214" s="60"/>
      <c r="E214" s="60"/>
      <c r="F214" s="782"/>
      <c r="G214" s="783"/>
      <c r="H214" s="784"/>
      <c r="I214" s="785"/>
      <c r="J214" s="786"/>
      <c r="K214" s="859"/>
      <c r="L214" s="787"/>
      <c r="M214" s="664"/>
      <c r="N214" s="675"/>
      <c r="O214" s="675"/>
    </row>
    <row r="215" spans="1:18" s="4" customFormat="1" ht="25" customHeight="1">
      <c r="A215" s="3"/>
      <c r="B215" s="641"/>
      <c r="C215" s="54"/>
      <c r="D215" s="54"/>
      <c r="E215" s="54"/>
      <c r="F215" s="788"/>
      <c r="G215" s="789"/>
      <c r="H215" s="790"/>
      <c r="I215" s="791"/>
      <c r="J215" s="792"/>
      <c r="K215" s="860"/>
      <c r="L215" s="3"/>
      <c r="M215" s="664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8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976" t="s">
        <v>259</v>
      </c>
      <c r="C218" s="976"/>
      <c r="D218" s="976"/>
      <c r="E218" s="976"/>
      <c r="F218" s="976"/>
      <c r="G218" s="976"/>
      <c r="H218" s="666"/>
      <c r="I218" s="793"/>
      <c r="J218" s="3"/>
      <c r="K218" s="831"/>
      <c r="L218" s="3"/>
      <c r="M218" s="664"/>
    </row>
    <row r="219" spans="1:18" s="4" customFormat="1" ht="25" customHeight="1">
      <c r="A219" s="3"/>
      <c r="B219" s="976"/>
      <c r="C219" s="976"/>
      <c r="D219" s="976"/>
      <c r="E219" s="976"/>
      <c r="F219" s="976"/>
      <c r="G219" s="976"/>
      <c r="H219" s="666"/>
      <c r="I219" s="793"/>
      <c r="J219" s="3"/>
      <c r="K219" s="831"/>
      <c r="L219" s="3"/>
      <c r="M219" s="664"/>
    </row>
    <row r="220" spans="1:18" s="4" customFormat="1" ht="25" customHeight="1">
      <c r="A220" s="3"/>
      <c r="B220" s="976"/>
      <c r="C220" s="976"/>
      <c r="D220" s="976"/>
      <c r="E220" s="976"/>
      <c r="F220" s="976"/>
      <c r="G220" s="976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7" t="s">
        <v>412</v>
      </c>
      <c r="C221" s="977"/>
      <c r="D221" s="977"/>
      <c r="E221" s="977"/>
      <c r="F221" s="977"/>
      <c r="G221" s="3"/>
      <c r="H221" s="666"/>
      <c r="I221" s="793"/>
      <c r="J221" s="3"/>
      <c r="K221" s="831"/>
      <c r="L221" s="794"/>
      <c r="M221" s="664"/>
    </row>
    <row r="222" spans="1:18" s="4" customFormat="1" ht="25" customHeight="1">
      <c r="A222" s="3"/>
      <c r="B222" s="634"/>
      <c r="C222" s="62"/>
      <c r="D222" s="62"/>
      <c r="E222" s="62"/>
      <c r="F222" s="62"/>
      <c r="G222" s="3"/>
      <c r="H222" s="666"/>
      <c r="I222" s="793"/>
      <c r="J222" s="3"/>
      <c r="K222" s="831"/>
      <c r="L222" s="794"/>
      <c r="M222" s="664"/>
    </row>
    <row r="223" spans="1:18" s="4" customFormat="1" ht="25" customHeight="1">
      <c r="A223" s="3"/>
      <c r="B223" s="422" t="s">
        <v>494</v>
      </c>
      <c r="C223" s="62"/>
      <c r="D223" s="62"/>
      <c r="E223" s="62"/>
      <c r="F223" s="62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418" t="s">
        <v>202</v>
      </c>
      <c r="C224" s="62"/>
      <c r="D224" s="62"/>
      <c r="E224" s="62"/>
      <c r="F224" s="62"/>
      <c r="G224" s="3"/>
      <c r="H224" s="666"/>
      <c r="I224" s="3"/>
      <c r="J224" s="667"/>
      <c r="K224" s="831"/>
      <c r="L224" s="794"/>
      <c r="M224" s="664"/>
    </row>
    <row r="225" spans="1:20" s="4" customFormat="1" ht="25" customHeight="1">
      <c r="A225" s="3"/>
      <c r="B225" s="913" t="s">
        <v>627</v>
      </c>
      <c r="C225" s="67"/>
      <c r="D225" s="67"/>
      <c r="E225" s="67"/>
      <c r="F225" s="67"/>
      <c r="G225" s="794"/>
      <c r="H225" s="795"/>
      <c r="I225" s="794"/>
      <c r="J225" s="796"/>
      <c r="K225" s="861"/>
      <c r="L225" s="794"/>
      <c r="M225" s="664"/>
    </row>
    <row r="226" spans="1:20" s="715" customFormat="1" ht="25" customHeight="1">
      <c r="A226" s="797"/>
      <c r="B226" s="883"/>
      <c r="C226" s="135"/>
      <c r="D226" s="135"/>
      <c r="E226" s="135"/>
      <c r="F226" s="135"/>
      <c r="G226" s="794"/>
      <c r="H226" s="795"/>
      <c r="I226" s="794"/>
      <c r="J226" s="796"/>
      <c r="K226" s="861"/>
      <c r="L226" s="797"/>
      <c r="M226" s="664"/>
      <c r="N226" s="798"/>
      <c r="O226" s="729"/>
      <c r="P226" s="729"/>
      <c r="Q226" s="729"/>
      <c r="R226" s="729"/>
      <c r="S226" s="729"/>
      <c r="T226" s="729"/>
    </row>
    <row r="227" spans="1:20" ht="25" customHeight="1">
      <c r="A227" s="2"/>
      <c r="B227" s="642" t="s">
        <v>495</v>
      </c>
      <c r="C227" s="56"/>
      <c r="D227" s="57"/>
      <c r="E227" s="56"/>
      <c r="F227" s="659"/>
      <c r="G227" s="659"/>
      <c r="H227" s="659"/>
      <c r="I227" s="56"/>
      <c r="J227" s="659" t="s">
        <v>259</v>
      </c>
      <c r="K227" s="862"/>
      <c r="L227" s="799"/>
      <c r="M227" s="664"/>
      <c r="N227" s="28"/>
    </row>
    <row r="228" spans="1:20" ht="25" customHeight="1">
      <c r="A228" s="2"/>
      <c r="B228" s="827" t="s">
        <v>4</v>
      </c>
      <c r="C228" s="656" t="str" cm="1">
        <f t="array" ref="C228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28" s="71"/>
      <c r="E228" s="656"/>
      <c r="F228" s="656"/>
      <c r="G228" s="657"/>
      <c r="H228" s="800"/>
      <c r="I228" s="801"/>
      <c r="J228" s="660">
        <f>K65+K74+K56+K39+K83</f>
        <v>0</v>
      </c>
      <c r="K228" s="828"/>
      <c r="L228" s="2"/>
      <c r="M228" s="664"/>
      <c r="N228" s="28"/>
    </row>
    <row r="229" spans="1:20" ht="25" customHeight="1">
      <c r="A229" s="2"/>
      <c r="B229" s="491" t="s">
        <v>72</v>
      </c>
      <c r="C229" s="610" t="str">
        <f>K95&amp;" TB - Storage"&amp;"     /     "&amp;K94&amp;" TB - Archive"</f>
        <v>0 TB - Storage     /     0 TB - Archive</v>
      </c>
      <c r="D229" s="658"/>
      <c r="E229" s="658"/>
      <c r="F229" s="802"/>
      <c r="G229" s="803"/>
      <c r="H229" s="803"/>
      <c r="I229" s="804"/>
      <c r="J229" s="661">
        <f>K96</f>
        <v>0</v>
      </c>
      <c r="K229" s="828"/>
      <c r="L229" s="2"/>
      <c r="M229" s="664"/>
      <c r="N229" s="28"/>
    </row>
    <row r="230" spans="1:20" ht="25" customHeight="1">
      <c r="A230" s="2"/>
      <c r="B230" s="491" t="s">
        <v>86</v>
      </c>
      <c r="C230" s="136"/>
      <c r="D230" s="72"/>
      <c r="E230" s="73"/>
      <c r="F230" s="802"/>
      <c r="G230" s="803"/>
      <c r="H230" s="803"/>
      <c r="I230" s="804"/>
      <c r="J230" s="661">
        <f>K120</f>
        <v>0</v>
      </c>
      <c r="K230" s="828"/>
      <c r="L230" s="2"/>
      <c r="M230" s="664"/>
      <c r="N230" s="28"/>
    </row>
    <row r="231" spans="1:20" s="808" customFormat="1" ht="25" customHeight="1">
      <c r="A231" s="806"/>
      <c r="B231" s="807" t="s">
        <v>222</v>
      </c>
      <c r="C231" s="807"/>
      <c r="D231" s="807"/>
      <c r="E231" s="807"/>
      <c r="F231" s="807"/>
      <c r="G231" s="807"/>
      <c r="H231" s="807"/>
      <c r="I231" s="807"/>
      <c r="J231" s="662">
        <f>SUM(J228:J230)</f>
        <v>0</v>
      </c>
      <c r="K231" s="863"/>
      <c r="L231" s="806"/>
      <c r="M231" s="664"/>
    </row>
    <row r="232" spans="1:20" ht="25" customHeight="1">
      <c r="A232" s="2"/>
      <c r="B232" s="421"/>
      <c r="C232" s="59"/>
      <c r="D232" s="59"/>
      <c r="E232" s="59"/>
      <c r="F232" s="809"/>
      <c r="G232" s="810"/>
      <c r="H232" s="810"/>
      <c r="I232" s="811"/>
      <c r="J232" s="811"/>
      <c r="K232" s="864"/>
      <c r="L232" s="2"/>
      <c r="M232" s="664"/>
    </row>
    <row r="233" spans="1:20" ht="25" customHeight="1">
      <c r="A233" s="2"/>
      <c r="B233" s="643"/>
      <c r="C233" s="30"/>
      <c r="D233" s="36"/>
      <c r="E233" s="37"/>
      <c r="F233" s="40"/>
      <c r="G233" s="442"/>
      <c r="H233" s="30"/>
      <c r="I233" s="774"/>
      <c r="J233" s="734"/>
      <c r="K233" s="828"/>
      <c r="L233" s="2"/>
      <c r="M233" s="664"/>
    </row>
    <row r="234" spans="1:20" ht="25" customHeight="1">
      <c r="A234" s="812"/>
      <c r="B234" s="644"/>
      <c r="C234" s="42"/>
      <c r="D234" s="33"/>
      <c r="E234" s="34"/>
      <c r="F234" s="813"/>
      <c r="G234" s="805"/>
      <c r="H234" s="42"/>
      <c r="I234" s="814"/>
      <c r="J234" s="437"/>
      <c r="K234" s="594"/>
      <c r="L234" s="815"/>
      <c r="M234" s="664"/>
    </row>
    <row r="235" spans="1:20" s="112" customFormat="1" ht="25" customHeight="1">
      <c r="B235" s="645"/>
      <c r="C235" s="108"/>
      <c r="D235" s="109"/>
      <c r="E235" s="110"/>
      <c r="F235" s="816"/>
      <c r="G235" s="817"/>
      <c r="H235" s="108"/>
      <c r="I235" s="818"/>
      <c r="J235" s="819"/>
      <c r="K235" s="865"/>
    </row>
    <row r="236" spans="1:20" s="112" customFormat="1" ht="25" customHeight="1">
      <c r="B236" s="914" t="s">
        <v>444</v>
      </c>
      <c r="C236" s="108"/>
      <c r="D236" s="108"/>
      <c r="E236" s="108"/>
      <c r="F236" s="820"/>
      <c r="G236" s="821"/>
      <c r="H236" s="822"/>
      <c r="I236" s="822"/>
      <c r="J236" s="822"/>
      <c r="K236" s="866"/>
      <c r="L236" s="819"/>
      <c r="M236" s="819"/>
      <c r="N236" s="819"/>
    </row>
    <row r="237" spans="1:20" s="112" customFormat="1" ht="25" customHeight="1">
      <c r="B237" s="914" t="s">
        <v>445</v>
      </c>
      <c r="C237" s="108"/>
      <c r="D237" s="108"/>
      <c r="E237" s="108"/>
      <c r="F237" s="820"/>
      <c r="G237" s="821"/>
      <c r="H237" s="822"/>
      <c r="I237" s="822"/>
      <c r="J237" s="822"/>
      <c r="K237" s="866"/>
      <c r="L237" s="819"/>
      <c r="M237" s="819"/>
      <c r="N237" s="819"/>
    </row>
    <row r="238" spans="1:20" s="112" customFormat="1" ht="25" customHeight="1">
      <c r="B238" s="915" t="s">
        <v>446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4" t="s">
        <v>447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6" t="s">
        <v>620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645"/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823" customFormat="1" ht="25" customHeight="1">
      <c r="A245" s="112"/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  <c r="O245" s="112"/>
      <c r="P245" s="112"/>
      <c r="Q245" s="112"/>
      <c r="R245" s="112"/>
      <c r="S245" s="112"/>
      <c r="T245" s="112"/>
      <c r="U245" s="112"/>
      <c r="V245" s="112"/>
      <c r="W245" s="112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6"/>
      <c r="K265" s="866"/>
      <c r="M265" s="824"/>
    </row>
    <row r="266" spans="2:14" s="112" customFormat="1" ht="25" customHeight="1">
      <c r="B266" s="646"/>
      <c r="K266" s="866"/>
      <c r="M266" s="824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27" spans="2:4" ht="25" customHeight="1">
      <c r="B327" s="647"/>
      <c r="C327" s="38"/>
      <c r="D327" s="96"/>
    </row>
  </sheetData>
  <sheetProtection algorithmName="SHA-512" hashValue="s0dhXduwmgpRXUf3BZPdkIx2x/wqiA1f1vTH0/6P3bfFC/Wx5oicRb/QRwqJrwTA9LctXfYjOEiwS82vJygi3A==" saltValue="gBiCGMwSivGPo4umw2Wj1A==" spinCount="100000" sheet="1" selectLockedCells="1"/>
  <mergeCells count="43">
    <mergeCell ref="B124:G126"/>
    <mergeCell ref="G131:H131"/>
    <mergeCell ref="H103:I103"/>
    <mergeCell ref="G132:H132"/>
    <mergeCell ref="G133:H133"/>
    <mergeCell ref="C131:D131"/>
    <mergeCell ref="C132:D132"/>
    <mergeCell ref="C133:D133"/>
    <mergeCell ref="E132:F132"/>
    <mergeCell ref="E133:F133"/>
    <mergeCell ref="E131:F131"/>
    <mergeCell ref="H102:I102"/>
    <mergeCell ref="H105:I105"/>
    <mergeCell ref="H104:I104"/>
    <mergeCell ref="B109:G111"/>
    <mergeCell ref="D102:E102"/>
    <mergeCell ref="D103:E103"/>
    <mergeCell ref="D104:E104"/>
    <mergeCell ref="D105:E105"/>
    <mergeCell ref="F102:G102"/>
    <mergeCell ref="F103:G103"/>
    <mergeCell ref="F105:G105"/>
    <mergeCell ref="F104:G104"/>
    <mergeCell ref="H101:I101"/>
    <mergeCell ref="H99:I99"/>
    <mergeCell ref="B4:C4"/>
    <mergeCell ref="B15:G17"/>
    <mergeCell ref="B19:F19"/>
    <mergeCell ref="F99:G99"/>
    <mergeCell ref="D99:E99"/>
    <mergeCell ref="D101:E101"/>
    <mergeCell ref="F101:G101"/>
    <mergeCell ref="B24:E24"/>
    <mergeCell ref="B44:E44"/>
    <mergeCell ref="B59:E59"/>
    <mergeCell ref="B69:E69"/>
    <mergeCell ref="B86:K88"/>
    <mergeCell ref="B218:G220"/>
    <mergeCell ref="B221:F221"/>
    <mergeCell ref="B138:G140"/>
    <mergeCell ref="B180:G182"/>
    <mergeCell ref="B183:F183"/>
    <mergeCell ref="B184:F184"/>
  </mergeCells>
  <phoneticPr fontId="2" type="noConversion"/>
  <conditionalFormatting sqref="I26:I38 I46:I55 I61:I64 I71:I73 I80:I82 I94:I95 I117:I119 J118:J119 K26:K38 K46:K55 K61:K64 K71:K73 K80:K82 K94:K95 K117:K119">
    <cfRule type="cellIs" dxfId="58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5" r:id="rId3" xr:uid="{14C68887-A6AE-5A46-B6B4-5CBC0F55863C}"/>
    <hyperlink ref="B59" location="'SEK - Safesprings tjänster 2022'!I83" display="Central blocklagring kan köpas till insatserna. Se &quot;Central blocklagring&quot; i prislistan." xr:uid="{7245751B-9218-B140-BF80-95BB41BDA629}"/>
    <hyperlink ref="B59:E59" location="'SEK - Safesprings tjänster 2022'!I81" display="Central blocklagring kan köpas till insatserna. Se &quot;Central blocklagring&quot; i prislistan." xr:uid="{68E33D46-B1E3-E949-B5D8-A280A8A3ACE5}"/>
    <hyperlink ref="B69" location="'SEK - Safesprings tjänster 2022'!I83" display="Central blocklagring kan köpas till insatserna. Se &quot;Central blocklagring&quot; i prislistan." xr:uid="{B8C5E60C-C647-074B-BB58-1700364AC2DE}"/>
    <hyperlink ref="B69:E69" location="'SEK - Safesprings tjänster 2022'!I81" display="Central blocklagring kan köpas till insatserna. Se &quot;Central blocklagring&quot; i prislistan." xr:uid="{B9B9D1CD-46E6-B54F-AC66-0BD36D28B36D}"/>
    <hyperlink ref="B44:E44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3" max="11" man="1"/>
    <brk id="234" max="11" man="1"/>
    <brk id="254" max="13" man="1"/>
    <brk id="276" max="16383" man="1"/>
  </rowBreaks>
  <ignoredErrors>
    <ignoredError sqref="G81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9"/>
  <sheetViews>
    <sheetView showGridLines="0" zoomScale="120" zoomScaleNormal="120" zoomScaleSheetLayoutView="100" workbookViewId="0">
      <selection activeCell="B24" sqref="B24:F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8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2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2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2"/>
      <c r="L3" s="663"/>
      <c r="M3" s="664"/>
    </row>
    <row r="4" spans="1:26" ht="25" customHeight="1">
      <c r="A4" s="2"/>
      <c r="B4" s="983"/>
      <c r="C4" s="983"/>
      <c r="D4" s="2"/>
      <c r="E4" s="2"/>
      <c r="F4" s="2"/>
      <c r="G4" s="2"/>
      <c r="H4" s="2"/>
      <c r="I4" s="2"/>
      <c r="J4" s="2"/>
      <c r="K4" s="922"/>
      <c r="L4" s="663"/>
      <c r="M4" s="664"/>
    </row>
    <row r="5" spans="1:26" ht="25" customHeight="1">
      <c r="A5" s="2"/>
      <c r="B5" s="631" t="s">
        <v>630</v>
      </c>
      <c r="C5" s="65"/>
      <c r="D5" s="2"/>
      <c r="E5" s="2"/>
      <c r="F5" s="2"/>
      <c r="G5" s="2"/>
      <c r="H5" s="2"/>
      <c r="I5" s="2"/>
      <c r="J5" s="2"/>
      <c r="K5" s="922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2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2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2"/>
      <c r="L8" s="663"/>
      <c r="M8" s="664"/>
    </row>
    <row r="9" spans="1:26" ht="25" customHeight="1">
      <c r="A9" s="2"/>
      <c r="B9" s="418" t="s">
        <v>605</v>
      </c>
      <c r="C9" s="61"/>
      <c r="D9" s="2"/>
      <c r="E9" s="2"/>
      <c r="F9" s="2"/>
      <c r="G9" s="2"/>
      <c r="H9" s="2"/>
      <c r="I9" s="2"/>
      <c r="J9" s="2"/>
      <c r="K9" s="922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922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3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4"/>
      <c r="L12" s="670"/>
      <c r="M12" s="664"/>
    </row>
    <row r="13" spans="1:26" s="4" customFormat="1" ht="25" customHeight="1">
      <c r="B13" s="636"/>
      <c r="G13" s="671"/>
      <c r="H13" s="671"/>
      <c r="I13" s="672"/>
      <c r="K13" s="925"/>
      <c r="L13" s="673"/>
      <c r="M13" s="664"/>
    </row>
    <row r="14" spans="1:26" s="4" customFormat="1" ht="25" customHeight="1">
      <c r="B14" s="636"/>
      <c r="G14" s="671"/>
      <c r="H14" s="671"/>
      <c r="I14" s="672"/>
      <c r="K14" s="925"/>
      <c r="L14" s="673"/>
      <c r="M14" s="664"/>
    </row>
    <row r="15" spans="1:26" s="4" customFormat="1" ht="25" customHeight="1">
      <c r="B15" s="978" t="s">
        <v>617</v>
      </c>
      <c r="C15" s="978"/>
      <c r="D15" s="978"/>
      <c r="E15" s="978"/>
      <c r="F15" s="978"/>
      <c r="G15" s="978"/>
      <c r="H15" s="672"/>
      <c r="J15" s="674"/>
      <c r="K15" s="925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925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925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509</v>
      </c>
      <c r="C18" s="676"/>
      <c r="D18" s="676"/>
      <c r="E18" s="676"/>
      <c r="F18" s="676"/>
      <c r="H18" s="672"/>
      <c r="J18" s="674"/>
      <c r="K18" s="925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6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516</v>
      </c>
      <c r="C20" s="74"/>
      <c r="D20" s="74"/>
      <c r="E20" s="133"/>
      <c r="F20" s="133"/>
      <c r="G20" s="677"/>
      <c r="H20" s="678"/>
      <c r="I20" s="677"/>
      <c r="J20" s="679"/>
      <c r="K20" s="926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6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6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661</v>
      </c>
      <c r="C23" s="107"/>
      <c r="D23" s="107"/>
      <c r="E23" s="107"/>
      <c r="F23" s="107"/>
      <c r="G23" s="107"/>
      <c r="H23" s="21"/>
      <c r="I23" s="682"/>
      <c r="J23" s="682"/>
      <c r="K23" s="927"/>
      <c r="M23" s="664"/>
      <c r="P23" s="684"/>
      <c r="Q23" s="684"/>
      <c r="R23" s="685"/>
    </row>
    <row r="24" spans="2:26" ht="25" customHeight="1">
      <c r="B24" s="999" t="s">
        <v>668</v>
      </c>
      <c r="C24" s="999"/>
      <c r="D24" s="999"/>
      <c r="E24" s="999"/>
      <c r="F24" s="999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511</v>
      </c>
      <c r="F25" s="131" t="s">
        <v>13</v>
      </c>
      <c r="G25" s="131" t="s">
        <v>512</v>
      </c>
      <c r="H25" s="686"/>
      <c r="I25" s="687" t="s">
        <v>513</v>
      </c>
      <c r="J25" s="686"/>
      <c r="K25" s="929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30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1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30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1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30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1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30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1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30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1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30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1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c32 r64.1000</v>
      </c>
      <c r="C38" s="97">
        <f>'SEK - Safesprings tjänster 2023'!C38</f>
        <v>32</v>
      </c>
      <c r="D38" s="97">
        <f>'SEK - Safesprings tjänster 2023'!D38</f>
        <v>64</v>
      </c>
      <c r="E38" s="101">
        <f>'SEK - Safesprings tjänster 2023'!E38</f>
        <v>1000</v>
      </c>
      <c r="F38" s="888">
        <f t="shared" ref="F38" si="6">G38/720</f>
        <v>0.87516666666666654</v>
      </c>
      <c r="G38" s="888">
        <f t="shared" ref="G38" si="7">C38*IAAS_vcpu_EUR+D38*IAAS_ram_EUR+E38*IAAS_nvme_EUR</f>
        <v>630.11999999999989</v>
      </c>
      <c r="H38" s="44"/>
      <c r="I38" s="691"/>
      <c r="J38" s="44"/>
      <c r="K38" s="930">
        <f t="shared" ref="K38" si="8">ROUNDUP(I38*G38,2)</f>
        <v>0</v>
      </c>
      <c r="M38" s="664"/>
      <c r="P38" s="681"/>
      <c r="R38" s="681"/>
    </row>
    <row r="39" spans="2:18" s="873" customFormat="1" ht="25" customHeight="1">
      <c r="B39" s="869" t="s">
        <v>30</v>
      </c>
      <c r="C39" s="870" cm="1">
        <f t="array" ref="C39">SUM(C26:C37*I26:I37)</f>
        <v>0</v>
      </c>
      <c r="D39" s="870" cm="1">
        <f t="array" ref="D39">SUM(D26:D37*I26:I37)</f>
        <v>0</v>
      </c>
      <c r="E39" s="890" cm="1">
        <f t="array" ref="E39">SUM(E26:E37*I26:I37)</f>
        <v>0</v>
      </c>
      <c r="F39" s="870"/>
      <c r="G39" s="870"/>
      <c r="H39" s="870"/>
      <c r="I39" s="870">
        <f>SUM(I26:I37)</f>
        <v>0</v>
      </c>
      <c r="J39" s="870"/>
      <c r="K39" s="932">
        <f>SUM(K26:K37)</f>
        <v>0</v>
      </c>
      <c r="M39" s="664"/>
      <c r="P39" s="874"/>
      <c r="R39" s="874"/>
    </row>
    <row r="40" spans="2:18" s="675" customFormat="1" ht="25" customHeight="1">
      <c r="B40" s="448"/>
      <c r="C40" s="694"/>
      <c r="D40" s="694"/>
      <c r="E40" s="695"/>
      <c r="F40" s="696"/>
      <c r="G40" s="697"/>
      <c r="H40" s="698"/>
      <c r="I40" s="699"/>
      <c r="J40" s="700"/>
      <c r="K40" s="933"/>
      <c r="M40" s="664"/>
      <c r="P40" s="681"/>
      <c r="R40" s="681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3"/>
      <c r="M41" s="664"/>
      <c r="P41" s="681"/>
      <c r="R41" s="681"/>
    </row>
    <row r="42" spans="2:18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934"/>
      <c r="M42" s="664"/>
      <c r="P42" s="681"/>
      <c r="Q42" s="681"/>
      <c r="R42" s="688"/>
    </row>
    <row r="43" spans="2:18" s="651" customFormat="1" ht="25" customHeight="1">
      <c r="B43" s="652" t="s">
        <v>662</v>
      </c>
      <c r="C43" s="650"/>
      <c r="D43" s="650"/>
      <c r="K43" s="935"/>
      <c r="M43" s="664"/>
    </row>
    <row r="44" spans="2:18" ht="25" customHeight="1">
      <c r="B44" s="999" t="s">
        <v>668</v>
      </c>
      <c r="C44" s="999"/>
      <c r="D44" s="999"/>
      <c r="E44" s="999"/>
      <c r="F44" s="999"/>
      <c r="M44" s="664"/>
    </row>
    <row r="45" spans="2:18" s="651" customFormat="1" ht="25" customHeight="1">
      <c r="B45" s="444" t="s">
        <v>9</v>
      </c>
      <c r="C45" s="11" t="s">
        <v>10</v>
      </c>
      <c r="D45" s="11" t="s">
        <v>11</v>
      </c>
      <c r="E45" s="131" t="s">
        <v>511</v>
      </c>
      <c r="F45" s="131" t="s">
        <v>13</v>
      </c>
      <c r="G45" s="131" t="s">
        <v>512</v>
      </c>
      <c r="H45" s="686"/>
      <c r="I45" s="687" t="s">
        <v>513</v>
      </c>
      <c r="J45" s="686"/>
      <c r="K45" s="929" t="s">
        <v>17</v>
      </c>
      <c r="M45" s="664"/>
      <c r="N45" s="1"/>
      <c r="O45" s="1"/>
      <c r="P45" s="681"/>
      <c r="Q45" s="681"/>
      <c r="R45" s="688"/>
    </row>
    <row r="46" spans="2:18" s="675" customFormat="1" ht="25" customHeight="1">
      <c r="B46" s="445" t="str">
        <f>'SEK - Safesprings tjänster 2023'!B46</f>
        <v>FLAVOR-b2. c1 r2</v>
      </c>
      <c r="C46" s="97">
        <f>'SEK - Safesprings tjänster 2023'!C46</f>
        <v>1</v>
      </c>
      <c r="D46" s="97">
        <f>'SEK - Safesprings tjänster 2023'!D46</f>
        <v>2</v>
      </c>
      <c r="E46" s="654">
        <f>'SEK - Safesprings tjänster 2023'!E46</f>
        <v>0</v>
      </c>
      <c r="F46" s="888">
        <f t="shared" ref="F46:F53" si="9">G46/720</f>
        <v>2.3486111111111107E-2</v>
      </c>
      <c r="G46" s="888">
        <f t="shared" ref="G46:G53" si="10">C46*IAAS_vcpu_EUR+D46*IAAS_ram_EUR+E46*IAAS_ssd_EUR</f>
        <v>16.909999999999997</v>
      </c>
      <c r="H46" s="44"/>
      <c r="I46" s="691"/>
      <c r="J46" s="44"/>
      <c r="K46" s="930">
        <f t="shared" ref="K46:K53" si="11">ROUNDUP(I46*G46,2)</f>
        <v>0</v>
      </c>
      <c r="M46" s="664"/>
      <c r="N46" s="708"/>
      <c r="O46" s="709"/>
    </row>
    <row r="47" spans="2:18" s="675" customFormat="1" ht="25" customHeight="1">
      <c r="B47" s="446" t="str">
        <f>'SEK - Safesprings tjänster 2023'!B47</f>
        <v>FLAVOR-b2. c1 r4</v>
      </c>
      <c r="C47" s="95">
        <f>'SEK - Safesprings tjänster 2023'!C47</f>
        <v>1</v>
      </c>
      <c r="D47" s="95">
        <f>'SEK - Safesprings tjänster 2023'!D47</f>
        <v>4</v>
      </c>
      <c r="E47" s="655">
        <f>'SEK - Safesprings tjänster 2023'!E47</f>
        <v>0</v>
      </c>
      <c r="F47" s="889">
        <f t="shared" si="9"/>
        <v>3.7083333333333329E-2</v>
      </c>
      <c r="G47" s="889">
        <f t="shared" si="10"/>
        <v>26.699999999999996</v>
      </c>
      <c r="H47" s="46"/>
      <c r="I47" s="691"/>
      <c r="J47" s="46"/>
      <c r="K47" s="931">
        <f t="shared" si="11"/>
        <v>0</v>
      </c>
      <c r="L47" s="710"/>
      <c r="M47" s="664"/>
      <c r="N47" s="708"/>
      <c r="O47" s="709"/>
    </row>
    <row r="48" spans="2:18" s="675" customFormat="1" ht="25" customHeight="1">
      <c r="B48" s="445" t="str">
        <f>'SEK - Safesprings tjänster 2023'!B48</f>
        <v>FLAVOR-b2. c2 r4</v>
      </c>
      <c r="C48" s="97">
        <f>'SEK - Safesprings tjänster 2023'!C48</f>
        <v>2</v>
      </c>
      <c r="D48" s="97">
        <f>'SEK - Safesprings tjänster 2023'!D48</f>
        <v>4</v>
      </c>
      <c r="E48" s="654">
        <f>'SEK - Safesprings tjänster 2023'!E48</f>
        <v>0</v>
      </c>
      <c r="F48" s="888">
        <f t="shared" si="9"/>
        <v>4.6972222222222214E-2</v>
      </c>
      <c r="G48" s="888">
        <f t="shared" si="10"/>
        <v>33.819999999999993</v>
      </c>
      <c r="H48" s="44"/>
      <c r="I48" s="691"/>
      <c r="J48" s="44"/>
      <c r="K48" s="930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6" t="str">
        <f>'SEK - Safesprings tjänster 2023'!B49</f>
        <v>FLAVOR-b2. c2 r8</v>
      </c>
      <c r="C49" s="95">
        <f>'SEK - Safesprings tjänster 2023'!C49</f>
        <v>2</v>
      </c>
      <c r="D49" s="95">
        <f>'SEK - Safesprings tjänster 2023'!D49</f>
        <v>8</v>
      </c>
      <c r="E49" s="655">
        <f>'SEK - Safesprings tjänster 2023'!E49</f>
        <v>0</v>
      </c>
      <c r="F49" s="889">
        <f t="shared" si="9"/>
        <v>7.4166666666666659E-2</v>
      </c>
      <c r="G49" s="889">
        <f t="shared" si="10"/>
        <v>53.399999999999991</v>
      </c>
      <c r="H49" s="46"/>
      <c r="I49" s="691"/>
      <c r="J49" s="46"/>
      <c r="K49" s="931">
        <f t="shared" si="11"/>
        <v>0</v>
      </c>
      <c r="L49" s="710"/>
      <c r="M49" s="664"/>
      <c r="N49" s="708"/>
      <c r="O49" s="973"/>
    </row>
    <row r="50" spans="1:20" s="675" customFormat="1" ht="25" customHeight="1">
      <c r="B50" s="445" t="str">
        <f>'SEK - Safesprings tjänster 2023'!B50</f>
        <v>FLAVOR-b2 .c4 r8</v>
      </c>
      <c r="C50" s="97">
        <f>'SEK - Safesprings tjänster 2023'!C50</f>
        <v>4</v>
      </c>
      <c r="D50" s="97">
        <f>'SEK - Safesprings tjänster 2023'!D50</f>
        <v>8</v>
      </c>
      <c r="E50" s="654">
        <f>'SEK - Safesprings tjänster 2023'!E50</f>
        <v>0</v>
      </c>
      <c r="F50" s="888">
        <f t="shared" si="9"/>
        <v>9.3944444444444428E-2</v>
      </c>
      <c r="G50" s="888">
        <f t="shared" si="10"/>
        <v>67.639999999999986</v>
      </c>
      <c r="H50" s="44"/>
      <c r="I50" s="691"/>
      <c r="J50" s="44"/>
      <c r="K50" s="930">
        <f t="shared" si="11"/>
        <v>0</v>
      </c>
      <c r="L50" s="710"/>
      <c r="M50" s="664"/>
      <c r="N50" s="708"/>
    </row>
    <row r="51" spans="1:20" s="675" customFormat="1" ht="25" customHeight="1">
      <c r="B51" s="446" t="str">
        <f>'SEK - Safesprings tjänster 2023'!B51</f>
        <v>FLAVOR-b2. c4 r16</v>
      </c>
      <c r="C51" s="95">
        <f>'SEK - Safesprings tjänster 2023'!C51</f>
        <v>4</v>
      </c>
      <c r="D51" s="95">
        <f>'SEK - Safesprings tjänster 2023'!D51</f>
        <v>16</v>
      </c>
      <c r="E51" s="655">
        <f>'SEK - Safesprings tjänster 2023'!E51</f>
        <v>0</v>
      </c>
      <c r="F51" s="889">
        <f t="shared" si="9"/>
        <v>0.14833333333333332</v>
      </c>
      <c r="G51" s="889">
        <f t="shared" si="10"/>
        <v>106.79999999999998</v>
      </c>
      <c r="H51" s="46"/>
      <c r="I51" s="691"/>
      <c r="J51" s="46"/>
      <c r="K51" s="931">
        <f t="shared" si="11"/>
        <v>0</v>
      </c>
      <c r="L51" s="710"/>
      <c r="M51" s="664"/>
    </row>
    <row r="52" spans="1:20" s="675" customFormat="1" ht="25" customHeight="1">
      <c r="B52" s="445" t="str">
        <f>'SEK - Safesprings tjänster 2023'!B52</f>
        <v>FLAVOR-b2. c8 r16</v>
      </c>
      <c r="C52" s="97">
        <f>'SEK - Safesprings tjänster 2023'!C52</f>
        <v>8</v>
      </c>
      <c r="D52" s="97">
        <f>'SEK - Safesprings tjänster 2023'!D52</f>
        <v>16</v>
      </c>
      <c r="E52" s="654">
        <f>'SEK - Safesprings tjänster 2023'!E52</f>
        <v>0</v>
      </c>
      <c r="F52" s="888">
        <f t="shared" si="9"/>
        <v>0.18788888888888886</v>
      </c>
      <c r="G52" s="888">
        <f t="shared" si="10"/>
        <v>135.27999999999997</v>
      </c>
      <c r="H52" s="44"/>
      <c r="I52" s="691"/>
      <c r="J52" s="44"/>
      <c r="K52" s="930">
        <f t="shared" si="11"/>
        <v>0</v>
      </c>
      <c r="L52" s="710"/>
      <c r="M52" s="664"/>
    </row>
    <row r="53" spans="1:20" s="675" customFormat="1" ht="25" customHeight="1">
      <c r="B53" s="446" t="str">
        <f>'SEK - Safesprings tjänster 2023'!B53</f>
        <v>FLAVOR-b2. c8 r32</v>
      </c>
      <c r="C53" s="95">
        <f>'SEK - Safesprings tjänster 2023'!C53</f>
        <v>8</v>
      </c>
      <c r="D53" s="95">
        <f>'SEK - Safesprings tjänster 2023'!D53</f>
        <v>32</v>
      </c>
      <c r="E53" s="655">
        <f>'SEK - Safesprings tjänster 2023'!E53</f>
        <v>0</v>
      </c>
      <c r="F53" s="889">
        <f t="shared" si="9"/>
        <v>0.29666666666666663</v>
      </c>
      <c r="G53" s="889">
        <f t="shared" si="10"/>
        <v>213.59999999999997</v>
      </c>
      <c r="H53" s="46"/>
      <c r="I53" s="691"/>
      <c r="J53" s="46"/>
      <c r="K53" s="931">
        <f t="shared" si="11"/>
        <v>0</v>
      </c>
      <c r="L53" s="710"/>
      <c r="M53" s="664"/>
    </row>
    <row r="54" spans="1:20" s="675" customFormat="1" ht="25" customHeight="1">
      <c r="B54" s="445" t="str">
        <f>'SEK - Safesprings tjänster 2023'!B54</f>
        <v>FLAVOR-b2. c16 r32</v>
      </c>
      <c r="C54" s="97">
        <f>'SEK - Safesprings tjänster 2023'!C54</f>
        <v>16</v>
      </c>
      <c r="D54" s="97">
        <f>'SEK - Safesprings tjänster 2023'!D54</f>
        <v>32</v>
      </c>
      <c r="E54" s="654">
        <f>'SEK - Safesprings tjänster 2023'!E54</f>
        <v>0</v>
      </c>
      <c r="F54" s="888">
        <f t="shared" ref="F54:F55" si="12">G54/720</f>
        <v>0.37577777777777771</v>
      </c>
      <c r="G54" s="888">
        <f t="shared" ref="G54:G55" si="13">C54*IAAS_vcpu_EUR+D54*IAAS_ram_EUR+E54*IAAS_ssd_EUR</f>
        <v>270.55999999999995</v>
      </c>
      <c r="H54" s="44"/>
      <c r="I54" s="691"/>
      <c r="J54" s="44"/>
      <c r="K54" s="930">
        <f t="shared" ref="K54:K55" si="14">ROUNDUP(I54*G54,2)</f>
        <v>0</v>
      </c>
      <c r="L54" s="710"/>
      <c r="M54" s="664"/>
      <c r="P54" s="681"/>
      <c r="Q54" s="681"/>
      <c r="R54" s="681"/>
    </row>
    <row r="55" spans="1:20" s="675" customFormat="1" ht="25" customHeight="1">
      <c r="B55" s="446" t="str">
        <f>'SEK - Safesprings tjänster 2023'!B55</f>
        <v>FLAVOR-b2. c16 r64</v>
      </c>
      <c r="C55" s="95">
        <f>'SEK - Safesprings tjänster 2023'!C55</f>
        <v>16</v>
      </c>
      <c r="D55" s="95">
        <f>'SEK - Safesprings tjänster 2023'!D55</f>
        <v>64</v>
      </c>
      <c r="E55" s="655">
        <f>'SEK - Safesprings tjänster 2023'!E55</f>
        <v>0</v>
      </c>
      <c r="F55" s="889">
        <f t="shared" si="12"/>
        <v>0.59333333333333327</v>
      </c>
      <c r="G55" s="889">
        <f t="shared" si="13"/>
        <v>427.19999999999993</v>
      </c>
      <c r="H55" s="46"/>
      <c r="I55" s="691"/>
      <c r="J55" s="46"/>
      <c r="K55" s="931">
        <f t="shared" si="14"/>
        <v>0</v>
      </c>
      <c r="L55" s="710"/>
      <c r="M55" s="664"/>
      <c r="P55" s="681"/>
      <c r="Q55" s="681"/>
      <c r="R55" s="681"/>
    </row>
    <row r="56" spans="1:20" s="873" customFormat="1" ht="25" customHeight="1">
      <c r="B56" s="869" t="s">
        <v>30</v>
      </c>
      <c r="C56" s="870" cm="1">
        <f t="array" ref="C56">SUM(b2_list_vCPU*b2_list_Antal_instanser)</f>
        <v>0</v>
      </c>
      <c r="D56" s="870" cm="1">
        <f t="array" ref="D56">SUM(b2_list_ram*b2_list_vCPU)</f>
        <v>0</v>
      </c>
      <c r="E56" s="875" t="s">
        <v>94</v>
      </c>
      <c r="F56" s="870"/>
      <c r="G56" s="870"/>
      <c r="H56" s="870"/>
      <c r="I56" s="870">
        <f>SUM(I46:I55)</f>
        <v>0</v>
      </c>
      <c r="J56" s="870"/>
      <c r="K56" s="936">
        <f>SUM(K46:K55)</f>
        <v>0</v>
      </c>
      <c r="M56" s="664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933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937"/>
      <c r="L58" s="712"/>
      <c r="M58" s="664"/>
      <c r="R58" s="713"/>
      <c r="S58" s="713"/>
      <c r="T58" s="714"/>
    </row>
    <row r="59" spans="1:20" ht="25" hidden="1" customHeight="1">
      <c r="B59" s="985" t="s">
        <v>500</v>
      </c>
      <c r="C59" s="985"/>
      <c r="D59" s="985"/>
      <c r="E59" s="985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929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4" si="15">H61/720</f>
        <v>9.6527777777777786</v>
      </c>
      <c r="H61" s="690">
        <f>C61*IAAS_vcpu_SEK+D61*IAAS_ram_SEK+E61*IAAS_nvme_SEK+F61*IAAS_gpu_SEK</f>
        <v>6950</v>
      </c>
      <c r="I61" s="908"/>
      <c r="J61" s="14"/>
      <c r="K61" s="930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5"/>
        <v>19.305555555555557</v>
      </c>
      <c r="H62" s="693">
        <f>C62*IAAS_vcpu_SEK+D62*IAAS_ram_SEK+E62*IAAS_nvme_SEK+F62*IAAS_gpu_SEK</f>
        <v>13900</v>
      </c>
      <c r="I62" s="908"/>
      <c r="J62" s="16"/>
      <c r="K62" s="931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si="15"/>
        <v>38.611111111111114</v>
      </c>
      <c r="H63" s="690">
        <f>C63*IAAS_vcpu_SEK+D63*IAAS_ram_SEK+E63*IAAS_nvme_SEK+F63*IAAS_gpu_SEK</f>
        <v>27800</v>
      </c>
      <c r="I63" s="908"/>
      <c r="J63" s="14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5"/>
        <v>60.555555555555557</v>
      </c>
      <c r="H64" s="693">
        <f>C64*IAAS_vcpu_SEK+D64*IAAS_ram_SEK+E64*IAAS_nvme_SEK+F64*IAAS_gpu_SEK</f>
        <v>43600</v>
      </c>
      <c r="I64" s="908"/>
      <c r="J64" s="16"/>
      <c r="K64" s="931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936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938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8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938"/>
      <c r="M68" s="664"/>
      <c r="N68" s="8"/>
      <c r="O68" s="8"/>
      <c r="P68" s="684"/>
      <c r="Q68" s="8"/>
      <c r="R68" s="685"/>
    </row>
    <row r="69" spans="2:20" ht="25" hidden="1" customHeight="1">
      <c r="B69" s="985" t="s">
        <v>500</v>
      </c>
      <c r="C69" s="985"/>
      <c r="D69" s="985"/>
      <c r="E69" s="985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929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6">G71/720</f>
        <v>9.5</v>
      </c>
      <c r="G71" s="724">
        <f>INSTANCE_p1.2xlarge.16d_SEK</f>
        <v>6840</v>
      </c>
      <c r="H71" s="14"/>
      <c r="I71" s="908"/>
      <c r="J71" s="14"/>
      <c r="K71" s="930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6"/>
        <v>19</v>
      </c>
      <c r="G72" s="96">
        <f>INSTANCE_p1.4xlarge.16d_SEK</f>
        <v>13680</v>
      </c>
      <c r="H72" s="16"/>
      <c r="I72" s="908"/>
      <c r="J72" s="16"/>
      <c r="K72" s="931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6"/>
        <v>38</v>
      </c>
      <c r="G73" s="724">
        <f>INSTANCE_p1.8xlarge.32d_SEK</f>
        <v>27360</v>
      </c>
      <c r="H73" s="14"/>
      <c r="I73" s="908"/>
      <c r="J73" s="14"/>
      <c r="K73" s="930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936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939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938"/>
      <c r="L76" s="722"/>
      <c r="M76" s="664"/>
      <c r="Q76" s="681"/>
      <c r="S76" s="681"/>
    </row>
    <row r="77" spans="2:20" ht="25" customHeight="1">
      <c r="B77" s="649" t="s">
        <v>514</v>
      </c>
      <c r="C77" s="22"/>
      <c r="D77" s="22"/>
      <c r="E77" s="22"/>
      <c r="F77" s="22"/>
      <c r="G77" s="22"/>
      <c r="H77" s="8"/>
      <c r="I77" s="8"/>
      <c r="J77" s="8"/>
      <c r="K77" s="938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510</v>
      </c>
      <c r="M78" s="664"/>
    </row>
    <row r="79" spans="2:20" s="729" customFormat="1" ht="25" customHeight="1">
      <c r="B79" s="444" t="s">
        <v>9</v>
      </c>
      <c r="C79" s="24" t="s">
        <v>64</v>
      </c>
      <c r="D79" s="24"/>
      <c r="E79" s="24"/>
      <c r="F79" s="132" t="s">
        <v>13</v>
      </c>
      <c r="G79" s="131" t="s">
        <v>512</v>
      </c>
      <c r="H79" s="24"/>
      <c r="I79" s="728" t="s">
        <v>519</v>
      </c>
      <c r="J79" s="24"/>
      <c r="K79" s="940" t="s">
        <v>83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92">
        <f>G80/720</f>
        <v>1.4833333333333332E-4</v>
      </c>
      <c r="G80" s="893">
        <f>VOLUME_large_EUR</f>
        <v>0.10679999999999999</v>
      </c>
      <c r="H80" s="732"/>
      <c r="I80" s="733"/>
      <c r="J80" s="399"/>
      <c r="K80" s="941">
        <f>ROUNDUP(I80*G80,2)</f>
        <v>0</v>
      </c>
      <c r="L80" s="8"/>
      <c r="M80" s="664"/>
    </row>
    <row r="81" spans="2:20" s="675" customFormat="1" ht="25" customHeight="1">
      <c r="B81" s="137" t="s">
        <v>460</v>
      </c>
      <c r="C81" s="41" t="s">
        <v>71</v>
      </c>
      <c r="D81" s="79"/>
      <c r="E81" s="79"/>
      <c r="F81" s="894">
        <f>G81/720</f>
        <v>4.4500000000000003E-4</v>
      </c>
      <c r="G81" s="895">
        <f>VOLUME_fast_EUR</f>
        <v>0.32040000000000002</v>
      </c>
      <c r="H81" s="735"/>
      <c r="I81" s="737"/>
      <c r="J81" s="738"/>
      <c r="K81" s="942">
        <f>ROUNDUP(I81*G81,2)</f>
        <v>0</v>
      </c>
      <c r="L81" s="8"/>
      <c r="M81" s="664"/>
      <c r="T81" s="681"/>
    </row>
    <row r="82" spans="2:20" s="675" customFormat="1" ht="25" customHeight="1">
      <c r="B82" s="134" t="s">
        <v>461</v>
      </c>
      <c r="C82" s="39" t="s">
        <v>426</v>
      </c>
      <c r="D82" s="78"/>
      <c r="E82" s="78"/>
      <c r="F82" s="892">
        <f>G82/720</f>
        <v>1.4833333333333332E-4</v>
      </c>
      <c r="G82" s="893">
        <f>VOLUME_large_EUR</f>
        <v>0.10679999999999999</v>
      </c>
      <c r="H82" s="739"/>
      <c r="I82" s="733"/>
      <c r="J82" s="399"/>
      <c r="K82" s="941">
        <f>ROUNDUP(I82*G82,2)</f>
        <v>0</v>
      </c>
      <c r="L82" s="8"/>
      <c r="M82" s="664"/>
    </row>
    <row r="83" spans="2:20" s="873" customFormat="1" ht="25" customHeight="1">
      <c r="B83" s="869" t="s">
        <v>30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936">
        <f>SUM(K80:K82)</f>
        <v>0</v>
      </c>
      <c r="M83" s="664"/>
      <c r="P83" s="874"/>
      <c r="R83" s="874"/>
    </row>
    <row r="84" spans="2:20" ht="25" customHeight="1">
      <c r="B84" s="452"/>
      <c r="C84" s="76"/>
      <c r="D84" s="76"/>
      <c r="E84" s="76"/>
      <c r="F84" s="76"/>
      <c r="G84" s="76"/>
      <c r="H84" s="721"/>
      <c r="I84" s="740"/>
      <c r="J84" s="740"/>
      <c r="K84" s="943"/>
      <c r="L84" s="742"/>
      <c r="M84" s="664"/>
    </row>
    <row r="85" spans="2:20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944"/>
      <c r="L85" s="741"/>
      <c r="M85" s="664"/>
    </row>
    <row r="86" spans="2:20" s="4" customFormat="1" ht="25" customHeight="1">
      <c r="B86" s="978" t="s">
        <v>618</v>
      </c>
      <c r="C86" s="978"/>
      <c r="D86" s="978"/>
      <c r="E86" s="978"/>
      <c r="F86" s="978"/>
      <c r="G86" s="978"/>
      <c r="H86" s="672"/>
      <c r="J86" s="674"/>
      <c r="K86" s="925"/>
      <c r="M86" s="664"/>
    </row>
    <row r="87" spans="2:20" s="4" customFormat="1" ht="25" customHeight="1">
      <c r="B87" s="978"/>
      <c r="C87" s="978"/>
      <c r="D87" s="978"/>
      <c r="E87" s="978"/>
      <c r="F87" s="978"/>
      <c r="G87" s="978"/>
      <c r="H87" s="672"/>
      <c r="J87" s="674"/>
      <c r="K87" s="925"/>
      <c r="M87" s="664"/>
    </row>
    <row r="88" spans="2:20" s="4" customFormat="1" ht="25" customHeight="1">
      <c r="B88" s="978"/>
      <c r="C88" s="978"/>
      <c r="D88" s="978"/>
      <c r="E88" s="978"/>
      <c r="F88" s="978"/>
      <c r="G88" s="978"/>
      <c r="H88" s="672"/>
      <c r="J88" s="674"/>
      <c r="K88" s="925"/>
      <c r="M88" s="664"/>
    </row>
    <row r="89" spans="2:20" s="4" customFormat="1" ht="25" customHeight="1">
      <c r="B89" s="549" t="s">
        <v>515</v>
      </c>
      <c r="C89" s="549"/>
      <c r="D89" s="549"/>
      <c r="E89" s="549"/>
      <c r="F89" s="549"/>
      <c r="H89" s="672"/>
      <c r="J89" s="674"/>
      <c r="K89" s="925"/>
      <c r="M89" s="664"/>
    </row>
    <row r="90" spans="2:20" s="503" customFormat="1" ht="25" customHeight="1">
      <c r="B90" s="465" t="s">
        <v>625</v>
      </c>
      <c r="C90" s="465"/>
      <c r="D90" s="465"/>
      <c r="E90" s="465"/>
      <c r="F90" s="465"/>
      <c r="G90" s="743"/>
      <c r="H90" s="744"/>
      <c r="I90" s="743"/>
      <c r="J90" s="745"/>
      <c r="K90" s="945"/>
      <c r="L90" s="743"/>
      <c r="M90" s="664"/>
    </row>
    <row r="91" spans="2:20" s="4" customFormat="1" ht="25" customHeight="1">
      <c r="B91" s="550" t="s">
        <v>516</v>
      </c>
      <c r="C91" s="74"/>
      <c r="D91" s="74"/>
      <c r="E91" s="133"/>
      <c r="F91" s="133"/>
      <c r="G91" s="677"/>
      <c r="H91" s="678"/>
      <c r="I91" s="677"/>
      <c r="J91" s="679"/>
      <c r="K91" s="926"/>
      <c r="L91" s="746"/>
      <c r="M91" s="664"/>
      <c r="O91" s="675"/>
      <c r="P91" s="675"/>
    </row>
    <row r="92" spans="2:20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938"/>
      <c r="L92" s="722"/>
      <c r="M92" s="664"/>
      <c r="R92" s="681"/>
      <c r="T92" s="681"/>
    </row>
    <row r="93" spans="2:20" s="4" customFormat="1" ht="25" customHeight="1">
      <c r="B93" s="444" t="s">
        <v>9</v>
      </c>
      <c r="C93" s="10"/>
      <c r="D93" s="131"/>
      <c r="E93" s="131"/>
      <c r="F93" s="24"/>
      <c r="G93" s="131" t="s">
        <v>517</v>
      </c>
      <c r="H93" s="24"/>
      <c r="I93" s="728" t="s">
        <v>518</v>
      </c>
      <c r="J93" s="131"/>
      <c r="K93" s="940" t="s">
        <v>83</v>
      </c>
      <c r="L93" s="680"/>
      <c r="M93" s="664"/>
      <c r="N93" s="675"/>
    </row>
    <row r="94" spans="2:20" s="752" customFormat="1" ht="25" customHeight="1">
      <c r="B94" s="445" t="s">
        <v>497</v>
      </c>
      <c r="C94" s="78"/>
      <c r="D94" s="522"/>
      <c r="E94" s="522"/>
      <c r="F94" s="748"/>
      <c r="G94" s="896">
        <f>S3_archive.50_EUR</f>
        <v>31.15</v>
      </c>
      <c r="H94" s="748"/>
      <c r="I94" s="749"/>
      <c r="J94" s="750"/>
      <c r="K94" s="941">
        <f>I94*G94</f>
        <v>0</v>
      </c>
      <c r="L94" s="751"/>
      <c r="M94" s="664"/>
      <c r="N94" s="721"/>
    </row>
    <row r="95" spans="2:20" s="675" customFormat="1" ht="25" customHeight="1">
      <c r="B95" s="137" t="s">
        <v>462</v>
      </c>
      <c r="C95" s="41"/>
      <c r="D95" s="79"/>
      <c r="E95" s="79"/>
      <c r="F95" s="735"/>
      <c r="G95" s="891">
        <f>S3_storage50_EUR</f>
        <v>44.5</v>
      </c>
      <c r="H95" s="736"/>
      <c r="I95" s="753"/>
      <c r="J95" s="738"/>
      <c r="K95" s="942">
        <f>I95*G95</f>
        <v>0</v>
      </c>
      <c r="L95" s="8"/>
      <c r="M95" s="664"/>
      <c r="T95" s="681"/>
    </row>
    <row r="96" spans="2:20" s="873" customFormat="1" ht="25" customHeight="1">
      <c r="B96" s="869" t="s">
        <v>30</v>
      </c>
      <c r="C96" s="870"/>
      <c r="D96" s="870"/>
      <c r="E96" s="870"/>
      <c r="F96" s="870"/>
      <c r="G96" s="870"/>
      <c r="H96" s="870"/>
      <c r="I96" s="870"/>
      <c r="J96" s="870"/>
      <c r="K96" s="936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938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82" t="s">
        <v>225</v>
      </c>
      <c r="E99" s="982"/>
      <c r="F99" s="982"/>
      <c r="G99" s="982"/>
      <c r="H99" s="982"/>
      <c r="I99" s="982"/>
      <c r="J99" s="131"/>
      <c r="K99" s="940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946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81">
        <f>S3_archive.50_SEK</f>
        <v>350</v>
      </c>
      <c r="E101" s="981"/>
      <c r="F101" s="981"/>
      <c r="G101" s="981"/>
      <c r="H101" s="981"/>
      <c r="I101" s="981"/>
      <c r="J101" s="884"/>
      <c r="K101" s="947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86">
        <f>S3_archive.100_SEK</f>
        <v>270</v>
      </c>
      <c r="E102" s="986"/>
      <c r="F102" s="986"/>
      <c r="G102" s="986"/>
      <c r="H102" s="986"/>
      <c r="I102" s="986"/>
      <c r="J102" s="886"/>
      <c r="K102" s="948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88">
        <f>S3_archive.500_SEK</f>
        <v>200</v>
      </c>
      <c r="E103" s="988"/>
      <c r="F103" s="988"/>
      <c r="G103" s="988"/>
      <c r="H103" s="988"/>
      <c r="I103" s="988"/>
      <c r="J103" s="887"/>
      <c r="K103" s="949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86">
        <f>S3_archive.1000_SEK</f>
        <v>185</v>
      </c>
      <c r="E104" s="986"/>
      <c r="F104" s="986"/>
      <c r="G104" s="986"/>
      <c r="H104" s="986"/>
      <c r="I104" s="986"/>
      <c r="J104" s="886"/>
      <c r="K104" s="948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87" t="str">
        <f>S3_archive.quote_SEK</f>
        <v>Be om offert</v>
      </c>
      <c r="E105" s="987"/>
      <c r="F105" s="987"/>
      <c r="G105" s="987"/>
      <c r="H105" s="987"/>
      <c r="I105" s="987"/>
      <c r="J105" s="885"/>
      <c r="K105" s="950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933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926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943"/>
      <c r="L108" s="742"/>
      <c r="M108" s="664"/>
      <c r="N108" s="675"/>
      <c r="Q108" s="4"/>
    </row>
    <row r="109" spans="2:19" s="4" customFormat="1" ht="25" customHeight="1">
      <c r="B109" s="978" t="s">
        <v>619</v>
      </c>
      <c r="C109" s="978"/>
      <c r="D109" s="978"/>
      <c r="E109" s="978"/>
      <c r="F109" s="978"/>
      <c r="G109" s="978"/>
      <c r="H109" s="672"/>
      <c r="J109" s="674"/>
      <c r="K109" s="925"/>
      <c r="L109" s="674"/>
      <c r="M109" s="664"/>
    </row>
    <row r="110" spans="2:19" s="4" customFormat="1" ht="25" customHeight="1">
      <c r="B110" s="978"/>
      <c r="C110" s="978"/>
      <c r="D110" s="978"/>
      <c r="E110" s="978"/>
      <c r="F110" s="978"/>
      <c r="G110" s="978"/>
      <c r="H110" s="672"/>
      <c r="J110" s="674"/>
      <c r="K110" s="925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925"/>
      <c r="L111" s="674"/>
      <c r="M111" s="664"/>
    </row>
    <row r="112" spans="2:19" s="4" customFormat="1" ht="25" customHeight="1">
      <c r="B112" s="549" t="s">
        <v>498</v>
      </c>
      <c r="C112" s="549"/>
      <c r="D112" s="549"/>
      <c r="E112" s="549"/>
      <c r="F112" s="549"/>
      <c r="H112" s="672"/>
      <c r="J112" s="674"/>
      <c r="K112" s="925"/>
      <c r="L112" s="674"/>
      <c r="M112" s="664"/>
    </row>
    <row r="113" spans="2:32" s="4" customFormat="1" ht="25" customHeight="1">
      <c r="B113" s="465" t="s">
        <v>6</v>
      </c>
      <c r="C113" s="465"/>
      <c r="D113" s="465"/>
      <c r="E113" s="465"/>
      <c r="F113" s="465"/>
      <c r="G113" s="677"/>
      <c r="H113" s="678"/>
      <c r="J113" s="679"/>
      <c r="K113" s="926"/>
      <c r="L113" s="680"/>
      <c r="M113" s="664"/>
      <c r="S113" s="675"/>
      <c r="T113" s="675"/>
      <c r="U113" s="675"/>
      <c r="V113" s="675"/>
      <c r="W113" s="675"/>
      <c r="X113" s="675"/>
      <c r="Y113" s="675"/>
      <c r="Z113" s="675"/>
    </row>
    <row r="114" spans="2:32" s="4" customFormat="1" ht="25" customHeight="1">
      <c r="B114" s="550" t="s">
        <v>516</v>
      </c>
      <c r="C114" s="74"/>
      <c r="D114" s="74"/>
      <c r="E114" s="133"/>
      <c r="F114" s="133"/>
      <c r="G114" s="677"/>
      <c r="H114" s="678"/>
      <c r="I114" s="677"/>
      <c r="J114" s="679"/>
      <c r="K114" s="926"/>
      <c r="L114" s="746"/>
      <c r="M114" s="664"/>
      <c r="O114" s="675"/>
      <c r="P114" s="675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938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9</v>
      </c>
      <c r="C116" s="769"/>
      <c r="D116" s="769"/>
      <c r="E116" s="131" t="s">
        <v>520</v>
      </c>
      <c r="F116" s="769"/>
      <c r="G116" s="131" t="s">
        <v>521</v>
      </c>
      <c r="H116" s="24"/>
      <c r="I116" s="728" t="s">
        <v>519</v>
      </c>
      <c r="J116" s="728" t="s">
        <v>522</v>
      </c>
      <c r="K116" s="940" t="s">
        <v>559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897">
        <f>BAAS_on.demand_EUR</f>
        <v>0.21804999999999999</v>
      </c>
      <c r="H117" s="399"/>
      <c r="I117" s="749"/>
      <c r="J117" s="877" t="s">
        <v>94</v>
      </c>
      <c r="K117" s="941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903">
        <f>BAAS_small.fee_EUR</f>
        <v>489.5</v>
      </c>
      <c r="F118" s="738"/>
      <c r="G118" s="898">
        <f>BAAS_small_EUR</f>
        <v>0.15575</v>
      </c>
      <c r="H118" s="738"/>
      <c r="I118" s="765"/>
      <c r="J118" s="766">
        <v>0.75</v>
      </c>
      <c r="K118" s="942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904">
        <f>BAAS_large.fee_EUR</f>
        <v>845.5</v>
      </c>
      <c r="F119" s="757"/>
      <c r="G119" s="897">
        <f>BAAS_large_EUR</f>
        <v>8.1879999999999994E-2</v>
      </c>
      <c r="H119" s="757"/>
      <c r="I119" s="756"/>
      <c r="J119" s="768">
        <v>0.75</v>
      </c>
      <c r="K119" s="946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30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936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951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943"/>
      <c r="L122" s="751"/>
      <c r="M122" s="664"/>
      <c r="N122" s="675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3"/>
      <c r="L123" s="742"/>
      <c r="M123" s="664"/>
      <c r="N123" s="675"/>
      <c r="Q123" s="4"/>
    </row>
    <row r="124" spans="2:32" s="4" customFormat="1" ht="25" hidden="1" customHeight="1">
      <c r="B124" s="978" t="s">
        <v>434</v>
      </c>
      <c r="C124" s="978"/>
      <c r="D124" s="978"/>
      <c r="E124" s="978"/>
      <c r="F124" s="978"/>
      <c r="G124" s="978"/>
      <c r="H124" s="672"/>
      <c r="J124" s="674"/>
      <c r="K124" s="925"/>
      <c r="L124" s="674"/>
      <c r="M124" s="664"/>
    </row>
    <row r="125" spans="2:32" s="4" customFormat="1" ht="25" hidden="1" customHeight="1">
      <c r="B125" s="978"/>
      <c r="C125" s="978"/>
      <c r="D125" s="978"/>
      <c r="E125" s="978"/>
      <c r="F125" s="978"/>
      <c r="G125" s="978"/>
      <c r="H125" s="672"/>
      <c r="J125" s="674"/>
      <c r="K125" s="925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925"/>
      <c r="L126" s="674"/>
      <c r="M126" s="664"/>
    </row>
    <row r="127" spans="2:32" s="4" customFormat="1" ht="25" hidden="1" customHeight="1">
      <c r="B127" s="549" t="s">
        <v>527</v>
      </c>
      <c r="C127" s="6"/>
      <c r="D127" s="6"/>
      <c r="E127" s="6"/>
      <c r="F127" s="6"/>
      <c r="H127" s="672"/>
      <c r="J127" s="674"/>
      <c r="K127" s="925"/>
      <c r="L127" s="674"/>
      <c r="M127" s="664"/>
    </row>
    <row r="128" spans="2:32" s="4" customFormat="1" ht="25" hidden="1" customHeight="1">
      <c r="B128" s="465" t="s">
        <v>612</v>
      </c>
      <c r="C128" s="465"/>
      <c r="D128" s="465"/>
      <c r="E128" s="465"/>
      <c r="F128" s="465"/>
      <c r="G128" s="677"/>
      <c r="H128" s="678"/>
      <c r="J128" s="679"/>
      <c r="K128" s="926"/>
      <c r="L128" s="680"/>
      <c r="M128" s="664"/>
      <c r="S128" s="675"/>
      <c r="T128" s="675"/>
      <c r="U128" s="675"/>
      <c r="V128" s="675"/>
      <c r="W128" s="675"/>
      <c r="X128" s="675"/>
      <c r="Y128" s="675"/>
      <c r="Z128" s="675"/>
    </row>
    <row r="129" spans="2:32" s="4" customFormat="1" ht="25" hidden="1" customHeight="1">
      <c r="B129" s="550" t="s">
        <v>516</v>
      </c>
      <c r="C129" s="74"/>
      <c r="D129" s="74"/>
      <c r="E129" s="74"/>
      <c r="F129" s="133"/>
      <c r="G129" s="677"/>
      <c r="H129" s="678"/>
      <c r="I129" s="677"/>
      <c r="J129" s="679"/>
      <c r="K129" s="926"/>
      <c r="L129" s="746"/>
      <c r="M129" s="664"/>
      <c r="O129" s="675"/>
      <c r="P129" s="675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938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9</v>
      </c>
      <c r="C131" s="989" t="s">
        <v>528</v>
      </c>
      <c r="D131" s="989"/>
      <c r="E131" s="989" t="s">
        <v>529</v>
      </c>
      <c r="F131" s="989"/>
      <c r="G131" s="998" t="s">
        <v>520</v>
      </c>
      <c r="H131" s="998"/>
      <c r="I131" s="24"/>
      <c r="J131" s="24"/>
      <c r="K131" s="940" t="s">
        <v>92</v>
      </c>
      <c r="L131" s="722"/>
      <c r="M131" s="664"/>
    </row>
    <row r="132" spans="2:32" ht="25" hidden="1" customHeight="1">
      <c r="B132" s="826" t="s">
        <v>466</v>
      </c>
      <c r="C132" s="994" t="s">
        <v>533</v>
      </c>
      <c r="D132" s="994"/>
      <c r="E132" s="996" t="s">
        <v>532</v>
      </c>
      <c r="F132" s="996"/>
      <c r="G132" s="901" t="str">
        <f>PAAS_man.kubernetes_EUR</f>
        <v xml:space="preserve"> Requests for quotation </v>
      </c>
      <c r="H132" s="899"/>
      <c r="I132" s="749"/>
      <c r="J132" s="911">
        <v>1</v>
      </c>
      <c r="K132" s="952" t="str">
        <f>IF(J132=1,G132," ")</f>
        <v xml:space="preserve"> Requests for quotation </v>
      </c>
      <c r="L132" s="722"/>
      <c r="M132" s="664"/>
    </row>
    <row r="133" spans="2:32" ht="25" hidden="1" customHeight="1">
      <c r="B133" s="137" t="s">
        <v>467</v>
      </c>
      <c r="C133" s="995" t="s">
        <v>530</v>
      </c>
      <c r="D133" s="995"/>
      <c r="E133" s="997" t="s">
        <v>531</v>
      </c>
      <c r="F133" s="997"/>
      <c r="G133" s="902" t="str">
        <f>PAAS_man.kubernetes8_EUR</f>
        <v>Requests for quotation</v>
      </c>
      <c r="H133" s="900"/>
      <c r="I133" s="753"/>
      <c r="J133" s="738"/>
      <c r="K133" s="953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30</v>
      </c>
      <c r="C134" s="870"/>
      <c r="D134" s="870"/>
      <c r="E134" s="870"/>
      <c r="F134" s="870"/>
      <c r="G134" s="870"/>
      <c r="H134" s="870"/>
      <c r="I134" s="910"/>
      <c r="J134" s="870"/>
      <c r="K134" s="936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933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951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926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78" t="s">
        <v>100</v>
      </c>
      <c r="C138" s="978"/>
      <c r="D138" s="978"/>
      <c r="E138" s="978"/>
      <c r="F138" s="978"/>
      <c r="G138" s="978"/>
      <c r="H138" s="672"/>
      <c r="J138" s="674"/>
      <c r="K138" s="925"/>
      <c r="M138" s="664"/>
    </row>
    <row r="139" spans="2:32" s="4" customFormat="1" ht="25" customHeight="1">
      <c r="B139" s="978"/>
      <c r="C139" s="978"/>
      <c r="D139" s="978"/>
      <c r="E139" s="978"/>
      <c r="F139" s="978"/>
      <c r="G139" s="978"/>
      <c r="H139" s="672"/>
      <c r="J139" s="674"/>
      <c r="K139" s="925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925"/>
      <c r="M140" s="664"/>
    </row>
    <row r="141" spans="2:32" s="4" customFormat="1" ht="25" customHeight="1">
      <c r="B141" s="465" t="s">
        <v>6</v>
      </c>
      <c r="C141" s="465"/>
      <c r="D141" s="465"/>
      <c r="E141" s="465"/>
      <c r="F141" s="465"/>
      <c r="G141" s="677"/>
      <c r="H141" s="678"/>
      <c r="J141" s="679"/>
      <c r="K141" s="926"/>
      <c r="L141" s="680"/>
      <c r="M141" s="664"/>
      <c r="S141" s="675"/>
      <c r="T141" s="675"/>
      <c r="U141" s="675"/>
      <c r="V141" s="675"/>
      <c r="W141" s="675"/>
      <c r="X141" s="675"/>
      <c r="Y141" s="675"/>
      <c r="Z141" s="675"/>
    </row>
    <row r="142" spans="2:32" s="4" customFormat="1" ht="25" customHeight="1">
      <c r="B142" s="465"/>
      <c r="C142" s="133"/>
      <c r="D142" s="133"/>
      <c r="E142" s="133"/>
      <c r="F142" s="133"/>
      <c r="G142" s="677"/>
      <c r="H142" s="678"/>
      <c r="I142" s="677"/>
      <c r="J142" s="679"/>
      <c r="K142" s="926"/>
      <c r="L142" s="677"/>
      <c r="M142" s="664"/>
    </row>
    <row r="143" spans="2:32" s="8" customFormat="1" ht="25" customHeight="1">
      <c r="B143" s="649" t="s">
        <v>101</v>
      </c>
      <c r="C143" s="133"/>
      <c r="D143" s="133"/>
      <c r="E143" s="133"/>
      <c r="F143" s="133"/>
      <c r="G143" s="677"/>
      <c r="H143" s="677"/>
      <c r="I143" s="677"/>
      <c r="J143" s="679"/>
      <c r="K143" s="926"/>
      <c r="L143" s="677"/>
      <c r="M143" s="664"/>
      <c r="N143" s="675"/>
      <c r="O143" s="675"/>
      <c r="P143" s="675"/>
      <c r="Q143" s="675"/>
      <c r="R143" s="675"/>
      <c r="S143" s="675"/>
    </row>
    <row r="144" spans="2:32" ht="25" customHeight="1">
      <c r="B144" s="628" t="s">
        <v>534</v>
      </c>
      <c r="M144" s="664"/>
    </row>
    <row r="145" spans="2:18" ht="25" customHeight="1">
      <c r="B145" s="470" t="s">
        <v>9</v>
      </c>
      <c r="C145" s="23" t="s">
        <v>102</v>
      </c>
      <c r="D145" s="23"/>
      <c r="E145" s="24" t="s">
        <v>64</v>
      </c>
      <c r="F145" s="24"/>
      <c r="G145" s="24"/>
      <c r="H145" s="24"/>
      <c r="I145" s="24"/>
      <c r="J145" s="23" t="s">
        <v>535</v>
      </c>
      <c r="K145" s="940" t="s">
        <v>14</v>
      </c>
      <c r="L145" s="13"/>
      <c r="M145" s="664"/>
      <c r="N145" s="742"/>
      <c r="O145" s="8"/>
    </row>
    <row r="146" spans="2:18" ht="25" customHeight="1">
      <c r="B146" s="134" t="s">
        <v>468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70" t="s">
        <v>536</v>
      </c>
      <c r="K146" s="921">
        <f>NET_publicv4_EUR</f>
        <v>2.2250000000000001</v>
      </c>
      <c r="M146" s="664"/>
      <c r="N146" s="742"/>
      <c r="O146" s="8"/>
    </row>
    <row r="147" spans="2:18" ht="25" customHeight="1">
      <c r="B147" s="137" t="s">
        <v>469</v>
      </c>
      <c r="C147" s="130" t="s">
        <v>109</v>
      </c>
      <c r="D147" s="130"/>
      <c r="E147" s="41" t="s">
        <v>106</v>
      </c>
      <c r="F147" s="771"/>
      <c r="G147" s="771"/>
      <c r="H147" s="771"/>
      <c r="I147" s="771"/>
      <c r="J147" s="772" t="s">
        <v>94</v>
      </c>
      <c r="K147" s="920">
        <f>NET_publicv6_EUR</f>
        <v>0</v>
      </c>
      <c r="M147" s="664"/>
      <c r="N147" s="742"/>
      <c r="O147" s="8"/>
    </row>
    <row r="148" spans="2:18" ht="25" customHeight="1">
      <c r="B148" s="134" t="s">
        <v>470</v>
      </c>
      <c r="C148" s="129" t="s">
        <v>111</v>
      </c>
      <c r="D148" s="129"/>
      <c r="E148" s="148"/>
      <c r="F148" s="37"/>
      <c r="G148" s="37"/>
      <c r="H148" s="37"/>
      <c r="I148" s="37"/>
      <c r="J148" s="770" t="s">
        <v>69</v>
      </c>
      <c r="K148" s="921">
        <f>NET_ingress_EUR</f>
        <v>0</v>
      </c>
      <c r="M148" s="664"/>
      <c r="N148" s="742"/>
      <c r="O148" s="8"/>
    </row>
    <row r="149" spans="2:18" ht="25" customHeight="1">
      <c r="B149" s="137" t="s">
        <v>471</v>
      </c>
      <c r="C149" s="130" t="s">
        <v>111</v>
      </c>
      <c r="D149" s="130"/>
      <c r="E149" s="41"/>
      <c r="F149" s="771"/>
      <c r="G149" s="771"/>
      <c r="H149" s="771"/>
      <c r="I149" s="771"/>
      <c r="J149" s="773" t="s">
        <v>69</v>
      </c>
      <c r="K149" s="920">
        <f>NET_egress_EUR</f>
        <v>0</v>
      </c>
      <c r="M149" s="664"/>
      <c r="N149" s="742"/>
      <c r="O149" s="8"/>
    </row>
    <row r="150" spans="2:18" ht="25" customHeight="1">
      <c r="B150" s="134" t="s">
        <v>472</v>
      </c>
      <c r="C150" s="129" t="s">
        <v>115</v>
      </c>
      <c r="D150" s="129"/>
      <c r="E150" s="30" t="s">
        <v>537</v>
      </c>
      <c r="F150" s="37"/>
      <c r="G150" s="37"/>
      <c r="H150" s="37"/>
      <c r="I150" s="37"/>
      <c r="J150" s="770" t="s">
        <v>116</v>
      </c>
      <c r="K150" s="954" t="str">
        <f>NET_mgn.slb_EUR</f>
        <v>Request a quote</v>
      </c>
      <c r="M150" s="664"/>
    </row>
    <row r="151" spans="2:18" ht="25" customHeight="1">
      <c r="B151" s="137" t="s">
        <v>473</v>
      </c>
      <c r="C151" s="130" t="s">
        <v>118</v>
      </c>
      <c r="D151" s="130"/>
      <c r="E151" s="41"/>
      <c r="F151" s="771"/>
      <c r="G151" s="771"/>
      <c r="H151" s="771"/>
      <c r="I151" s="771"/>
      <c r="J151" s="772" t="s">
        <v>94</v>
      </c>
      <c r="K151" s="920">
        <f>NET_rdns_EUR</f>
        <v>0</v>
      </c>
      <c r="M151" s="664"/>
      <c r="N151" s="742"/>
      <c r="O151" s="8"/>
    </row>
    <row r="152" spans="2:18" ht="25" customHeight="1">
      <c r="B152" s="134" t="s">
        <v>474</v>
      </c>
      <c r="C152" s="129" t="s">
        <v>121</v>
      </c>
      <c r="D152" s="129"/>
      <c r="E152" s="30"/>
      <c r="F152" s="37"/>
      <c r="G152" s="37"/>
      <c r="H152" s="37"/>
      <c r="I152" s="37"/>
      <c r="J152" s="775" t="s">
        <v>94</v>
      </c>
      <c r="K152" s="921">
        <v>0</v>
      </c>
      <c r="M152" s="664"/>
      <c r="N152" s="742"/>
      <c r="O152" s="8"/>
    </row>
    <row r="153" spans="2:18" ht="25" customHeight="1">
      <c r="B153" s="639"/>
      <c r="C153" s="141"/>
      <c r="D153" s="142"/>
      <c r="E153" s="142"/>
      <c r="F153" s="142"/>
      <c r="G153" s="142"/>
      <c r="H153" s="142"/>
      <c r="I153" s="142"/>
      <c r="J153" s="141"/>
      <c r="K153" s="955"/>
      <c r="M153" s="664"/>
      <c r="N153" s="742"/>
      <c r="O153" s="8"/>
    </row>
    <row r="154" spans="2:18" ht="25" customHeight="1">
      <c r="C154" s="43"/>
      <c r="J154" s="43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B156" s="649" t="s">
        <v>538</v>
      </c>
      <c r="C156" s="13"/>
      <c r="D156" s="13"/>
      <c r="E156" s="13"/>
      <c r="F156" s="13"/>
      <c r="G156" s="13"/>
      <c r="H156" s="13"/>
      <c r="I156" s="13"/>
      <c r="J156" s="776"/>
      <c r="M156" s="664"/>
      <c r="N156" s="742"/>
      <c r="O156" s="8"/>
    </row>
    <row r="157" spans="2:18" ht="25" customHeight="1">
      <c r="B157" s="628" t="s">
        <v>539</v>
      </c>
      <c r="M157" s="664"/>
    </row>
    <row r="158" spans="2:18" ht="25" customHeight="1">
      <c r="B158" s="470" t="s">
        <v>9</v>
      </c>
      <c r="C158" s="23"/>
      <c r="D158" s="23"/>
      <c r="E158" s="24" t="s">
        <v>64</v>
      </c>
      <c r="F158" s="24"/>
      <c r="G158" s="24"/>
      <c r="H158" s="24"/>
      <c r="I158" s="24"/>
      <c r="J158" s="23" t="s">
        <v>535</v>
      </c>
      <c r="K158" s="940" t="s">
        <v>14</v>
      </c>
      <c r="M158" s="664"/>
      <c r="N158" s="742"/>
      <c r="O158" s="8"/>
    </row>
    <row r="159" spans="2:18" ht="25" customHeight="1">
      <c r="B159" s="134" t="s">
        <v>475</v>
      </c>
      <c r="C159" s="129"/>
      <c r="D159" s="30"/>
      <c r="E159" s="30" t="s">
        <v>123</v>
      </c>
      <c r="F159" s="30"/>
      <c r="G159" s="30"/>
      <c r="H159" s="30"/>
      <c r="I159" s="30"/>
      <c r="J159" s="770" t="s">
        <v>10</v>
      </c>
      <c r="K159" s="941">
        <f>SW_win.ser.201X_EUR</f>
        <v>6.9419999999999993</v>
      </c>
      <c r="L159" s="740"/>
      <c r="M159" s="664"/>
      <c r="N159" s="742"/>
      <c r="O159" s="8"/>
      <c r="Q159" s="675"/>
      <c r="R159" s="675"/>
    </row>
    <row r="160" spans="2:18" ht="25" customHeight="1">
      <c r="B160" s="137" t="s">
        <v>476</v>
      </c>
      <c r="C160" s="130"/>
      <c r="D160" s="38"/>
      <c r="E160" s="38" t="s">
        <v>125</v>
      </c>
      <c r="F160" s="771"/>
      <c r="G160" s="771"/>
      <c r="H160" s="771"/>
      <c r="I160" s="771"/>
      <c r="J160" s="773" t="s">
        <v>10</v>
      </c>
      <c r="K160" s="942">
        <f>SW_win.ser.201X_EUR</f>
        <v>6.9419999999999993</v>
      </c>
      <c r="L160" s="740"/>
      <c r="M160" s="664"/>
      <c r="N160" s="742"/>
      <c r="O160" s="8"/>
      <c r="Q160" s="675"/>
      <c r="R160" s="675"/>
    </row>
    <row r="161" spans="2:18" ht="25" customHeight="1">
      <c r="B161" s="134" t="s">
        <v>614</v>
      </c>
      <c r="C161" s="129"/>
      <c r="D161" s="30"/>
      <c r="E161" s="30" t="s">
        <v>615</v>
      </c>
      <c r="F161" s="30"/>
      <c r="G161" s="30"/>
      <c r="H161" s="30"/>
      <c r="I161" s="30"/>
      <c r="J161" s="770" t="s">
        <v>10</v>
      </c>
      <c r="K161" s="941">
        <f>SW_win.ser.201X_EUR</f>
        <v>6.9419999999999993</v>
      </c>
      <c r="L161" s="740"/>
      <c r="M161" s="664"/>
      <c r="N161" s="742"/>
      <c r="O161" s="8"/>
      <c r="Q161" s="675"/>
      <c r="R161" s="675"/>
    </row>
    <row r="162" spans="2:18" s="4" customFormat="1" ht="25" customHeight="1">
      <c r="B162" s="137" t="s">
        <v>477</v>
      </c>
      <c r="C162" s="130"/>
      <c r="D162" s="38"/>
      <c r="E162" s="38" t="s">
        <v>409</v>
      </c>
      <c r="F162" s="771"/>
      <c r="G162" s="771"/>
      <c r="H162" s="771"/>
      <c r="I162" s="771"/>
      <c r="J162" s="773" t="s">
        <v>10</v>
      </c>
      <c r="K162" s="942">
        <f>SW_ms.sql.ser_EUR</f>
        <v>133.322</v>
      </c>
      <c r="M162" s="664"/>
      <c r="N162" s="742"/>
      <c r="O162" s="8"/>
    </row>
    <row r="163" spans="2:18" ht="25" customHeight="1">
      <c r="B163" s="134" t="s">
        <v>478</v>
      </c>
      <c r="C163" s="129"/>
      <c r="D163" s="30"/>
      <c r="E163" s="30" t="s">
        <v>131</v>
      </c>
      <c r="F163" s="30"/>
      <c r="G163" s="30"/>
      <c r="H163" s="30"/>
      <c r="I163" s="30"/>
      <c r="J163" s="770" t="s">
        <v>94</v>
      </c>
      <c r="K163" s="956" t="str">
        <f>SW_nextcloud_EUR</f>
        <v>Request a quote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479</v>
      </c>
      <c r="C164" s="130"/>
      <c r="D164" s="38"/>
      <c r="E164" s="38" t="s">
        <v>133</v>
      </c>
      <c r="F164" s="771"/>
      <c r="G164" s="771"/>
      <c r="H164" s="771"/>
      <c r="I164" s="771"/>
      <c r="J164" s="773" t="s">
        <v>94</v>
      </c>
      <c r="K164" s="957" t="str">
        <f>SW_suse_EUR</f>
        <v>Request a quote</v>
      </c>
      <c r="M164" s="664"/>
      <c r="N164" s="742"/>
      <c r="O164" s="8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8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2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540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40" t="s">
        <v>14</v>
      </c>
      <c r="M170" s="664"/>
      <c r="N170" s="742"/>
      <c r="O170" s="8"/>
    </row>
    <row r="171" spans="2:18" ht="25" customHeight="1">
      <c r="B171" s="134" t="s">
        <v>467</v>
      </c>
      <c r="C171" s="129"/>
      <c r="D171" s="30"/>
      <c r="E171" s="30" t="s">
        <v>406</v>
      </c>
      <c r="F171" s="30"/>
      <c r="G171" s="30"/>
      <c r="H171" s="30"/>
      <c r="I171" s="30"/>
      <c r="J171" s="40"/>
      <c r="K171" s="959" t="str">
        <f>PAAS_man.kubernetes_EUR</f>
        <v xml:space="preserve"> Requests for quotation </v>
      </c>
      <c r="M171" s="664"/>
      <c r="N171" s="742"/>
      <c r="O171" s="8"/>
    </row>
    <row r="172" spans="2:18" ht="25" customHeight="1">
      <c r="B172" s="137" t="s">
        <v>480</v>
      </c>
      <c r="C172" s="130"/>
      <c r="D172" s="38"/>
      <c r="E172" s="38" t="s">
        <v>407</v>
      </c>
      <c r="F172" s="771"/>
      <c r="G172" s="771"/>
      <c r="H172" s="771"/>
      <c r="I172" s="771"/>
      <c r="J172" s="779"/>
      <c r="K172" s="942" t="str">
        <f>PAAS_man.postgres.sql_EUR</f>
        <v>Requests for quotation</v>
      </c>
      <c r="M172" s="664"/>
      <c r="N172" s="742"/>
      <c r="O172" s="8"/>
    </row>
    <row r="173" spans="2:18" ht="25" customHeight="1">
      <c r="B173" s="134" t="s">
        <v>481</v>
      </c>
      <c r="C173" s="129"/>
      <c r="D173" s="30"/>
      <c r="E173" s="30" t="s">
        <v>408</v>
      </c>
      <c r="F173" s="30"/>
      <c r="G173" s="30"/>
      <c r="H173" s="30"/>
      <c r="I173" s="30"/>
      <c r="J173" s="40"/>
      <c r="K173" s="941" t="str">
        <f>PAAS_man.elasticsearch_EUR</f>
        <v>Requests for quotation</v>
      </c>
      <c r="M173" s="664"/>
      <c r="N173" s="742"/>
      <c r="O173" s="8"/>
    </row>
    <row r="174" spans="2:18" ht="25" customHeight="1">
      <c r="B174" s="137" t="s">
        <v>482</v>
      </c>
      <c r="C174" s="130"/>
      <c r="D174" s="38"/>
      <c r="E174" s="38" t="s">
        <v>628</v>
      </c>
      <c r="F174" s="771"/>
      <c r="G174" s="771"/>
      <c r="H174" s="771"/>
      <c r="I174" s="771"/>
      <c r="J174" s="779"/>
      <c r="K174" s="942" t="str">
        <f>PAAS_openshift_EUR</f>
        <v>Requests for quotation</v>
      </c>
      <c r="M174" s="664"/>
      <c r="N174" s="742"/>
      <c r="O174" s="8"/>
    </row>
    <row r="175" spans="2:18" ht="25" customHeight="1">
      <c r="B175" s="134" t="s">
        <v>483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1" t="str">
        <f>PAAS_man.nats_EUR</f>
        <v>Requests for quotation</v>
      </c>
      <c r="M175" s="664"/>
      <c r="N175" s="742"/>
      <c r="O175" s="8"/>
    </row>
    <row r="176" spans="2:18" ht="25" customHeight="1">
      <c r="B176" s="137" t="s">
        <v>670</v>
      </c>
      <c r="C176" s="130"/>
      <c r="D176" s="38"/>
      <c r="E176" s="38" t="s">
        <v>669</v>
      </c>
      <c r="F176" s="771"/>
      <c r="G176" s="771"/>
      <c r="H176" s="771"/>
      <c r="I176" s="771"/>
      <c r="J176" s="779"/>
      <c r="K176" s="975">
        <v>565</v>
      </c>
      <c r="M176" s="664"/>
      <c r="N176" s="742"/>
      <c r="O176" s="8"/>
    </row>
    <row r="177" spans="2:20" ht="25" customHeight="1">
      <c r="B177" s="134" t="s">
        <v>484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941" t="str">
        <f>PAAS_man.mariadb_EUR</f>
        <v>Requests for quotation</v>
      </c>
      <c r="M177" s="664"/>
      <c r="N177" s="742"/>
      <c r="O177" s="8"/>
    </row>
    <row r="178" spans="2:20" ht="25" customHeight="1">
      <c r="B178" s="137" t="s">
        <v>442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942" t="str">
        <f>PAAS_man.redis_EUR</f>
        <v>Requests for quotation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958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943"/>
      <c r="L181" s="742"/>
      <c r="M181" s="664"/>
      <c r="N181" s="675"/>
      <c r="O181" s="675"/>
    </row>
    <row r="182" spans="2:20" s="4" customFormat="1" ht="25" customHeight="1">
      <c r="B182" s="978" t="s">
        <v>541</v>
      </c>
      <c r="C182" s="978"/>
      <c r="D182" s="978"/>
      <c r="E182" s="978"/>
      <c r="F182" s="978"/>
      <c r="G182" s="978"/>
      <c r="H182" s="780"/>
      <c r="J182" s="674"/>
      <c r="K182" s="925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925"/>
      <c r="M183" s="664"/>
    </row>
    <row r="184" spans="2:20" s="4" customFormat="1" ht="25" customHeight="1">
      <c r="B184" s="978"/>
      <c r="C184" s="978"/>
      <c r="D184" s="978"/>
      <c r="E184" s="978"/>
      <c r="F184" s="978"/>
      <c r="G184" s="978"/>
      <c r="H184" s="780"/>
      <c r="J184" s="674"/>
      <c r="K184" s="925"/>
      <c r="M184" s="664"/>
    </row>
    <row r="185" spans="2:20" s="4" customFormat="1" ht="25" customHeight="1">
      <c r="B185" s="979" t="s">
        <v>542</v>
      </c>
      <c r="C185" s="979"/>
      <c r="D185" s="979"/>
      <c r="E185" s="979"/>
      <c r="F185" s="979"/>
      <c r="H185" s="780"/>
      <c r="J185" s="674"/>
      <c r="K185" s="925"/>
      <c r="M185" s="664"/>
    </row>
    <row r="186" spans="2:20" s="4" customFormat="1" ht="25" customHeight="1">
      <c r="B186" s="980" t="s">
        <v>543</v>
      </c>
      <c r="C186" s="980"/>
      <c r="D186" s="980"/>
      <c r="E186" s="980"/>
      <c r="F186" s="980"/>
      <c r="G186" s="677"/>
      <c r="H186" s="678"/>
      <c r="I186" s="677"/>
      <c r="J186" s="679"/>
      <c r="K186" s="926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926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960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544</v>
      </c>
      <c r="M189" s="664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535</v>
      </c>
      <c r="J190" s="23"/>
      <c r="K190" s="940" t="s">
        <v>14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485</v>
      </c>
      <c r="C191" s="129"/>
      <c r="D191" s="30" t="s">
        <v>545</v>
      </c>
      <c r="E191" s="40"/>
      <c r="F191" s="30"/>
      <c r="G191" s="40"/>
      <c r="H191" s="40"/>
      <c r="I191" s="775" t="s">
        <v>560</v>
      </c>
      <c r="J191" s="775"/>
      <c r="K191" s="941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486</v>
      </c>
      <c r="C192" s="130"/>
      <c r="D192" s="38" t="s">
        <v>156</v>
      </c>
      <c r="E192" s="31"/>
      <c r="F192" s="771"/>
      <c r="G192" s="779"/>
      <c r="H192" s="779"/>
      <c r="I192" s="773" t="s">
        <v>157</v>
      </c>
      <c r="J192" s="773"/>
      <c r="K192" s="942" t="s">
        <v>546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487</v>
      </c>
      <c r="C193" s="129"/>
      <c r="D193" s="30" t="s">
        <v>160</v>
      </c>
      <c r="E193" s="129"/>
      <c r="F193" s="129"/>
      <c r="G193" s="129"/>
      <c r="H193" s="40"/>
      <c r="I193" s="770" t="s">
        <v>161</v>
      </c>
      <c r="J193" s="770"/>
      <c r="K193" s="941" t="s">
        <v>547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958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942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548</v>
      </c>
      <c r="C196" s="878"/>
      <c r="D196" s="878"/>
      <c r="F196" s="878"/>
      <c r="G196" s="878"/>
      <c r="H196" s="878"/>
      <c r="I196" s="879"/>
      <c r="J196" s="879"/>
      <c r="K196" s="961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549</v>
      </c>
      <c r="M197" s="664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535</v>
      </c>
      <c r="J198" s="23"/>
      <c r="K198" s="940" t="s">
        <v>14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488</v>
      </c>
      <c r="C199" s="129"/>
      <c r="D199" s="30" t="s">
        <v>166</v>
      </c>
      <c r="E199" s="40"/>
      <c r="F199" s="30"/>
      <c r="G199" s="40"/>
      <c r="H199" s="40"/>
      <c r="I199" s="770" t="s">
        <v>161</v>
      </c>
      <c r="J199" s="770"/>
      <c r="K199" s="941">
        <f>PS_consult.jun_EUR</f>
        <v>100.303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489</v>
      </c>
      <c r="C200" s="130"/>
      <c r="D200" s="38" t="s">
        <v>168</v>
      </c>
      <c r="E200" s="31"/>
      <c r="F200" s="771"/>
      <c r="G200" s="779"/>
      <c r="H200" s="779"/>
      <c r="I200" s="773" t="s">
        <v>161</v>
      </c>
      <c r="J200" s="773"/>
      <c r="K200" s="942">
        <f>PS_consult.sen_EUR</f>
        <v>122.28599999999999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490</v>
      </c>
      <c r="C201" s="129"/>
      <c r="D201" s="30" t="s">
        <v>170</v>
      </c>
      <c r="E201" s="40"/>
      <c r="F201" s="30"/>
      <c r="G201" s="40"/>
      <c r="H201" s="40"/>
      <c r="I201" s="770" t="s">
        <v>161</v>
      </c>
      <c r="J201" s="770"/>
      <c r="K201" s="941">
        <f>PS_cloudarch.jun_EUR</f>
        <v>113.65299999999999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491</v>
      </c>
      <c r="C202" s="130"/>
      <c r="D202" s="38" t="s">
        <v>172</v>
      </c>
      <c r="E202" s="38"/>
      <c r="F202" s="38"/>
      <c r="G202" s="779"/>
      <c r="H202" s="779"/>
      <c r="I202" s="773" t="s">
        <v>161</v>
      </c>
      <c r="J202" s="773"/>
      <c r="K202" s="942">
        <f>PS_cloudarch.sen_EUR</f>
        <v>122.28599999999999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492</v>
      </c>
      <c r="C203" s="129"/>
      <c r="D203" s="30" t="s">
        <v>174</v>
      </c>
      <c r="E203" s="40"/>
      <c r="F203" s="30"/>
      <c r="G203" s="40"/>
      <c r="H203" s="40"/>
      <c r="I203" s="770" t="s">
        <v>161</v>
      </c>
      <c r="J203" s="770"/>
      <c r="K203" s="941">
        <f>PS_pm.jun_EUR</f>
        <v>101.371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493</v>
      </c>
      <c r="C204" s="130"/>
      <c r="D204" s="38" t="s">
        <v>176</v>
      </c>
      <c r="E204" s="31"/>
      <c r="F204" s="771"/>
      <c r="G204" s="779"/>
      <c r="H204" s="779"/>
      <c r="I204" s="773" t="s">
        <v>161</v>
      </c>
      <c r="J204" s="773"/>
      <c r="K204" s="942">
        <f>PS_pm.sen_EUR</f>
        <v>122.28599999999999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958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942"/>
      <c r="M206" s="664"/>
      <c r="N206" s="742"/>
      <c r="O206" s="8"/>
    </row>
    <row r="207" spans="2:18" ht="25" customHeight="1">
      <c r="B207" s="649" t="s">
        <v>550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551</v>
      </c>
      <c r="M208" s="664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535</v>
      </c>
      <c r="J209" s="23"/>
      <c r="K209" s="940" t="s">
        <v>179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632</v>
      </c>
      <c r="C210" s="129"/>
      <c r="D210" s="30" t="s">
        <v>182</v>
      </c>
      <c r="E210" s="40"/>
      <c r="F210" s="30"/>
      <c r="G210" s="40" t="s">
        <v>181</v>
      </c>
      <c r="H210" s="770"/>
      <c r="I210" s="905" t="s">
        <v>183</v>
      </c>
      <c r="J210" s="770"/>
      <c r="K210" s="941" t="s">
        <v>547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633</v>
      </c>
      <c r="C211" s="130"/>
      <c r="D211" s="38" t="s">
        <v>552</v>
      </c>
      <c r="E211" s="31"/>
      <c r="F211" s="771"/>
      <c r="G211" s="779" t="s">
        <v>181</v>
      </c>
      <c r="H211" s="773"/>
      <c r="I211" s="906" t="s">
        <v>183</v>
      </c>
      <c r="J211" s="773"/>
      <c r="K211" s="942" t="s">
        <v>547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634</v>
      </c>
      <c r="C212" s="129"/>
      <c r="D212" s="30" t="s">
        <v>553</v>
      </c>
      <c r="E212" s="40"/>
      <c r="F212" s="30"/>
      <c r="G212" s="40" t="s">
        <v>187</v>
      </c>
      <c r="H212" s="770"/>
      <c r="I212" s="905" t="s">
        <v>183</v>
      </c>
      <c r="J212" s="770"/>
      <c r="K212" s="941" t="s">
        <v>547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635</v>
      </c>
      <c r="C213" s="130"/>
      <c r="D213" s="38" t="s">
        <v>554</v>
      </c>
      <c r="E213" s="31"/>
      <c r="F213" s="771"/>
      <c r="G213" s="779" t="s">
        <v>187</v>
      </c>
      <c r="H213" s="773"/>
      <c r="I213" s="906" t="s">
        <v>183</v>
      </c>
      <c r="J213" s="773"/>
      <c r="K213" s="942" t="s">
        <v>547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958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944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962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3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3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963"/>
      <c r="L219" s="3"/>
      <c r="M219" s="664"/>
    </row>
    <row r="220" spans="1:18" s="4" customFormat="1" ht="25" customHeight="1">
      <c r="A220" s="3"/>
      <c r="B220" s="976" t="s">
        <v>191</v>
      </c>
      <c r="C220" s="976"/>
      <c r="D220" s="976"/>
      <c r="E220" s="976"/>
      <c r="F220" s="976"/>
      <c r="G220" s="976"/>
      <c r="H220" s="666"/>
      <c r="I220" s="793"/>
      <c r="J220" s="3"/>
      <c r="K220" s="923"/>
      <c r="L220" s="3"/>
      <c r="M220" s="664"/>
    </row>
    <row r="221" spans="1:18" s="4" customFormat="1" ht="25" customHeight="1">
      <c r="A221" s="3"/>
      <c r="B221" s="976"/>
      <c r="C221" s="976"/>
      <c r="D221" s="976"/>
      <c r="E221" s="976"/>
      <c r="F221" s="976"/>
      <c r="G221" s="976"/>
      <c r="H221" s="666"/>
      <c r="I221" s="793"/>
      <c r="J221" s="3"/>
      <c r="K221" s="923"/>
      <c r="L221" s="3"/>
      <c r="M221" s="664"/>
    </row>
    <row r="222" spans="1:18" s="4" customFormat="1" ht="25" customHeight="1">
      <c r="A222" s="3"/>
      <c r="B222" s="976"/>
      <c r="C222" s="976"/>
      <c r="D222" s="976"/>
      <c r="E222" s="976"/>
      <c r="F222" s="976"/>
      <c r="G222" s="976"/>
      <c r="H222" s="666"/>
      <c r="I222" s="793"/>
      <c r="J222" s="3"/>
      <c r="K222" s="923"/>
      <c r="L222" s="3"/>
      <c r="M222" s="664"/>
    </row>
    <row r="223" spans="1:18" s="4" customFormat="1" ht="25" customHeight="1">
      <c r="A223" s="3"/>
      <c r="B223" s="977" t="s">
        <v>543</v>
      </c>
      <c r="C223" s="977"/>
      <c r="D223" s="977"/>
      <c r="E223" s="977"/>
      <c r="F223" s="977"/>
      <c r="G223" s="3"/>
      <c r="H223" s="666"/>
      <c r="I223" s="793"/>
      <c r="J223" s="3"/>
      <c r="K223" s="923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923"/>
      <c r="L224" s="794"/>
      <c r="M224" s="664"/>
    </row>
    <row r="225" spans="1:20" s="4" customFormat="1" ht="25" customHeight="1">
      <c r="A225" s="3"/>
      <c r="B225" s="422" t="s">
        <v>556</v>
      </c>
      <c r="C225" s="62"/>
      <c r="D225" s="62"/>
      <c r="E225" s="62"/>
      <c r="F225" s="62"/>
      <c r="G225" s="3"/>
      <c r="H225" s="666"/>
      <c r="I225" s="793"/>
      <c r="J225" s="3"/>
      <c r="K225" s="923"/>
      <c r="L225" s="794"/>
      <c r="M225" s="664"/>
    </row>
    <row r="226" spans="1:20" s="4" customFormat="1" ht="25" customHeight="1">
      <c r="A226" s="3"/>
      <c r="B226" s="418" t="s">
        <v>557</v>
      </c>
      <c r="C226" s="62"/>
      <c r="D226" s="62"/>
      <c r="E226" s="62"/>
      <c r="F226" s="62"/>
      <c r="G226" s="3"/>
      <c r="H226" s="666"/>
      <c r="I226" s="3"/>
      <c r="J226" s="667"/>
      <c r="K226" s="923"/>
      <c r="L226" s="794"/>
      <c r="M226" s="664"/>
    </row>
    <row r="227" spans="1:20" s="4" customFormat="1" ht="25" customHeight="1">
      <c r="A227" s="3"/>
      <c r="B227" s="913" t="s">
        <v>627</v>
      </c>
      <c r="C227" s="67"/>
      <c r="D227" s="67"/>
      <c r="E227" s="67"/>
      <c r="F227" s="67"/>
      <c r="G227" s="794"/>
      <c r="H227" s="795"/>
      <c r="I227" s="794"/>
      <c r="J227" s="796"/>
      <c r="K227" s="964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964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558</v>
      </c>
      <c r="C229" s="56"/>
      <c r="D229" s="57"/>
      <c r="E229" s="56"/>
      <c r="F229" s="659"/>
      <c r="G229" s="659"/>
      <c r="H229" s="659"/>
      <c r="I229" s="56"/>
      <c r="J229" s="659" t="s">
        <v>555</v>
      </c>
      <c r="K229" s="965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970">
        <f>K65+K74+K56+K39+K83</f>
        <v>0</v>
      </c>
      <c r="K230" s="941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K95&amp;" TB - S3"&amp;"     /     "&amp;K94&amp;" TB - Archive"</f>
        <v>0 TB - S3     /     0 TB - Archive</v>
      </c>
      <c r="D231" s="658"/>
      <c r="E231" s="658"/>
      <c r="F231" s="802"/>
      <c r="G231" s="803"/>
      <c r="H231" s="803"/>
      <c r="I231" s="804"/>
      <c r="J231" s="971">
        <f>K96</f>
        <v>0</v>
      </c>
      <c r="K231" s="941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971">
        <f>K120</f>
        <v>0</v>
      </c>
      <c r="K232" s="941"/>
      <c r="L232" s="2"/>
      <c r="M232" s="664"/>
      <c r="N232" s="28"/>
    </row>
    <row r="233" spans="1:20" s="808" customFormat="1" ht="25" customHeight="1">
      <c r="A233" s="806"/>
      <c r="B233" s="917" t="s">
        <v>30</v>
      </c>
      <c r="C233" s="907"/>
      <c r="D233" s="907"/>
      <c r="E233" s="907"/>
      <c r="F233" s="907"/>
      <c r="G233" s="907"/>
      <c r="H233" s="907"/>
      <c r="I233" s="907"/>
      <c r="J233" s="972">
        <f>SUM(J230:J232)</f>
        <v>0</v>
      </c>
      <c r="K233" s="966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967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941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946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968"/>
    </row>
    <row r="238" spans="1:20" s="112" customFormat="1" ht="25" customHeight="1">
      <c r="B238" s="914" t="s">
        <v>523</v>
      </c>
      <c r="C238" s="108"/>
      <c r="D238" s="108"/>
      <c r="E238" s="108"/>
      <c r="F238" s="820"/>
      <c r="G238" s="821"/>
      <c r="H238" s="822"/>
      <c r="I238" s="822"/>
      <c r="J238" s="822"/>
      <c r="K238" s="969"/>
      <c r="L238" s="819"/>
      <c r="M238" s="819"/>
      <c r="N238" s="819"/>
    </row>
    <row r="239" spans="1:20" s="112" customFormat="1" ht="25" customHeight="1">
      <c r="B239" s="914" t="s">
        <v>524</v>
      </c>
      <c r="C239" s="108"/>
      <c r="D239" s="108"/>
      <c r="E239" s="108"/>
      <c r="F239" s="820"/>
      <c r="G239" s="821"/>
      <c r="H239" s="822"/>
      <c r="I239" s="822"/>
      <c r="J239" s="822"/>
      <c r="K239" s="969"/>
      <c r="L239" s="819"/>
      <c r="M239" s="819"/>
      <c r="N239" s="819"/>
    </row>
    <row r="240" spans="1:20" s="112" customFormat="1" ht="25" customHeight="1">
      <c r="B240" s="915" t="s">
        <v>525</v>
      </c>
      <c r="C240" s="108"/>
      <c r="D240" s="108"/>
      <c r="E240" s="108"/>
      <c r="F240" s="820"/>
      <c r="G240" s="821"/>
      <c r="H240" s="822"/>
      <c r="I240" s="822"/>
      <c r="J240" s="822"/>
      <c r="K240" s="969"/>
      <c r="L240" s="819"/>
      <c r="M240" s="819"/>
      <c r="N240" s="819"/>
    </row>
    <row r="241" spans="1:23" s="112" customFormat="1" ht="25" customHeight="1">
      <c r="B241" s="914" t="s">
        <v>526</v>
      </c>
      <c r="C241" s="108"/>
      <c r="D241" s="108"/>
      <c r="E241" s="108"/>
      <c r="F241" s="820"/>
      <c r="G241" s="821"/>
      <c r="H241" s="822"/>
      <c r="I241" s="822"/>
      <c r="J241" s="822"/>
      <c r="K241" s="969"/>
      <c r="L241" s="819"/>
      <c r="M241" s="819"/>
      <c r="N241" s="819"/>
    </row>
    <row r="242" spans="1:23" s="112" customFormat="1" ht="25" customHeight="1">
      <c r="B242" s="916" t="s">
        <v>621</v>
      </c>
      <c r="C242" s="108"/>
      <c r="D242" s="108"/>
      <c r="E242" s="108"/>
      <c r="F242" s="820"/>
      <c r="G242" s="821"/>
      <c r="H242" s="822"/>
      <c r="I242" s="822"/>
      <c r="J242" s="822"/>
      <c r="K242" s="969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9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9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9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969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969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9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9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9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9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9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9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9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9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9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9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9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9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9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9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9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9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9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9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969"/>
      <c r="L266" s="819"/>
      <c r="M266" s="819"/>
      <c r="N266" s="819"/>
    </row>
    <row r="267" spans="2:14" s="112" customFormat="1" ht="25" customHeight="1">
      <c r="B267" s="646"/>
      <c r="K267" s="969"/>
      <c r="M267" s="824"/>
    </row>
    <row r="268" spans="2:14" s="112" customFormat="1" ht="25" customHeight="1">
      <c r="B268" s="646"/>
      <c r="K268" s="969"/>
      <c r="M268" s="824"/>
    </row>
    <row r="269" spans="2:14" s="112" customFormat="1" ht="25" customHeight="1">
      <c r="B269" s="646"/>
      <c r="K269" s="969"/>
      <c r="M269" s="824"/>
    </row>
    <row r="270" spans="2:14" s="112" customFormat="1" ht="25" customHeight="1">
      <c r="B270" s="646"/>
      <c r="K270" s="969"/>
      <c r="M270" s="824"/>
    </row>
    <row r="271" spans="2:14" s="112" customFormat="1" ht="25" customHeight="1">
      <c r="B271" s="646"/>
      <c r="K271" s="969"/>
      <c r="M271" s="824"/>
    </row>
    <row r="272" spans="2:14" s="112" customFormat="1" ht="25" customHeight="1">
      <c r="B272" s="646"/>
      <c r="K272" s="969"/>
      <c r="M272" s="824"/>
    </row>
    <row r="273" spans="2:13" s="112" customFormat="1" ht="25" customHeight="1">
      <c r="B273" s="646"/>
      <c r="K273" s="969"/>
      <c r="M273" s="824"/>
    </row>
    <row r="274" spans="2:13" s="112" customFormat="1" ht="25" customHeight="1">
      <c r="B274" s="646"/>
      <c r="K274" s="969"/>
      <c r="M274" s="824"/>
    </row>
    <row r="275" spans="2:13" s="112" customFormat="1" ht="25" customHeight="1">
      <c r="B275" s="646"/>
      <c r="K275" s="969"/>
      <c r="M275" s="824"/>
    </row>
    <row r="276" spans="2:13" s="112" customFormat="1" ht="25" customHeight="1">
      <c r="B276" s="646"/>
      <c r="K276" s="969"/>
      <c r="M276" s="824"/>
    </row>
    <row r="277" spans="2:13" s="112" customFormat="1" ht="25" customHeight="1">
      <c r="B277" s="646"/>
      <c r="K277" s="969"/>
      <c r="M277" s="824"/>
    </row>
    <row r="278" spans="2:13" s="112" customFormat="1" ht="25" customHeight="1">
      <c r="B278" s="646"/>
      <c r="K278" s="969"/>
      <c r="M278" s="824"/>
    </row>
    <row r="279" spans="2:13" s="112" customFormat="1" ht="25" customHeight="1">
      <c r="B279" s="646"/>
      <c r="K279" s="969"/>
      <c r="M279" s="824"/>
    </row>
    <row r="280" spans="2:13" s="112" customFormat="1" ht="25" customHeight="1">
      <c r="B280" s="646"/>
      <c r="K280" s="969"/>
      <c r="M280" s="824"/>
    </row>
    <row r="281" spans="2:13" s="112" customFormat="1" ht="25" customHeight="1">
      <c r="B281" s="646"/>
      <c r="K281" s="969"/>
      <c r="M281" s="824"/>
    </row>
    <row r="282" spans="2:13" s="112" customFormat="1" ht="25" customHeight="1">
      <c r="B282" s="646"/>
      <c r="K282" s="969"/>
      <c r="M282" s="824"/>
    </row>
    <row r="283" spans="2:13" s="112" customFormat="1" ht="25" customHeight="1">
      <c r="B283" s="646"/>
      <c r="K283" s="969"/>
      <c r="M283" s="824"/>
    </row>
    <row r="284" spans="2:13" s="112" customFormat="1" ht="25" customHeight="1">
      <c r="B284" s="646"/>
      <c r="K284" s="969"/>
      <c r="M284" s="824"/>
    </row>
    <row r="285" spans="2:13" s="112" customFormat="1" ht="25" customHeight="1">
      <c r="B285" s="646"/>
      <c r="K285" s="969"/>
      <c r="M285" s="824"/>
    </row>
    <row r="286" spans="2:13" s="112" customFormat="1" ht="25" customHeight="1">
      <c r="B286" s="646"/>
      <c r="K286" s="969"/>
      <c r="M286" s="824"/>
    </row>
    <row r="287" spans="2:13" s="112" customFormat="1" ht="25" customHeight="1">
      <c r="B287" s="646"/>
      <c r="K287" s="969"/>
      <c r="M287" s="824"/>
    </row>
    <row r="288" spans="2:13" s="112" customFormat="1" ht="25" customHeight="1">
      <c r="B288" s="646"/>
      <c r="K288" s="969"/>
      <c r="M288" s="824"/>
    </row>
    <row r="289" spans="2:13" s="112" customFormat="1" ht="25" customHeight="1">
      <c r="B289" s="646"/>
      <c r="K289" s="969"/>
      <c r="M289" s="824"/>
    </row>
    <row r="290" spans="2:13" s="112" customFormat="1" ht="25" customHeight="1">
      <c r="B290" s="646"/>
      <c r="K290" s="969"/>
      <c r="M290" s="824"/>
    </row>
    <row r="291" spans="2:13" s="112" customFormat="1" ht="25" customHeight="1">
      <c r="B291" s="646"/>
      <c r="K291" s="969"/>
      <c r="M291" s="824"/>
    </row>
    <row r="292" spans="2:13" s="112" customFormat="1" ht="25" customHeight="1">
      <c r="B292" s="646"/>
      <c r="K292" s="969"/>
      <c r="M292" s="824"/>
    </row>
    <row r="293" spans="2:13" s="112" customFormat="1" ht="25" customHeight="1">
      <c r="B293" s="646"/>
      <c r="K293" s="969"/>
      <c r="M293" s="824"/>
    </row>
    <row r="294" spans="2:13" s="112" customFormat="1" ht="25" customHeight="1">
      <c r="B294" s="646"/>
      <c r="K294" s="969"/>
      <c r="M294" s="824"/>
    </row>
    <row r="295" spans="2:13" s="112" customFormat="1" ht="25" customHeight="1">
      <c r="B295" s="646"/>
      <c r="K295" s="969"/>
      <c r="M295" s="824"/>
    </row>
    <row r="296" spans="2:13" s="112" customFormat="1" ht="25" customHeight="1">
      <c r="B296" s="646"/>
      <c r="K296" s="969"/>
      <c r="M296" s="824"/>
    </row>
    <row r="297" spans="2:13" s="112" customFormat="1" ht="25" customHeight="1">
      <c r="B297" s="646"/>
      <c r="K297" s="969"/>
      <c r="M297" s="824"/>
    </row>
    <row r="298" spans="2:13" s="112" customFormat="1" ht="25" customHeight="1">
      <c r="B298" s="646"/>
      <c r="K298" s="969"/>
      <c r="M298" s="824"/>
    </row>
    <row r="299" spans="2:13" s="112" customFormat="1" ht="25" customHeight="1">
      <c r="B299" s="646"/>
      <c r="K299" s="969"/>
      <c r="M299" s="824"/>
    </row>
    <row r="300" spans="2:13" s="112" customFormat="1" ht="25" customHeight="1">
      <c r="B300" s="646"/>
      <c r="K300" s="969"/>
      <c r="M300" s="824"/>
    </row>
    <row r="301" spans="2:13" s="112" customFormat="1" ht="25" customHeight="1">
      <c r="B301" s="646"/>
      <c r="K301" s="969"/>
      <c r="M301" s="824"/>
    </row>
    <row r="302" spans="2:13" s="112" customFormat="1" ht="25" customHeight="1">
      <c r="B302" s="646"/>
      <c r="K302" s="969"/>
      <c r="M302" s="824"/>
    </row>
    <row r="303" spans="2:13" s="112" customFormat="1" ht="25" customHeight="1">
      <c r="B303" s="646"/>
      <c r="K303" s="969"/>
      <c r="M303" s="824"/>
    </row>
    <row r="304" spans="2:13" s="112" customFormat="1" ht="25" customHeight="1">
      <c r="B304" s="646"/>
      <c r="K304" s="969"/>
      <c r="M304" s="824"/>
    </row>
    <row r="305" spans="2:13" s="112" customFormat="1" ht="25" customHeight="1">
      <c r="B305" s="646"/>
      <c r="K305" s="969"/>
      <c r="M305" s="824"/>
    </row>
    <row r="306" spans="2:13" s="112" customFormat="1" ht="25" customHeight="1">
      <c r="B306" s="646"/>
      <c r="K306" s="969"/>
      <c r="M306" s="824"/>
    </row>
    <row r="307" spans="2:13" s="112" customFormat="1" ht="25" customHeight="1">
      <c r="B307" s="646"/>
      <c r="K307" s="969"/>
      <c r="M307" s="824"/>
    </row>
    <row r="308" spans="2:13" s="112" customFormat="1" ht="25" customHeight="1">
      <c r="B308" s="646"/>
      <c r="K308" s="969"/>
      <c r="M308" s="824"/>
    </row>
    <row r="309" spans="2:13" s="112" customFormat="1" ht="25" customHeight="1">
      <c r="B309" s="646"/>
      <c r="K309" s="969"/>
      <c r="M309" s="824"/>
    </row>
    <row r="310" spans="2:13" s="112" customFormat="1" ht="25" customHeight="1">
      <c r="B310" s="646"/>
      <c r="K310" s="969"/>
      <c r="M310" s="824"/>
    </row>
    <row r="311" spans="2:13" s="112" customFormat="1" ht="25" customHeight="1">
      <c r="B311" s="646"/>
      <c r="K311" s="969"/>
      <c r="M311" s="824"/>
    </row>
    <row r="312" spans="2:13" s="112" customFormat="1" ht="25" customHeight="1">
      <c r="B312" s="646"/>
      <c r="K312" s="969"/>
      <c r="M312" s="824"/>
    </row>
    <row r="313" spans="2:13" s="112" customFormat="1" ht="25" customHeight="1">
      <c r="B313" s="646"/>
      <c r="K313" s="969"/>
      <c r="M313" s="824"/>
    </row>
    <row r="314" spans="2:13" s="112" customFormat="1" ht="25" customHeight="1">
      <c r="B314" s="646"/>
      <c r="K314" s="969"/>
      <c r="M314" s="824"/>
    </row>
    <row r="315" spans="2:13" s="112" customFormat="1" ht="25" customHeight="1">
      <c r="B315" s="646"/>
      <c r="K315" s="969"/>
      <c r="M315" s="824"/>
    </row>
    <row r="316" spans="2:13" s="112" customFormat="1" ht="25" customHeight="1">
      <c r="B316" s="646"/>
      <c r="K316" s="969"/>
      <c r="M316" s="824"/>
    </row>
    <row r="317" spans="2:13" s="112" customFormat="1" ht="25" customHeight="1">
      <c r="B317" s="646"/>
      <c r="K317" s="969"/>
      <c r="M317" s="824"/>
    </row>
    <row r="329" spans="2:4" ht="25" customHeight="1">
      <c r="B329" s="647"/>
      <c r="C329" s="38"/>
      <c r="D329" s="96"/>
    </row>
  </sheetData>
  <sheetProtection algorithmName="SHA-512" hashValue="n+PkxGBzxW9YYjYsOeYH7Qg7te9vW4nYHcp9VkoSjy1Yf5EVTDRnlXmwR+m6njfMAaVioc2zPkkRB4KQsjjzfA==" saltValue="5lQEYddiT4cySmfV2aZp3g==" spinCount="100000" sheet="1" selectLockedCells="1"/>
  <mergeCells count="40">
    <mergeCell ref="D101:E101"/>
    <mergeCell ref="F101:G101"/>
    <mergeCell ref="H101:I101"/>
    <mergeCell ref="B4:C4"/>
    <mergeCell ref="B15:G17"/>
    <mergeCell ref="B59:E59"/>
    <mergeCell ref="B69:E69"/>
    <mergeCell ref="B86:G88"/>
    <mergeCell ref="D99:E99"/>
    <mergeCell ref="F99:G99"/>
    <mergeCell ref="H99:I99"/>
    <mergeCell ref="B24:F24"/>
    <mergeCell ref="B44:F44"/>
    <mergeCell ref="D102:E102"/>
    <mergeCell ref="F102:G102"/>
    <mergeCell ref="H102:I102"/>
    <mergeCell ref="D103:E103"/>
    <mergeCell ref="F103:G103"/>
    <mergeCell ref="H103:I103"/>
    <mergeCell ref="C132:D132"/>
    <mergeCell ref="E132:F132"/>
    <mergeCell ref="D104:E104"/>
    <mergeCell ref="F104:G104"/>
    <mergeCell ref="H104:I104"/>
    <mergeCell ref="D105:E105"/>
    <mergeCell ref="F105:G105"/>
    <mergeCell ref="H105:I105"/>
    <mergeCell ref="B109:G111"/>
    <mergeCell ref="B124:G126"/>
    <mergeCell ref="C131:D131"/>
    <mergeCell ref="E131:F131"/>
    <mergeCell ref="G131:H131"/>
    <mergeCell ref="B185:F185"/>
    <mergeCell ref="B186:F186"/>
    <mergeCell ref="B220:G222"/>
    <mergeCell ref="B223:F223"/>
    <mergeCell ref="C133:D133"/>
    <mergeCell ref="E133:F133"/>
    <mergeCell ref="B138:G140"/>
    <mergeCell ref="B182:G184"/>
  </mergeCells>
  <phoneticPr fontId="2" type="noConversion"/>
  <conditionalFormatting sqref="I26:I38 I46:I55 I61:I64 I71:I73 I80:I82 I94:I95 I117:I119 J118:J119 K26:K38 K46:K55 K61:K64 K71:K73 K80:K82 K94:K95 K117:K119">
    <cfRule type="cellIs" dxfId="57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9" location="'SEK - Safesprings tjänster 2022'!I83" display="Central blocklagring kan köpas till insatserna. Se &quot;Central blocklagring&quot; i prislistan." xr:uid="{94663253-D790-624E-980C-3D8271E9FE28}"/>
    <hyperlink ref="B59:E59" location="'SEK - Safesprings tjänster 2022'!I81" display="Central blocklagring kan köpas till insatserna. Se &quot;Central blocklagring&quot; i prislistan." xr:uid="{558CA654-9343-844E-B1F2-9024192B08DF}"/>
    <hyperlink ref="B69" location="'SEK - Safesprings tjänster 2022'!I83" display="Central blocklagring kan köpas till insatserna. Se &quot;Central blocklagring&quot; i prislistan." xr:uid="{4D66963B-4C3B-2747-A3A7-EC7E42F42755}"/>
    <hyperlink ref="B69:E69" location="'SEK - Safesprings tjänster 2022'!I81" display="Central blocklagring kan köpas till insatserna. Se &quot;Central blocklagring&quot; i prislistan." xr:uid="{2694137C-A7AC-1A4F-BF8F-65A56639E707}"/>
    <hyperlink ref="B44" location="'SEK - Safesprings tjänster 2022'!I83" display="Central blocklagring kan köpas till insatserna. Se &quot;Central blocklagring&quot; i prislistan." xr:uid="{6B3EB40B-7D23-914E-B01A-A235AF4CC2B2}"/>
    <hyperlink ref="B44:E44" location="'EUR - Safespring services 2022'!I81" display="Central block storage can be purchased for the instances. See &quot;Central block storage&quot; in the price list." xr:uid="{6B3B8FA4-C88A-5F4D-9A6B-3EA6FAAC3555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3" max="11" man="1"/>
    <brk id="236" max="11" man="1"/>
    <brk id="256" max="13" man="1"/>
    <brk id="278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51"/>
      <c r="C4" s="1051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430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53" t="str">
        <f>"1 SEK = "&amp;EUR&amp;" EUR"</f>
        <v>1 SEK = 0,089 EUR</v>
      </c>
      <c r="E11" s="1053"/>
      <c r="F11" s="1053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43" t="s">
        <v>4</v>
      </c>
      <c r="C15" s="1043"/>
      <c r="D15" s="1043"/>
      <c r="E15" s="1043"/>
      <c r="F15" s="1043"/>
      <c r="G15" s="1043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43"/>
      <c r="C16" s="1043"/>
      <c r="D16" s="1043"/>
      <c r="E16" s="1043"/>
      <c r="F16" s="1043"/>
      <c r="G16" s="1043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43"/>
      <c r="C17" s="1043"/>
      <c r="D17" s="1043"/>
      <c r="E17" s="1043"/>
      <c r="F17" s="1043"/>
      <c r="G17" s="1043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50" t="s">
        <v>6</v>
      </c>
      <c r="C19" s="1050"/>
      <c r="D19" s="1050"/>
      <c r="E19" s="1050"/>
      <c r="F19" s="1050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398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411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389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390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411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52" t="s">
        <v>65</v>
      </c>
      <c r="G88" s="1052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26">
        <f>VOLUME_large_EUR</f>
        <v>0.10679999999999999</v>
      </c>
      <c r="G89" s="1026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48">
        <f>VOLUME_fast_EUR</f>
        <v>0.32040000000000002</v>
      </c>
      <c r="G90" s="1048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43" t="s">
        <v>72</v>
      </c>
      <c r="C95" s="1043"/>
      <c r="D95" s="1043"/>
      <c r="E95" s="1043"/>
      <c r="F95" s="1043"/>
      <c r="G95" s="1043"/>
      <c r="H95" s="177"/>
      <c r="J95" s="178"/>
      <c r="K95" s="178"/>
      <c r="M95" s="565"/>
      <c r="O95" s="168"/>
    </row>
    <row r="96" spans="2:23" s="169" customFormat="1" ht="25" customHeight="1">
      <c r="B96" s="1043"/>
      <c r="C96" s="1043"/>
      <c r="D96" s="1043"/>
      <c r="E96" s="1043"/>
      <c r="F96" s="1043"/>
      <c r="G96" s="1043"/>
      <c r="H96" s="177"/>
      <c r="J96" s="178"/>
      <c r="K96" s="178"/>
      <c r="M96" s="565"/>
      <c r="O96" s="168"/>
    </row>
    <row r="97" spans="2:22" s="169" customFormat="1" ht="25" customHeight="1">
      <c r="B97" s="1043"/>
      <c r="C97" s="1043"/>
      <c r="D97" s="1043"/>
      <c r="E97" s="1043"/>
      <c r="F97" s="1043"/>
      <c r="G97" s="1043"/>
      <c r="H97" s="177"/>
      <c r="J97" s="178"/>
      <c r="K97" s="178"/>
      <c r="M97" s="565"/>
      <c r="O97" s="168"/>
    </row>
    <row r="98" spans="2:22" s="169" customFormat="1" ht="25" customHeight="1">
      <c r="B98" s="1049" t="s">
        <v>73</v>
      </c>
      <c r="C98" s="1049"/>
      <c r="D98" s="1049"/>
      <c r="E98" s="1049"/>
      <c r="F98" s="1049"/>
      <c r="H98" s="177"/>
      <c r="J98" s="178"/>
      <c r="K98" s="178"/>
      <c r="M98" s="565"/>
      <c r="N98" s="182"/>
      <c r="O98" s="187"/>
    </row>
    <row r="99" spans="2:22" s="291" customFormat="1" ht="25" customHeight="1">
      <c r="B99" s="1050" t="s">
        <v>74</v>
      </c>
      <c r="C99" s="1050"/>
      <c r="D99" s="1050"/>
      <c r="E99" s="1050"/>
      <c r="F99" s="1050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52" t="s">
        <v>76</v>
      </c>
      <c r="E102" s="1052"/>
      <c r="F102" s="1052"/>
      <c r="G102" s="1052"/>
      <c r="H102" s="266" t="s">
        <v>75</v>
      </c>
      <c r="I102" s="265"/>
      <c r="J102" s="1052"/>
      <c r="K102" s="1052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421</v>
      </c>
      <c r="D104" s="1046">
        <f>S3_storage.50_EUR</f>
        <v>31.15</v>
      </c>
      <c r="E104" s="1046"/>
      <c r="F104" s="1047"/>
      <c r="G104" s="1047"/>
      <c r="H104" s="1047"/>
      <c r="I104" s="1047"/>
      <c r="J104" s="1047"/>
      <c r="K104" s="1047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422</v>
      </c>
      <c r="D105" s="1055">
        <f>S3_storage.100_EUR</f>
        <v>24.029999999999998</v>
      </c>
      <c r="E105" s="1055"/>
      <c r="F105" s="1000"/>
      <c r="G105" s="1000"/>
      <c r="H105" s="1000"/>
      <c r="I105" s="1000"/>
      <c r="J105" s="1000"/>
      <c r="K105" s="1000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423</v>
      </c>
      <c r="D106" s="1056">
        <f>S3_storage.500_EUR</f>
        <v>17.8</v>
      </c>
      <c r="E106" s="1056"/>
      <c r="F106" s="1009"/>
      <c r="G106" s="1009"/>
      <c r="H106" s="1009"/>
      <c r="I106" s="1009"/>
      <c r="J106" s="1009"/>
      <c r="K106" s="1009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424</v>
      </c>
      <c r="D107" s="1055">
        <f>S3_storage.1000_EUR</f>
        <v>16.465</v>
      </c>
      <c r="E107" s="1055"/>
      <c r="F107" s="1000"/>
      <c r="G107" s="1000"/>
      <c r="H107" s="1000"/>
      <c r="I107" s="1000"/>
      <c r="J107" s="1000"/>
      <c r="K107" s="1000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425</v>
      </c>
      <c r="D108" s="1001" t="str">
        <f>S3_storage.quote_EUR</f>
        <v>Request a quote</v>
      </c>
      <c r="E108" s="1001"/>
      <c r="F108" s="1010"/>
      <c r="G108" s="1010"/>
      <c r="H108" s="1010"/>
      <c r="I108" s="1010"/>
      <c r="J108" s="1010"/>
      <c r="K108" s="1010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393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54" t="s">
        <v>76</v>
      </c>
      <c r="E111" s="1054"/>
      <c r="F111" s="1052"/>
      <c r="G111" s="1052"/>
      <c r="H111" s="266" t="s">
        <v>75</v>
      </c>
      <c r="I111" s="266"/>
      <c r="J111" s="1052"/>
      <c r="K111" s="1052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415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415</v>
      </c>
      <c r="C113" s="604" t="s">
        <v>421</v>
      </c>
      <c r="D113" s="1046">
        <f>S3_archive.50_EUR</f>
        <v>31.15</v>
      </c>
      <c r="E113" s="1046"/>
      <c r="F113" s="1047"/>
      <c r="G113" s="1047"/>
      <c r="H113" s="1047"/>
      <c r="I113" s="1047"/>
      <c r="J113" s="1047"/>
      <c r="K113" s="1047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415</v>
      </c>
      <c r="C114" s="616" t="s">
        <v>422</v>
      </c>
      <c r="D114" s="1055">
        <f>S3_archive.100_EUR</f>
        <v>24.029999999999998</v>
      </c>
      <c r="E114" s="1055"/>
      <c r="F114" s="1000"/>
      <c r="G114" s="1000"/>
      <c r="H114" s="1000"/>
      <c r="I114" s="1000"/>
      <c r="J114" s="1000"/>
      <c r="K114" s="1000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415</v>
      </c>
      <c r="C115" s="604" t="s">
        <v>423</v>
      </c>
      <c r="D115" s="1056">
        <f>S3_archive.500_EUR</f>
        <v>17.8</v>
      </c>
      <c r="E115" s="1056"/>
      <c r="F115" s="1009"/>
      <c r="G115" s="1009"/>
      <c r="H115" s="1009"/>
      <c r="I115" s="1009"/>
      <c r="J115" s="1009"/>
      <c r="K115" s="1009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415</v>
      </c>
      <c r="C116" s="616" t="s">
        <v>424</v>
      </c>
      <c r="D116" s="1055">
        <f>S3_archive.1000_EUR</f>
        <v>16.465</v>
      </c>
      <c r="E116" s="1055"/>
      <c r="F116" s="1000"/>
      <c r="G116" s="1000"/>
      <c r="H116" s="1000"/>
      <c r="I116" s="1000"/>
      <c r="J116" s="1000"/>
      <c r="K116" s="1000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415</v>
      </c>
      <c r="C117" s="608" t="s">
        <v>425</v>
      </c>
      <c r="D117" s="1001" t="str">
        <f>S3_archive.quote_EUR</f>
        <v>Request a quote</v>
      </c>
      <c r="E117" s="1001"/>
      <c r="F117" s="1010"/>
      <c r="G117" s="1010"/>
      <c r="H117" s="1010"/>
      <c r="I117" s="1010"/>
      <c r="J117" s="1010"/>
      <c r="K117" s="1010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393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43" t="s">
        <v>86</v>
      </c>
      <c r="C122" s="1043"/>
      <c r="D122" s="1043"/>
      <c r="E122" s="1043"/>
      <c r="F122" s="1043"/>
      <c r="G122" s="1043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43"/>
      <c r="C123" s="1043"/>
      <c r="D123" s="1043"/>
      <c r="E123" s="1043"/>
      <c r="F123" s="1043"/>
      <c r="G123" s="1043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43"/>
      <c r="C124" s="1043"/>
      <c r="D124" s="1043"/>
      <c r="E124" s="1043"/>
      <c r="F124" s="1043"/>
      <c r="G124" s="1043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57" t="s">
        <v>87</v>
      </c>
      <c r="C125" s="1057"/>
      <c r="D125" s="1057"/>
      <c r="E125" s="1057"/>
      <c r="F125" s="1057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44" t="s">
        <v>6</v>
      </c>
      <c r="C126" s="1044"/>
      <c r="D126" s="1044"/>
      <c r="E126" s="1044"/>
      <c r="F126" s="1044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52" t="s">
        <v>89</v>
      </c>
      <c r="G129" s="1052"/>
      <c r="H129" s="266" t="s">
        <v>90</v>
      </c>
      <c r="I129" s="265"/>
      <c r="J129" s="1027" t="s">
        <v>91</v>
      </c>
      <c r="K129" s="1027"/>
      <c r="L129" s="533"/>
      <c r="M129" s="575" t="s">
        <v>92</v>
      </c>
      <c r="N129" s="252"/>
      <c r="O129" s="160"/>
    </row>
    <row r="130" spans="2:34" ht="25" customHeight="1">
      <c r="B130" s="1029" t="s">
        <v>93</v>
      </c>
      <c r="C130" s="1029"/>
      <c r="D130" s="467" t="s">
        <v>94</v>
      </c>
      <c r="E130" s="29"/>
      <c r="F130" s="1030">
        <f>BAAS_on.demand_EUR</f>
        <v>0.21804999999999999</v>
      </c>
      <c r="G130" s="1031"/>
      <c r="H130" s="307">
        <v>0</v>
      </c>
      <c r="I130" s="272" t="s">
        <v>69</v>
      </c>
      <c r="J130" s="1032" t="s">
        <v>94</v>
      </c>
      <c r="K130" s="1032"/>
      <c r="L130" s="308"/>
      <c r="M130" s="576">
        <f>ROUNDUP(H130*F130,2)</f>
        <v>0</v>
      </c>
      <c r="N130" s="252"/>
      <c r="O130" s="160"/>
    </row>
    <row r="131" spans="2:34" ht="25" customHeight="1">
      <c r="B131" s="1033" t="s">
        <v>95</v>
      </c>
      <c r="C131" s="1033"/>
      <c r="D131" s="468">
        <f>BAAS_small.fee_EUR</f>
        <v>489.5</v>
      </c>
      <c r="E131" s="32"/>
      <c r="F131" s="1034">
        <f>BAAS_small_EUR</f>
        <v>0.15575</v>
      </c>
      <c r="G131" s="1035"/>
      <c r="H131" s="309">
        <v>0</v>
      </c>
      <c r="I131" s="276" t="s">
        <v>69</v>
      </c>
      <c r="J131" s="1036">
        <v>0.75</v>
      </c>
      <c r="K131" s="1037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38" t="s">
        <v>96</v>
      </c>
      <c r="C132" s="1038"/>
      <c r="D132" s="469">
        <f>BAAS_large.fee_EUR</f>
        <v>845.5</v>
      </c>
      <c r="E132" s="35"/>
      <c r="F132" s="1039">
        <f>BAAS_large_EUR</f>
        <v>8.1879999999999994E-2</v>
      </c>
      <c r="G132" s="1040"/>
      <c r="H132" s="298">
        <v>0</v>
      </c>
      <c r="I132" s="299" t="s">
        <v>69</v>
      </c>
      <c r="J132" s="1041">
        <v>0.75</v>
      </c>
      <c r="K132" s="1042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393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45" t="s">
        <v>97</v>
      </c>
      <c r="C135" s="1045"/>
      <c r="D135" s="1045"/>
      <c r="E135" s="1045"/>
      <c r="F135" s="1045"/>
      <c r="G135" s="1045"/>
      <c r="H135" s="1045"/>
      <c r="I135" s="1045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45" t="s">
        <v>98</v>
      </c>
      <c r="C136" s="1045"/>
      <c r="D136" s="1045"/>
      <c r="E136" s="1045"/>
      <c r="F136" s="1045"/>
      <c r="G136" s="1045"/>
      <c r="H136" s="1045"/>
      <c r="I136" s="1045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45" t="s">
        <v>99</v>
      </c>
      <c r="C137" s="1045"/>
      <c r="D137" s="1045"/>
      <c r="E137" s="1045"/>
      <c r="F137" s="1045"/>
      <c r="G137" s="1045"/>
      <c r="H137" s="1045"/>
      <c r="I137" s="1045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45" t="s">
        <v>410</v>
      </c>
      <c r="C138" s="1045"/>
      <c r="D138" s="1045"/>
      <c r="E138" s="1045"/>
      <c r="F138" s="1045"/>
      <c r="G138" s="1045"/>
      <c r="H138" s="1045"/>
      <c r="I138" s="1045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43" t="s">
        <v>100</v>
      </c>
      <c r="C143" s="1043"/>
      <c r="D143" s="1043"/>
      <c r="E143" s="1043"/>
      <c r="F143" s="1043"/>
      <c r="G143" s="1043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43"/>
      <c r="C144" s="1043"/>
      <c r="D144" s="1043"/>
      <c r="E144" s="1043"/>
      <c r="F144" s="1043"/>
      <c r="G144" s="1043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43"/>
      <c r="C145" s="1043"/>
      <c r="D145" s="1043"/>
      <c r="E145" s="1043"/>
      <c r="F145" s="1043"/>
      <c r="G145" s="1043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44" t="s">
        <v>6</v>
      </c>
      <c r="C146" s="1044"/>
      <c r="D146" s="1044"/>
      <c r="E146" s="1044"/>
      <c r="F146" s="1044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28"/>
      <c r="C147" s="1028"/>
      <c r="D147" s="1028"/>
      <c r="E147" s="1028"/>
      <c r="F147" s="1028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13" t="s">
        <v>14</v>
      </c>
      <c r="M150" s="1013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23">
        <f>NET_publicv4_EUR</f>
        <v>2.2250000000000001</v>
      </c>
      <c r="M151" s="1023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4">
        <f>NET_publicv6_EUR</f>
        <v>0</v>
      </c>
      <c r="M152" s="1024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5">
        <f>NET_ingress_EUR</f>
        <v>0</v>
      </c>
      <c r="M153" s="1025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4">
        <f>NET_egress_EUR</f>
        <v>0</v>
      </c>
      <c r="M154" s="1024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3" t="str">
        <f>NET_mgn.slb_EUR</f>
        <v>Request a quote</v>
      </c>
      <c r="M155" s="1003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4">
        <f>NET_rdns_EUR</f>
        <v>0</v>
      </c>
      <c r="M156" s="1024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3">
        <f>NET_byoip_EUR</f>
        <v>0</v>
      </c>
      <c r="M157" s="1003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2"/>
      <c r="M158" s="1022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08"/>
      <c r="M159" s="1008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13" t="s">
        <v>14</v>
      </c>
      <c r="M160" s="1013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23">
        <f>SW_win.ser.201X_EUR</f>
        <v>6.9419999999999993</v>
      </c>
      <c r="M161" s="1023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02">
        <f>SW_win.ser.201X_EUR</f>
        <v>6.9419999999999993</v>
      </c>
      <c r="M162" s="1002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409</v>
      </c>
      <c r="F163" s="316"/>
      <c r="G163" s="317"/>
      <c r="H163" s="317"/>
      <c r="I163" s="317"/>
      <c r="J163" s="317"/>
      <c r="K163" s="318" t="s">
        <v>10</v>
      </c>
      <c r="L163" s="1003">
        <f>SW_ms.sql.ser_EUR</f>
        <v>133.322</v>
      </c>
      <c r="M163" s="1003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1" t="str">
        <f>SW_stackn_EUR</f>
        <v>Request a quote</v>
      </c>
      <c r="M164" s="1021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17" t="str">
        <f>SW_nextcloud_EUR</f>
        <v>Request a quote</v>
      </c>
      <c r="M165" s="1017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1" t="str">
        <f>SW_suse_EUR</f>
        <v>Request a quote</v>
      </c>
      <c r="M166" s="1021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17" t="str">
        <f>SW_cluster.control_EUR</f>
        <v>3x instance price</v>
      </c>
      <c r="M167" s="1017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18">
        <f>SW_backup.ninja_EUR</f>
        <v>35.6</v>
      </c>
      <c r="M168" s="1018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6"/>
      <c r="M169" s="1006"/>
      <c r="O169" s="205"/>
      <c r="P169" s="190"/>
      <c r="R169" s="284"/>
      <c r="S169" s="189"/>
    </row>
    <row r="170" spans="2:22" ht="25" customHeight="1">
      <c r="B170" s="471"/>
      <c r="K170" s="334"/>
      <c r="L170" s="1019"/>
      <c r="M170" s="1019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08"/>
      <c r="M171" s="1008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13" t="s">
        <v>14</v>
      </c>
      <c r="M172" s="1013"/>
      <c r="O172" s="205"/>
      <c r="Q172" s="191"/>
      <c r="R172" s="284"/>
      <c r="S172" s="189"/>
    </row>
    <row r="173" spans="2:22" ht="25" customHeight="1">
      <c r="B173" s="134" t="s">
        <v>404</v>
      </c>
      <c r="C173" s="129"/>
      <c r="D173" s="30"/>
      <c r="E173" s="30" t="s">
        <v>406</v>
      </c>
      <c r="F173" s="316"/>
      <c r="G173" s="317"/>
      <c r="H173" s="317"/>
      <c r="I173" s="317"/>
      <c r="J173" s="317"/>
      <c r="K173" s="318"/>
      <c r="L173" s="1014" t="str">
        <f>PAAS_man.kubernetes24_EUR</f>
        <v xml:space="preserve"> Requests for quotation </v>
      </c>
      <c r="M173" s="1014"/>
      <c r="O173" s="205"/>
      <c r="Q173" s="191"/>
      <c r="R173" s="284"/>
      <c r="S173" s="189"/>
    </row>
    <row r="174" spans="2:22" ht="25" customHeight="1">
      <c r="B174" s="137" t="s">
        <v>405</v>
      </c>
      <c r="C174" s="130"/>
      <c r="D174" s="38"/>
      <c r="E174" s="38" t="s">
        <v>407</v>
      </c>
      <c r="F174" s="319"/>
      <c r="G174" s="320"/>
      <c r="H174" s="320"/>
      <c r="I174" s="320"/>
      <c r="J174" s="320"/>
      <c r="K174" s="324"/>
      <c r="L174" s="1015" t="str">
        <f>PAAS_man.kubernetes8_EUR</f>
        <v>Requests for quotation</v>
      </c>
      <c r="M174" s="1015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16" t="str">
        <f>PAAS_man.elasticsearch_EUR</f>
        <v>Requests for quotation</v>
      </c>
      <c r="M175" s="1016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15" t="str">
        <f>PAAS_man.redis_EUR</f>
        <v>Requests for quotation</v>
      </c>
      <c r="M176" s="1015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16" t="str">
        <f>PAAS_man.nats_EUR</f>
        <v>Requests for quotation</v>
      </c>
      <c r="M177" s="1016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20" t="str">
        <f>PAAS_man.mariadb_EUR</f>
        <v>Requests for quotation</v>
      </c>
      <c r="M178" s="1020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6"/>
      <c r="M179" s="1006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11"/>
      <c r="M180" s="1011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12"/>
      <c r="M181" s="1012"/>
      <c r="N181" s="189"/>
      <c r="O181" s="205"/>
      <c r="P181" s="180"/>
      <c r="Q181" s="180"/>
    </row>
    <row r="182" spans="2:19" s="169" customFormat="1" ht="25" customHeight="1">
      <c r="B182" s="1043" t="s">
        <v>151</v>
      </c>
      <c r="C182" s="1043"/>
      <c r="D182" s="1043"/>
      <c r="E182" s="1043"/>
      <c r="F182" s="1043"/>
      <c r="G182" s="1043"/>
      <c r="H182" s="335"/>
      <c r="J182" s="178"/>
      <c r="L182" s="1061"/>
      <c r="M182" s="1061"/>
      <c r="N182" s="189"/>
      <c r="O182" s="205"/>
    </row>
    <row r="183" spans="2:19" s="169" customFormat="1" ht="25" customHeight="1">
      <c r="B183" s="1043"/>
      <c r="C183" s="1043"/>
      <c r="D183" s="1043"/>
      <c r="E183" s="1043"/>
      <c r="F183" s="1043"/>
      <c r="G183" s="1043"/>
      <c r="H183" s="335"/>
      <c r="J183" s="178"/>
      <c r="L183" s="1061"/>
      <c r="M183" s="1061"/>
      <c r="N183" s="189"/>
      <c r="O183" s="205"/>
    </row>
    <row r="184" spans="2:19" s="169" customFormat="1" ht="25" customHeight="1">
      <c r="B184" s="1043"/>
      <c r="C184" s="1043"/>
      <c r="D184" s="1043"/>
      <c r="E184" s="1043"/>
      <c r="F184" s="1043"/>
      <c r="G184" s="1043"/>
      <c r="H184" s="335"/>
      <c r="J184" s="178"/>
      <c r="L184" s="1061"/>
      <c r="M184" s="1061"/>
      <c r="N184" s="189"/>
      <c r="O184" s="205"/>
    </row>
    <row r="185" spans="2:19" s="169" customFormat="1" ht="25" customHeight="1">
      <c r="B185" s="1044" t="s">
        <v>6</v>
      </c>
      <c r="C185" s="1044"/>
      <c r="D185" s="1044"/>
      <c r="E185" s="1044"/>
      <c r="F185" s="1044"/>
      <c r="H185" s="335"/>
      <c r="J185" s="178"/>
      <c r="L185" s="1061"/>
      <c r="M185" s="1061"/>
      <c r="N185" s="189"/>
      <c r="O185" s="205"/>
    </row>
    <row r="186" spans="2:19" s="169" customFormat="1" ht="25" customHeight="1">
      <c r="B186" s="1028"/>
      <c r="C186" s="1028"/>
      <c r="D186" s="1028"/>
      <c r="E186" s="1028"/>
      <c r="F186" s="1028"/>
      <c r="G186" s="182"/>
      <c r="H186" s="183"/>
      <c r="I186" s="182"/>
      <c r="J186" s="184"/>
      <c r="K186" s="182"/>
      <c r="L186" s="1062"/>
      <c r="M186" s="1062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62"/>
      <c r="M187" s="1062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63"/>
      <c r="M188" s="1063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13" t="s">
        <v>14</v>
      </c>
      <c r="M189" s="1013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64">
        <v>0</v>
      </c>
      <c r="M190" s="1064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4" t="s">
        <v>158</v>
      </c>
      <c r="M191" s="1004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5" t="s">
        <v>162</v>
      </c>
      <c r="M192" s="1005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6"/>
      <c r="M193" s="1006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07"/>
      <c r="M194" s="1007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08"/>
      <c r="M195" s="1008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13" t="s">
        <v>14</v>
      </c>
      <c r="M196" s="1013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23">
        <f>PS_consult.jun_EUR</f>
        <v>100.303</v>
      </c>
      <c r="M197" s="1023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02">
        <f>PS_consult.sen_EUR</f>
        <v>122.28599999999999</v>
      </c>
      <c r="M198" s="1002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3">
        <f>PS_cloudarch.jun_EUR</f>
        <v>113.65299999999999</v>
      </c>
      <c r="M199" s="1003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02">
        <f>PS_cloudarch.sen_EUR</f>
        <v>122.28599999999999</v>
      </c>
      <c r="M200" s="1002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3">
        <f>PS_pm.jun_EUR</f>
        <v>101.371</v>
      </c>
      <c r="M201" s="1003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18">
        <f>PS_pm.sen_EUR</f>
        <v>122.28599999999999</v>
      </c>
      <c r="M202" s="1018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6"/>
      <c r="M203" s="1006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07"/>
      <c r="M204" s="1007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08"/>
      <c r="M205" s="1008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13" t="s">
        <v>179</v>
      </c>
      <c r="M206" s="1013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64" t="s">
        <v>162</v>
      </c>
      <c r="M207" s="1064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65" t="s">
        <v>162</v>
      </c>
      <c r="M208" s="1065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66" t="s">
        <v>162</v>
      </c>
      <c r="M209" s="1066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67" t="s">
        <v>162</v>
      </c>
      <c r="M210" s="1067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58" t="s">
        <v>191</v>
      </c>
      <c r="C217" s="1058"/>
      <c r="D217" s="1058"/>
      <c r="E217" s="1058"/>
      <c r="F217" s="1058"/>
      <c r="G217" s="1058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58"/>
      <c r="C218" s="1058"/>
      <c r="D218" s="1058"/>
      <c r="E218" s="1058"/>
      <c r="F218" s="1058"/>
      <c r="G218" s="1058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58"/>
      <c r="C219" s="1058"/>
      <c r="D219" s="1058"/>
      <c r="E219" s="1058"/>
      <c r="F219" s="1058"/>
      <c r="G219" s="1058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59" t="s">
        <v>6</v>
      </c>
      <c r="C220" s="1059"/>
      <c r="D220" s="1059"/>
      <c r="E220" s="1059"/>
      <c r="F220" s="1059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60" t="str">
        <f>SUM(E67)&amp;" GB NVME-Disk"</f>
        <v>0 GB NVME-Disk</v>
      </c>
      <c r="G227" s="1060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402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H103">
    <cfRule type="cellIs" dxfId="56" priority="3" operator="greaterThan">
      <formula>0</formula>
    </cfRule>
  </conditionalFormatting>
  <conditionalFormatting sqref="H112">
    <cfRule type="cellIs" dxfId="55" priority="1" operator="greaterThan">
      <formula>0</formula>
    </cfRule>
  </conditionalFormatting>
  <conditionalFormatting sqref="H130:H132">
    <cfRule type="cellIs" dxfId="54" priority="66" operator="greaterThan">
      <formula>0</formula>
    </cfRule>
  </conditionalFormatting>
  <conditionalFormatting sqref="I25:I37 I43:I66">
    <cfRule type="cellIs" dxfId="53" priority="151" operator="lessThan">
      <formula>#REF!</formula>
    </cfRule>
  </conditionalFormatting>
  <conditionalFormatting sqref="I25:I37">
    <cfRule type="cellIs" dxfId="52" priority="20" operator="greaterThan">
      <formula>0</formula>
    </cfRule>
  </conditionalFormatting>
  <conditionalFormatting sqref="I43:I66">
    <cfRule type="cellIs" dxfId="51" priority="12" operator="greaterThan">
      <formula>0</formula>
    </cfRule>
  </conditionalFormatting>
  <conditionalFormatting sqref="I72:I75">
    <cfRule type="cellIs" dxfId="50" priority="32" operator="lessThan">
      <formula>$J72</formula>
    </cfRule>
  </conditionalFormatting>
  <conditionalFormatting sqref="I89:I90">
    <cfRule type="cellIs" dxfId="49" priority="71" operator="greaterThan">
      <formula>0</formula>
    </cfRule>
  </conditionalFormatting>
  <conditionalFormatting sqref="I72:J75">
    <cfRule type="cellIs" dxfId="48" priority="73" operator="greaterThan">
      <formula>0</formula>
    </cfRule>
  </conditionalFormatting>
  <conditionalFormatting sqref="I81:J83">
    <cfRule type="cellIs" dxfId="47" priority="44" operator="lessThan">
      <formula>$J81</formula>
    </cfRule>
    <cfRule type="cellIs" dxfId="46" priority="42" operator="greaterThan">
      <formula>0</formula>
    </cfRule>
  </conditionalFormatting>
  <conditionalFormatting sqref="J131:J132">
    <cfRule type="cellIs" dxfId="45" priority="65" operator="greaterThan">
      <formula>0</formula>
    </cfRule>
  </conditionalFormatting>
  <conditionalFormatting sqref="K25:K110">
    <cfRule type="cellIs" dxfId="44" priority="5" operator="greaterThan">
      <formula>0</formula>
    </cfRule>
  </conditionalFormatting>
  <conditionalFormatting sqref="L69 L70:M70">
    <cfRule type="cellIs" dxfId="43" priority="74" operator="greaterThan">
      <formula>0</formula>
    </cfRule>
  </conditionalFormatting>
  <conditionalFormatting sqref="L72:M72 L74:M74">
    <cfRule type="cellIs" dxfId="42" priority="45" operator="greaterThan">
      <formula>0</formula>
    </cfRule>
  </conditionalFormatting>
  <conditionalFormatting sqref="L72:M75">
    <cfRule type="cellIs" dxfId="41" priority="22" operator="greaterThan">
      <formula>0</formula>
    </cfRule>
  </conditionalFormatting>
  <conditionalFormatting sqref="L81:M83">
    <cfRule type="cellIs" dxfId="40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0"/>
  <sheetViews>
    <sheetView showGridLines="0" tabSelected="1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3"/>
      <c r="C4" s="983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671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262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432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8" t="s">
        <v>617</v>
      </c>
      <c r="C15" s="978"/>
      <c r="D15" s="978"/>
      <c r="E15" s="978"/>
      <c r="F15" s="978"/>
      <c r="G15" s="978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561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0" t="s">
        <v>562</v>
      </c>
      <c r="C19" s="980"/>
      <c r="D19" s="980"/>
      <c r="E19" s="980"/>
      <c r="F19" s="980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392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663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99" t="s">
        <v>667</v>
      </c>
      <c r="C24" s="999"/>
      <c r="D24" s="999"/>
      <c r="E24" s="999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440</v>
      </c>
      <c r="F25" s="131" t="s">
        <v>267</v>
      </c>
      <c r="G25" s="131" t="s">
        <v>565</v>
      </c>
      <c r="H25" s="686"/>
      <c r="I25" s="687" t="s">
        <v>567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689">
        <f t="shared" ref="F26:F38" si="0">G26/720</f>
        <v>0.66666666666666663</v>
      </c>
      <c r="G26" s="690">
        <f t="shared" ref="G26:G38" si="1">C26*IAAS_vcpu_SEK+D26*IAAS_ram_SEK+E26*IAAS_nvme_SEK</f>
        <v>480</v>
      </c>
      <c r="H26" s="44"/>
      <c r="I26" s="691"/>
      <c r="J26" s="44"/>
      <c r="K26" s="838">
        <f t="shared" ref="K26:K38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c32 r64.1000</v>
      </c>
      <c r="C38" s="97">
        <f>'SEK - Safesprings tjänster 2023'!C38</f>
        <v>32</v>
      </c>
      <c r="D38" s="97">
        <f>'SEK - Safesprings tjänster 2023'!D38</f>
        <v>64</v>
      </c>
      <c r="E38" s="101">
        <f>'SEK - Safesprings tjänster 2023'!E38</f>
        <v>1000</v>
      </c>
      <c r="F38" s="689">
        <f t="shared" si="0"/>
        <v>9.8333333333333339</v>
      </c>
      <c r="G38" s="690">
        <f t="shared" si="1"/>
        <v>7080</v>
      </c>
      <c r="H38" s="44"/>
      <c r="I38" s="691"/>
      <c r="J38" s="44"/>
      <c r="K38" s="838">
        <f t="shared" si="2"/>
        <v>0</v>
      </c>
      <c r="M38" s="664"/>
      <c r="P38" s="681"/>
      <c r="R38" s="681"/>
    </row>
    <row r="39" spans="2:18" s="873" customFormat="1" ht="25" customHeight="1">
      <c r="B39" s="869" t="s">
        <v>222</v>
      </c>
      <c r="C39" s="870" t="str" cm="1">
        <f t="array" ref="C39">SUM(C26:C37*I26:I37)&amp;" st"</f>
        <v>0 st</v>
      </c>
      <c r="D39" s="870" t="str" cm="1">
        <f t="array" ref="D39">SUM(D26:D37*I26:I37)&amp;" GB"</f>
        <v>0 GB</v>
      </c>
      <c r="E39" s="871" t="str" cm="1">
        <f t="array" ref="E39">SUM(E26:E37*I26:I37)&amp;" GB"</f>
        <v>0 GB</v>
      </c>
      <c r="F39" s="870"/>
      <c r="G39" s="870"/>
      <c r="H39" s="870"/>
      <c r="I39" s="870" t="str">
        <f>SUM(I26:I37)&amp;" st"</f>
        <v>0 st</v>
      </c>
      <c r="J39" s="870"/>
      <c r="K39" s="872">
        <f>SUM(K26:K37)</f>
        <v>0</v>
      </c>
      <c r="M39" s="664"/>
      <c r="P39" s="874"/>
      <c r="R39" s="874"/>
    </row>
    <row r="40" spans="2:18" s="675" customFormat="1" ht="25" customHeight="1">
      <c r="B40" s="448"/>
      <c r="C40" s="694"/>
      <c r="D40" s="694"/>
      <c r="E40" s="695"/>
      <c r="F40" s="697"/>
      <c r="G40" s="697"/>
      <c r="H40" s="698"/>
      <c r="I40" s="699"/>
      <c r="J40" s="700"/>
      <c r="K40" s="840"/>
      <c r="M40" s="664"/>
      <c r="P40" s="681"/>
      <c r="R40" s="681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8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841"/>
      <c r="M42" s="664"/>
      <c r="P42" s="681"/>
      <c r="Q42" s="681"/>
      <c r="R42" s="688"/>
    </row>
    <row r="43" spans="2:18" s="651" customFormat="1" ht="25" customHeight="1">
      <c r="B43" s="652" t="s">
        <v>664</v>
      </c>
      <c r="C43" s="650"/>
      <c r="D43" s="650"/>
      <c r="K43" s="842"/>
      <c r="M43" s="664"/>
    </row>
    <row r="44" spans="2:18" ht="25" customHeight="1">
      <c r="B44" s="999" t="s">
        <v>666</v>
      </c>
      <c r="C44" s="999"/>
      <c r="D44" s="999"/>
      <c r="E44" s="999"/>
      <c r="M44" s="664"/>
    </row>
    <row r="45" spans="2:18" s="651" customFormat="1" ht="25" customHeight="1">
      <c r="B45" s="444" t="s">
        <v>208</v>
      </c>
      <c r="C45" s="11" t="s">
        <v>10</v>
      </c>
      <c r="D45" s="11" t="s">
        <v>11</v>
      </c>
      <c r="E45" s="131" t="s">
        <v>440</v>
      </c>
      <c r="F45" s="131" t="s">
        <v>267</v>
      </c>
      <c r="G45" s="131" t="s">
        <v>565</v>
      </c>
      <c r="H45" s="686"/>
      <c r="I45" s="687" t="s">
        <v>567</v>
      </c>
      <c r="J45" s="686"/>
      <c r="K45" s="837" t="s">
        <v>215</v>
      </c>
      <c r="M45" s="664"/>
      <c r="N45" s="1"/>
      <c r="O45" s="1"/>
      <c r="P45" s="681"/>
      <c r="Q45" s="681"/>
      <c r="R45" s="688"/>
    </row>
    <row r="46" spans="2:18" s="675" customFormat="1" ht="25" customHeight="1">
      <c r="B46" s="445" t="str">
        <f>'SEK - Safesprings tjänster 2023'!B46</f>
        <v>FLAVOR-b2. c1 r2</v>
      </c>
      <c r="C46" s="97">
        <f>'SEK - Safesprings tjänster 2023'!C46</f>
        <v>1</v>
      </c>
      <c r="D46" s="97">
        <f>'SEK - Safesprings tjänster 2023'!D46</f>
        <v>2</v>
      </c>
      <c r="E46" s="654">
        <f>'SEK - Safesprings tjänster 2023'!E46</f>
        <v>0</v>
      </c>
      <c r="F46" s="689">
        <f t="shared" ref="F46:F55" si="6">G46/720</f>
        <v>0.2638888888888889</v>
      </c>
      <c r="G46" s="690">
        <f t="shared" ref="G46:G55" si="7">C46*IAAS_vcpu_SEK+D46*IAAS_ram_SEK+E46*IAAS_ssd_SEK</f>
        <v>190</v>
      </c>
      <c r="H46" s="44"/>
      <c r="I46" s="691"/>
      <c r="J46" s="44"/>
      <c r="K46" s="838">
        <f t="shared" ref="K46:K55" si="8">ROUNDUP(I46*G46,2)</f>
        <v>0</v>
      </c>
      <c r="M46" s="664"/>
      <c r="N46" s="708"/>
      <c r="O46" s="709"/>
    </row>
    <row r="47" spans="2:18" s="675" customFormat="1" ht="25" customHeight="1">
      <c r="B47" s="446" t="str">
        <f>'SEK - Safesprings tjänster 2023'!B47</f>
        <v>FLAVOR-b2. c1 r4</v>
      </c>
      <c r="C47" s="95">
        <f>'SEK - Safesprings tjänster 2023'!C47</f>
        <v>1</v>
      </c>
      <c r="D47" s="95">
        <f>'SEK - Safesprings tjänster 2023'!D47</f>
        <v>4</v>
      </c>
      <c r="E47" s="655">
        <f>'SEK - Safesprings tjänster 2023'!E47</f>
        <v>0</v>
      </c>
      <c r="F47" s="692">
        <f t="shared" si="6"/>
        <v>0.41666666666666669</v>
      </c>
      <c r="G47" s="693">
        <f t="shared" si="7"/>
        <v>300</v>
      </c>
      <c r="H47" s="46"/>
      <c r="I47" s="691"/>
      <c r="J47" s="46"/>
      <c r="K47" s="839">
        <f t="shared" si="8"/>
        <v>0</v>
      </c>
      <c r="L47" s="710"/>
      <c r="M47" s="664"/>
      <c r="N47" s="708"/>
      <c r="O47" s="709"/>
    </row>
    <row r="48" spans="2:18" s="675" customFormat="1" ht="25" customHeight="1">
      <c r="B48" s="445" t="str">
        <f>'SEK - Safesprings tjänster 2023'!B48</f>
        <v>FLAVOR-b2. c2 r4</v>
      </c>
      <c r="C48" s="97">
        <f>'SEK - Safesprings tjänster 2023'!C48</f>
        <v>2</v>
      </c>
      <c r="D48" s="97">
        <f>'SEK - Safesprings tjänster 2023'!D48</f>
        <v>4</v>
      </c>
      <c r="E48" s="654">
        <f>'SEK - Safesprings tjänster 2023'!E48</f>
        <v>0</v>
      </c>
      <c r="F48" s="689">
        <f t="shared" si="6"/>
        <v>0.52777777777777779</v>
      </c>
      <c r="G48" s="690">
        <f t="shared" si="7"/>
        <v>380</v>
      </c>
      <c r="H48" s="44"/>
      <c r="I48" s="691"/>
      <c r="J48" s="44"/>
      <c r="K48" s="838">
        <f t="shared" si="8"/>
        <v>0</v>
      </c>
      <c r="L48" s="710"/>
      <c r="M48" s="664"/>
      <c r="N48" s="708"/>
      <c r="O48" s="709"/>
    </row>
    <row r="49" spans="1:20" s="675" customFormat="1" ht="25" customHeight="1">
      <c r="B49" s="446" t="str">
        <f>'SEK - Safesprings tjänster 2023'!B49</f>
        <v>FLAVOR-b2. c2 r8</v>
      </c>
      <c r="C49" s="95">
        <f>'SEK - Safesprings tjänster 2023'!C49</f>
        <v>2</v>
      </c>
      <c r="D49" s="95">
        <f>'SEK - Safesprings tjänster 2023'!D49</f>
        <v>8</v>
      </c>
      <c r="E49" s="655">
        <f>'SEK - Safesprings tjänster 2023'!E49</f>
        <v>0</v>
      </c>
      <c r="F49" s="692">
        <f t="shared" si="6"/>
        <v>0.83333333333333337</v>
      </c>
      <c r="G49" s="693">
        <f t="shared" si="7"/>
        <v>600</v>
      </c>
      <c r="H49" s="46"/>
      <c r="I49" s="691"/>
      <c r="J49" s="46"/>
      <c r="K49" s="839">
        <f t="shared" si="8"/>
        <v>0</v>
      </c>
      <c r="L49" s="710"/>
      <c r="M49" s="664"/>
      <c r="N49" s="708"/>
      <c r="O49" s="973"/>
    </row>
    <row r="50" spans="1:20" s="675" customFormat="1" ht="25" customHeight="1">
      <c r="B50" s="445" t="str">
        <f>'SEK - Safesprings tjänster 2023'!B50</f>
        <v>FLAVOR-b2 .c4 r8</v>
      </c>
      <c r="C50" s="97">
        <f>'SEK - Safesprings tjänster 2023'!C50</f>
        <v>4</v>
      </c>
      <c r="D50" s="97">
        <f>'SEK - Safesprings tjänster 2023'!D50</f>
        <v>8</v>
      </c>
      <c r="E50" s="654">
        <f>'SEK - Safesprings tjänster 2023'!E50</f>
        <v>0</v>
      </c>
      <c r="F50" s="689">
        <f t="shared" ref="F50:F51" si="9">G50/720</f>
        <v>1.0555555555555556</v>
      </c>
      <c r="G50" s="690">
        <f t="shared" ref="G50:G51" si="10">C50*IAAS_vcpu_SEK+D50*IAAS_ram_SEK+E50*IAAS_ssd_SEK</f>
        <v>760</v>
      </c>
      <c r="H50" s="44"/>
      <c r="I50" s="691"/>
      <c r="J50" s="44"/>
      <c r="K50" s="838">
        <f t="shared" ref="K50:K51" si="11">ROUNDUP(I50*G50,2)</f>
        <v>0</v>
      </c>
      <c r="L50" s="710"/>
      <c r="M50" s="664"/>
      <c r="N50" s="708"/>
    </row>
    <row r="51" spans="1:20" s="675" customFormat="1" ht="25" customHeight="1">
      <c r="B51" s="446" t="str">
        <f>'SEK - Safesprings tjänster 2023'!B51</f>
        <v>FLAVOR-b2. c4 r16</v>
      </c>
      <c r="C51" s="95">
        <f>'SEK - Safesprings tjänster 2023'!C51</f>
        <v>4</v>
      </c>
      <c r="D51" s="95">
        <f>'SEK - Safesprings tjänster 2023'!D51</f>
        <v>16</v>
      </c>
      <c r="E51" s="655">
        <f>'SEK - Safesprings tjänster 2023'!E51</f>
        <v>0</v>
      </c>
      <c r="F51" s="692">
        <f t="shared" si="9"/>
        <v>1.6666666666666667</v>
      </c>
      <c r="G51" s="693">
        <f t="shared" si="10"/>
        <v>1200</v>
      </c>
      <c r="H51" s="46"/>
      <c r="I51" s="691"/>
      <c r="J51" s="46"/>
      <c r="K51" s="839">
        <f t="shared" si="11"/>
        <v>0</v>
      </c>
      <c r="L51" s="710"/>
      <c r="M51" s="664"/>
    </row>
    <row r="52" spans="1:20" s="675" customFormat="1" ht="25" customHeight="1">
      <c r="B52" s="445" t="str">
        <f>'SEK - Safesprings tjänster 2023'!B52</f>
        <v>FLAVOR-b2. c8 r16</v>
      </c>
      <c r="C52" s="97">
        <f>'SEK - Safesprings tjänster 2023'!C52</f>
        <v>8</v>
      </c>
      <c r="D52" s="97">
        <f>'SEK - Safesprings tjänster 2023'!D52</f>
        <v>16</v>
      </c>
      <c r="E52" s="654">
        <f>'SEK - Safesprings tjänster 2023'!E52</f>
        <v>0</v>
      </c>
      <c r="F52" s="689">
        <f t="shared" si="6"/>
        <v>2.1111111111111112</v>
      </c>
      <c r="G52" s="690">
        <f t="shared" si="7"/>
        <v>1520</v>
      </c>
      <c r="H52" s="44"/>
      <c r="I52" s="691"/>
      <c r="J52" s="44"/>
      <c r="K52" s="838">
        <f t="shared" si="8"/>
        <v>0</v>
      </c>
      <c r="L52" s="710"/>
      <c r="M52" s="664"/>
      <c r="N52" s="708"/>
    </row>
    <row r="53" spans="1:20" s="675" customFormat="1" ht="25" customHeight="1">
      <c r="B53" s="446" t="str">
        <f>'SEK - Safesprings tjänster 2023'!B53</f>
        <v>FLAVOR-b2. c8 r32</v>
      </c>
      <c r="C53" s="95">
        <f>'SEK - Safesprings tjänster 2023'!C53</f>
        <v>8</v>
      </c>
      <c r="D53" s="95">
        <f>'SEK - Safesprings tjänster 2023'!D53</f>
        <v>32</v>
      </c>
      <c r="E53" s="655">
        <f>'SEK - Safesprings tjänster 2023'!E53</f>
        <v>0</v>
      </c>
      <c r="F53" s="692">
        <f t="shared" si="6"/>
        <v>3.3333333333333335</v>
      </c>
      <c r="G53" s="693">
        <f t="shared" si="7"/>
        <v>2400</v>
      </c>
      <c r="H53" s="46"/>
      <c r="I53" s="691"/>
      <c r="J53" s="46"/>
      <c r="K53" s="839">
        <f t="shared" si="8"/>
        <v>0</v>
      </c>
      <c r="L53" s="710"/>
      <c r="M53" s="664"/>
    </row>
    <row r="54" spans="1:20" s="675" customFormat="1" ht="25" customHeight="1">
      <c r="B54" s="445" t="str">
        <f>'SEK - Safesprings tjänster 2023'!B54</f>
        <v>FLAVOR-b2. c16 r32</v>
      </c>
      <c r="C54" s="97">
        <f>'SEK - Safesprings tjänster 2023'!C54</f>
        <v>16</v>
      </c>
      <c r="D54" s="97">
        <f>'SEK - Safesprings tjänster 2023'!D54</f>
        <v>32</v>
      </c>
      <c r="E54" s="654">
        <f>'SEK - Safesprings tjänster 2023'!E54</f>
        <v>0</v>
      </c>
      <c r="F54" s="689">
        <f t="shared" si="6"/>
        <v>4.2222222222222223</v>
      </c>
      <c r="G54" s="690">
        <f t="shared" si="7"/>
        <v>3040</v>
      </c>
      <c r="H54" s="44"/>
      <c r="I54" s="691"/>
      <c r="J54" s="44"/>
      <c r="K54" s="838">
        <f t="shared" si="8"/>
        <v>0</v>
      </c>
      <c r="L54" s="710"/>
      <c r="M54" s="664"/>
    </row>
    <row r="55" spans="1:20" s="675" customFormat="1" ht="25" customHeight="1">
      <c r="B55" s="446" t="str">
        <f>'SEK - Safesprings tjänster 2023'!B55</f>
        <v>FLAVOR-b2. c16 r64</v>
      </c>
      <c r="C55" s="95">
        <f>'SEK - Safesprings tjänster 2023'!C55</f>
        <v>16</v>
      </c>
      <c r="D55" s="95">
        <f>'SEK - Safesprings tjänster 2023'!D55</f>
        <v>64</v>
      </c>
      <c r="E55" s="655">
        <f>'SEK - Safesprings tjänster 2023'!E55</f>
        <v>0</v>
      </c>
      <c r="F55" s="692">
        <f t="shared" si="6"/>
        <v>6.666666666666667</v>
      </c>
      <c r="G55" s="693">
        <f t="shared" si="7"/>
        <v>4800</v>
      </c>
      <c r="H55" s="46"/>
      <c r="I55" s="691"/>
      <c r="J55" s="46"/>
      <c r="K55" s="839">
        <f t="shared" si="8"/>
        <v>0</v>
      </c>
      <c r="L55" s="710"/>
      <c r="M55" s="664"/>
    </row>
    <row r="56" spans="1:20" s="873" customFormat="1" ht="25" customHeight="1">
      <c r="B56" s="869" t="s">
        <v>222</v>
      </c>
      <c r="C56" s="870" t="str" cm="1">
        <f t="array" ref="C56">SUM(b2_list_vCPU*b2_list_Antal_instanser)&amp;" st"</f>
        <v>0 st</v>
      </c>
      <c r="D56" s="870" t="str" cm="1">
        <f t="array" ref="D56">SUM(b2_list_ram*b2_list_vCPU)&amp;" GB"</f>
        <v>0 GB</v>
      </c>
      <c r="E56" s="875" t="s">
        <v>94</v>
      </c>
      <c r="F56" s="870"/>
      <c r="G56" s="870"/>
      <c r="H56" s="870"/>
      <c r="I56" s="870" t="str">
        <f>SUM(I46:I55)&amp;" st"</f>
        <v>0 st</v>
      </c>
      <c r="J56" s="870"/>
      <c r="K56" s="872">
        <f>SUM(K46:K55)</f>
        <v>0</v>
      </c>
      <c r="M56" s="664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840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843"/>
      <c r="L58" s="712"/>
      <c r="M58" s="664"/>
      <c r="R58" s="713"/>
      <c r="S58" s="713"/>
      <c r="T58" s="714"/>
    </row>
    <row r="59" spans="1:20" ht="25" hidden="1" customHeight="1">
      <c r="B59" s="985" t="s">
        <v>604</v>
      </c>
      <c r="C59" s="985"/>
      <c r="D59" s="985"/>
      <c r="E59" s="985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837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4" si="12">H61/720</f>
        <v>9.6527777777777786</v>
      </c>
      <c r="H61" s="690">
        <f>C61*IAAS_vcpu_SEK+D61*IAAS_ram_SEK+E61*IAAS_nvme_SEK+F61*IAAS_gpu_SEK</f>
        <v>6950</v>
      </c>
      <c r="I61" s="908"/>
      <c r="J61" s="14"/>
      <c r="K61" s="838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2"/>
        <v>19.305555555555557</v>
      </c>
      <c r="H62" s="693">
        <f>C62*IAAS_vcpu_SEK+D62*IAAS_ram_SEK+E62*IAAS_nvme_SEK+F62*IAAS_gpu_SEK</f>
        <v>13900</v>
      </c>
      <c r="I62" s="908"/>
      <c r="J62" s="16"/>
      <c r="K62" s="839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si="12"/>
        <v>38.611111111111114</v>
      </c>
      <c r="H63" s="690">
        <f>C63*IAAS_vcpu_SEK+D63*IAAS_ram_SEK+E63*IAAS_nvme_SEK+F63*IAAS_gpu_SEK</f>
        <v>27800</v>
      </c>
      <c r="I63" s="908"/>
      <c r="J63" s="14"/>
      <c r="K63" s="838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2"/>
        <v>60.555555555555557</v>
      </c>
      <c r="H64" s="693">
        <f>C64*IAAS_vcpu_SEK+D64*IAAS_ram_SEK+E64*IAAS_nvme_SEK+F64*IAAS_gpu_SEK</f>
        <v>43600</v>
      </c>
      <c r="I64" s="908"/>
      <c r="J64" s="16"/>
      <c r="K64" s="839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872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4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844"/>
      <c r="M68" s="664"/>
      <c r="N68" s="8"/>
      <c r="O68" s="8"/>
      <c r="P68" s="684"/>
      <c r="Q68" s="8"/>
      <c r="R68" s="685"/>
    </row>
    <row r="69" spans="2:20" ht="25" hidden="1" customHeight="1">
      <c r="B69" s="985" t="s">
        <v>604</v>
      </c>
      <c r="C69" s="985"/>
      <c r="D69" s="985"/>
      <c r="E69" s="985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837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3">G71/720</f>
        <v>9.5</v>
      </c>
      <c r="G71" s="724">
        <f>INSTANCE_p1.2xlarge.16d_SEK</f>
        <v>6840</v>
      </c>
      <c r="H71" s="14"/>
      <c r="I71" s="908"/>
      <c r="J71" s="14"/>
      <c r="K71" s="838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3"/>
        <v>19</v>
      </c>
      <c r="G72" s="96">
        <f>INSTANCE_p1.4xlarge.16d_SEK</f>
        <v>13680</v>
      </c>
      <c r="H72" s="16"/>
      <c r="I72" s="908"/>
      <c r="J72" s="16"/>
      <c r="K72" s="839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3"/>
        <v>38</v>
      </c>
      <c r="G73" s="724">
        <f>INSTANCE_p1.8xlarge.32d_SEK</f>
        <v>27360</v>
      </c>
      <c r="H73" s="14"/>
      <c r="I73" s="908"/>
      <c r="J73" s="14"/>
      <c r="K73" s="838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872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845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844"/>
      <c r="L76" s="722"/>
      <c r="M76" s="664"/>
      <c r="Q76" s="681"/>
      <c r="S76" s="681"/>
    </row>
    <row r="77" spans="2:20" ht="25" customHeight="1">
      <c r="B77" s="649" t="s">
        <v>564</v>
      </c>
      <c r="C77" s="22"/>
      <c r="D77" s="22"/>
      <c r="E77" s="22"/>
      <c r="F77" s="22"/>
      <c r="G77" s="22"/>
      <c r="H77" s="8"/>
      <c r="I77" s="8"/>
      <c r="J77" s="8"/>
      <c r="K77" s="844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563</v>
      </c>
      <c r="M78" s="664"/>
    </row>
    <row r="79" spans="2:20" s="729" customFormat="1" ht="25" customHeight="1">
      <c r="B79" s="444" t="s">
        <v>208</v>
      </c>
      <c r="C79" s="24" t="s">
        <v>275</v>
      </c>
      <c r="D79" s="24"/>
      <c r="E79" s="24"/>
      <c r="F79" s="132" t="s">
        <v>210</v>
      </c>
      <c r="G79" s="131" t="s">
        <v>429</v>
      </c>
      <c r="H79" s="24"/>
      <c r="I79" s="728" t="s">
        <v>566</v>
      </c>
      <c r="J79" s="24"/>
      <c r="K79" s="612" t="s">
        <v>568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0">
        <f>G80/720</f>
        <v>1.6666666666666666E-3</v>
      </c>
      <c r="G80" s="723">
        <f>VOLUME_large_SEK</f>
        <v>1.2</v>
      </c>
      <c r="H80" s="732"/>
      <c r="I80" s="733"/>
      <c r="J80" s="399"/>
      <c r="K80" s="828">
        <f>ROUNDUP(I80*G80,2)</f>
        <v>0</v>
      </c>
      <c r="L80" s="8"/>
      <c r="M80" s="664"/>
    </row>
    <row r="81" spans="2:26" s="675" customFormat="1" ht="25" customHeight="1">
      <c r="B81" s="137" t="s">
        <v>460</v>
      </c>
      <c r="C81" s="41" t="s">
        <v>71</v>
      </c>
      <c r="D81" s="79"/>
      <c r="E81" s="79"/>
      <c r="F81" s="81">
        <f>G81/720</f>
        <v>5.0000000000000001E-3</v>
      </c>
      <c r="G81" s="725">
        <f>VOLUME_fast_SEK</f>
        <v>3.6</v>
      </c>
      <c r="H81" s="735"/>
      <c r="I81" s="737"/>
      <c r="J81" s="738"/>
      <c r="K81" s="829">
        <f>ROUNDUP(I81*G81,2)</f>
        <v>0</v>
      </c>
      <c r="L81" s="8"/>
      <c r="M81" s="664"/>
      <c r="T81" s="681"/>
    </row>
    <row r="82" spans="2:26" s="675" customFormat="1" ht="25" customHeight="1">
      <c r="B82" s="134" t="s">
        <v>461</v>
      </c>
      <c r="C82" s="39" t="s">
        <v>426</v>
      </c>
      <c r="D82" s="78"/>
      <c r="E82" s="78"/>
      <c r="F82" s="80">
        <f>G82/720</f>
        <v>1.6666666666666666E-3</v>
      </c>
      <c r="G82" s="723">
        <f>VOLUME_large_SEK</f>
        <v>1.2</v>
      </c>
      <c r="H82" s="739"/>
      <c r="I82" s="733"/>
      <c r="J82" s="399"/>
      <c r="K82" s="828">
        <f>ROUNDUP(I82*G82,2)</f>
        <v>0</v>
      </c>
      <c r="L82" s="8"/>
      <c r="M82" s="664"/>
    </row>
    <row r="83" spans="2:26" s="873" customFormat="1" ht="25" customHeight="1">
      <c r="B83" s="869" t="s">
        <v>222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872">
        <f>SUM(K80:K82)</f>
        <v>0</v>
      </c>
      <c r="M83" s="664"/>
      <c r="P83" s="874"/>
      <c r="R83" s="874"/>
    </row>
    <row r="84" spans="2:26" ht="25" customHeight="1">
      <c r="B84" s="452"/>
      <c r="C84" s="76"/>
      <c r="D84" s="76"/>
      <c r="E84" s="76"/>
      <c r="F84" s="76"/>
      <c r="G84" s="76"/>
      <c r="H84" s="721"/>
      <c r="I84" s="740"/>
      <c r="J84" s="740"/>
      <c r="K84" s="846"/>
      <c r="L84" s="742"/>
      <c r="M84" s="664"/>
    </row>
    <row r="85" spans="2:26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847"/>
      <c r="L85" s="741"/>
      <c r="M85" s="664"/>
    </row>
    <row r="86" spans="2:26" s="4" customFormat="1" ht="25" customHeight="1">
      <c r="B86" s="978" t="s">
        <v>618</v>
      </c>
      <c r="C86" s="978"/>
      <c r="D86" s="978"/>
      <c r="E86" s="978"/>
      <c r="F86" s="978"/>
      <c r="G86" s="978"/>
      <c r="H86" s="672"/>
      <c r="J86" s="674"/>
      <c r="K86" s="833"/>
      <c r="M86" s="664"/>
    </row>
    <row r="87" spans="2:26" s="4" customFormat="1" ht="25" customHeight="1">
      <c r="B87" s="978"/>
      <c r="C87" s="978"/>
      <c r="D87" s="978"/>
      <c r="E87" s="978"/>
      <c r="F87" s="978"/>
      <c r="G87" s="978"/>
      <c r="H87" s="672"/>
      <c r="J87" s="674"/>
      <c r="K87" s="833"/>
      <c r="M87" s="664"/>
    </row>
    <row r="88" spans="2:26" s="4" customFormat="1" ht="25" customHeight="1">
      <c r="B88" s="978"/>
      <c r="C88" s="978"/>
      <c r="D88" s="978"/>
      <c r="E88" s="978"/>
      <c r="F88" s="978"/>
      <c r="G88" s="978"/>
      <c r="H88" s="672"/>
      <c r="J88" s="674"/>
      <c r="K88" s="833"/>
      <c r="M88" s="664"/>
    </row>
    <row r="89" spans="2:26" s="4" customFormat="1" ht="25" customHeight="1">
      <c r="B89" s="549" t="s">
        <v>600</v>
      </c>
      <c r="C89" s="549"/>
      <c r="D89" s="549"/>
      <c r="E89" s="549"/>
      <c r="F89" s="549"/>
      <c r="H89" s="672"/>
      <c r="J89" s="674"/>
      <c r="K89" s="833"/>
      <c r="M89" s="664"/>
    </row>
    <row r="90" spans="2:26" s="503" customFormat="1" ht="25" customHeight="1">
      <c r="B90" s="465" t="s">
        <v>626</v>
      </c>
      <c r="C90" s="465"/>
      <c r="D90" s="465"/>
      <c r="E90" s="465"/>
      <c r="F90" s="465"/>
      <c r="G90" s="743"/>
      <c r="H90" s="744"/>
      <c r="I90" s="743"/>
      <c r="J90" s="745"/>
      <c r="K90" s="848"/>
      <c r="L90" s="743"/>
      <c r="M90" s="664"/>
    </row>
    <row r="91" spans="2:26" s="4" customFormat="1" ht="25" customHeight="1">
      <c r="B91" s="550" t="s">
        <v>392</v>
      </c>
      <c r="C91" s="551"/>
      <c r="D91" s="551"/>
      <c r="E91" s="133"/>
      <c r="F91" s="133"/>
      <c r="G91" s="677"/>
      <c r="H91" s="678"/>
      <c r="I91" s="677"/>
      <c r="J91" s="679"/>
      <c r="K91" s="834"/>
      <c r="L91" s="680"/>
      <c r="M91" s="664"/>
      <c r="S91" s="675"/>
      <c r="T91" s="675"/>
      <c r="U91" s="675"/>
      <c r="V91" s="675"/>
      <c r="W91" s="681"/>
      <c r="X91" s="8"/>
      <c r="Y91" s="675"/>
      <c r="Z91" s="675"/>
    </row>
    <row r="92" spans="2:26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844"/>
      <c r="L92" s="722"/>
      <c r="M92" s="664"/>
      <c r="R92" s="681"/>
      <c r="T92" s="681"/>
    </row>
    <row r="93" spans="2:26" s="4" customFormat="1" ht="25" customHeight="1">
      <c r="B93" s="444" t="s">
        <v>208</v>
      </c>
      <c r="C93" s="10"/>
      <c r="D93" s="131"/>
      <c r="E93" s="131"/>
      <c r="F93" s="24"/>
      <c r="G93" s="131" t="s">
        <v>569</v>
      </c>
      <c r="H93" s="24"/>
      <c r="I93" s="728" t="s">
        <v>570</v>
      </c>
      <c r="J93" s="131"/>
      <c r="K93" s="612" t="s">
        <v>83</v>
      </c>
      <c r="L93" s="680"/>
      <c r="M93" s="664"/>
      <c r="N93" s="675"/>
    </row>
    <row r="94" spans="2:26" s="752" customFormat="1" ht="25" customHeight="1">
      <c r="B94" s="445" t="s">
        <v>497</v>
      </c>
      <c r="C94" s="78"/>
      <c r="D94" s="522"/>
      <c r="E94" s="522"/>
      <c r="F94" s="748"/>
      <c r="G94" s="747">
        <f>S3_archive.50_SEK</f>
        <v>350</v>
      </c>
      <c r="H94" s="748"/>
      <c r="I94" s="749"/>
      <c r="J94" s="750"/>
      <c r="K94" s="629">
        <f>I94*G94</f>
        <v>0</v>
      </c>
      <c r="L94" s="751"/>
      <c r="M94" s="664"/>
      <c r="N94" s="721"/>
    </row>
    <row r="95" spans="2:26" s="675" customFormat="1" ht="25" customHeight="1">
      <c r="B95" s="137" t="s">
        <v>462</v>
      </c>
      <c r="C95" s="41"/>
      <c r="D95" s="79"/>
      <c r="E95" s="79"/>
      <c r="F95" s="735"/>
      <c r="G95" s="648">
        <f>S3_storage50_SEK</f>
        <v>500</v>
      </c>
      <c r="H95" s="736"/>
      <c r="I95" s="753"/>
      <c r="J95" s="738"/>
      <c r="K95" s="829">
        <f>I95*G95</f>
        <v>0</v>
      </c>
      <c r="L95" s="8"/>
      <c r="M95" s="664"/>
      <c r="T95" s="681"/>
    </row>
    <row r="96" spans="2:26" s="873" customFormat="1" ht="25" customHeight="1">
      <c r="B96" s="869" t="s">
        <v>222</v>
      </c>
      <c r="C96" s="870"/>
      <c r="D96" s="870"/>
      <c r="E96" s="870"/>
      <c r="F96" s="870"/>
      <c r="G96" s="870"/>
      <c r="H96" s="870"/>
      <c r="I96" s="870"/>
      <c r="J96" s="870"/>
      <c r="K96" s="872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844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82" t="s">
        <v>225</v>
      </c>
      <c r="E99" s="982"/>
      <c r="F99" s="982"/>
      <c r="G99" s="982"/>
      <c r="H99" s="982"/>
      <c r="I99" s="982"/>
      <c r="J99" s="131"/>
      <c r="K99" s="612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594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81">
        <f>S3_archive.50_SEK</f>
        <v>350</v>
      </c>
      <c r="E101" s="981"/>
      <c r="F101" s="981"/>
      <c r="G101" s="981"/>
      <c r="H101" s="981"/>
      <c r="I101" s="981"/>
      <c r="J101" s="884"/>
      <c r="K101" s="849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86">
        <f>S3_archive.100_SEK</f>
        <v>270</v>
      </c>
      <c r="E102" s="986"/>
      <c r="F102" s="986"/>
      <c r="G102" s="986"/>
      <c r="H102" s="986"/>
      <c r="I102" s="986"/>
      <c r="J102" s="886"/>
      <c r="K102" s="850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88">
        <f>S3_archive.500_SEK</f>
        <v>200</v>
      </c>
      <c r="E103" s="988"/>
      <c r="F103" s="988"/>
      <c r="G103" s="988"/>
      <c r="H103" s="988"/>
      <c r="I103" s="988"/>
      <c r="J103" s="887"/>
      <c r="K103" s="851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86">
        <f>S3_archive.1000_SEK</f>
        <v>185</v>
      </c>
      <c r="E104" s="986"/>
      <c r="F104" s="986"/>
      <c r="G104" s="986"/>
      <c r="H104" s="986"/>
      <c r="I104" s="986"/>
      <c r="J104" s="886"/>
      <c r="K104" s="850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87" t="str">
        <f>S3_archive.quote_SEK</f>
        <v>Be om offert</v>
      </c>
      <c r="E105" s="987"/>
      <c r="F105" s="987"/>
      <c r="G105" s="987"/>
      <c r="H105" s="987"/>
      <c r="I105" s="987"/>
      <c r="J105" s="885"/>
      <c r="K105" s="852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840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834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846"/>
      <c r="L108" s="742"/>
      <c r="M108" s="664"/>
      <c r="N108" s="675"/>
      <c r="Q108" s="4"/>
    </row>
    <row r="109" spans="2:19" s="4" customFormat="1" ht="25" customHeight="1">
      <c r="B109" s="978" t="s">
        <v>619</v>
      </c>
      <c r="C109" s="978"/>
      <c r="D109" s="978"/>
      <c r="E109" s="978"/>
      <c r="F109" s="978"/>
      <c r="G109" s="978"/>
      <c r="H109" s="672"/>
      <c r="J109" s="674"/>
      <c r="K109" s="833"/>
      <c r="L109" s="674"/>
      <c r="M109" s="664"/>
    </row>
    <row r="110" spans="2:19" s="4" customFormat="1" ht="25" customHeight="1">
      <c r="B110" s="978"/>
      <c r="C110" s="978"/>
      <c r="D110" s="978"/>
      <c r="E110" s="978"/>
      <c r="F110" s="978"/>
      <c r="G110" s="978"/>
      <c r="H110" s="672"/>
      <c r="J110" s="674"/>
      <c r="K110" s="833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833"/>
      <c r="L111" s="674"/>
      <c r="M111" s="664"/>
    </row>
    <row r="112" spans="2:19" s="4" customFormat="1" ht="25" customHeight="1">
      <c r="B112" s="549" t="s">
        <v>571</v>
      </c>
      <c r="C112" s="549"/>
      <c r="D112" s="549"/>
      <c r="E112" s="549"/>
      <c r="F112" s="549"/>
      <c r="H112" s="672"/>
      <c r="J112" s="674"/>
      <c r="K112" s="833"/>
      <c r="L112" s="674"/>
      <c r="M112" s="664"/>
    </row>
    <row r="113" spans="2:32" s="4" customFormat="1" ht="25" customHeight="1">
      <c r="B113" s="980" t="s">
        <v>562</v>
      </c>
      <c r="C113" s="980"/>
      <c r="D113" s="980"/>
      <c r="E113" s="980"/>
      <c r="F113" s="980"/>
      <c r="G113" s="677"/>
      <c r="H113" s="678"/>
      <c r="J113" s="679"/>
      <c r="K113" s="834"/>
      <c r="L113" s="680"/>
      <c r="M113" s="664"/>
      <c r="S113" s="675"/>
      <c r="T113" s="675"/>
      <c r="U113" s="675"/>
      <c r="V113" s="675"/>
      <c r="W113" s="675"/>
      <c r="X113" s="675"/>
      <c r="Y113" s="675"/>
      <c r="Z113" s="675"/>
    </row>
    <row r="114" spans="2:32" s="4" customFormat="1" ht="25" customHeight="1">
      <c r="B114" s="550" t="s">
        <v>392</v>
      </c>
      <c r="C114" s="551"/>
      <c r="D114" s="551"/>
      <c r="E114" s="133"/>
      <c r="F114" s="133"/>
      <c r="G114" s="677"/>
      <c r="H114" s="678"/>
      <c r="I114" s="677"/>
      <c r="J114" s="679"/>
      <c r="K114" s="834"/>
      <c r="L114" s="680"/>
      <c r="M114" s="664"/>
      <c r="S114" s="675"/>
      <c r="T114" s="675"/>
      <c r="U114" s="675"/>
      <c r="V114" s="675"/>
      <c r="W114" s="681"/>
      <c r="X114" s="8"/>
      <c r="Y114" s="675"/>
      <c r="Z114" s="675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844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208</v>
      </c>
      <c r="C116" s="769"/>
      <c r="D116" s="769"/>
      <c r="E116" s="24" t="s">
        <v>285</v>
      </c>
      <c r="F116" s="769"/>
      <c r="G116" s="24" t="s">
        <v>573</v>
      </c>
      <c r="H116" s="24"/>
      <c r="I116" s="728" t="s">
        <v>566</v>
      </c>
      <c r="J116" s="728" t="s">
        <v>574</v>
      </c>
      <c r="K116" s="612" t="s">
        <v>92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763">
        <f>BAAS_on.demand_SEK</f>
        <v>2.4500000000000002</v>
      </c>
      <c r="H117" s="399"/>
      <c r="I117" s="749"/>
      <c r="J117" s="877" t="s">
        <v>94</v>
      </c>
      <c r="K117" s="828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31">
        <v>5500</v>
      </c>
      <c r="F118" s="738"/>
      <c r="G118" s="764">
        <f>BAAS_small_SEK</f>
        <v>1.75</v>
      </c>
      <c r="H118" s="738"/>
      <c r="I118" s="765"/>
      <c r="J118" s="766">
        <v>0.75</v>
      </c>
      <c r="K118" s="829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33">
        <v>9500</v>
      </c>
      <c r="F119" s="757"/>
      <c r="G119" s="763">
        <f>BAAS_large_SEK</f>
        <v>0.92</v>
      </c>
      <c r="H119" s="757"/>
      <c r="I119" s="756"/>
      <c r="J119" s="768">
        <v>0.75</v>
      </c>
      <c r="K119" s="594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222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872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853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846"/>
      <c r="L122" s="751"/>
      <c r="M122" s="664"/>
      <c r="N122" s="675"/>
    </row>
    <row r="123" spans="2:32" ht="25" hidden="1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42"/>
      <c r="M123" s="664"/>
      <c r="N123" s="675"/>
      <c r="Q123" s="4"/>
    </row>
    <row r="124" spans="2:32" s="4" customFormat="1" ht="25" hidden="1" customHeight="1">
      <c r="B124" s="978" t="s">
        <v>434</v>
      </c>
      <c r="C124" s="978"/>
      <c r="D124" s="978"/>
      <c r="E124" s="978"/>
      <c r="F124" s="978"/>
      <c r="G124" s="978"/>
      <c r="H124" s="672"/>
      <c r="J124" s="674"/>
      <c r="K124" s="833"/>
      <c r="L124" s="674"/>
      <c r="M124" s="664"/>
    </row>
    <row r="125" spans="2:32" s="4" customFormat="1" ht="25" hidden="1" customHeight="1">
      <c r="B125" s="978"/>
      <c r="C125" s="978"/>
      <c r="D125" s="978"/>
      <c r="E125" s="978"/>
      <c r="F125" s="978"/>
      <c r="G125" s="978"/>
      <c r="H125" s="672"/>
      <c r="J125" s="674"/>
      <c r="K125" s="833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833"/>
      <c r="L126" s="674"/>
      <c r="M126" s="664"/>
    </row>
    <row r="127" spans="2:32" s="4" customFormat="1" ht="25" hidden="1" customHeight="1">
      <c r="B127" s="549" t="s">
        <v>579</v>
      </c>
      <c r="C127" s="6"/>
      <c r="D127" s="6"/>
      <c r="E127" s="6"/>
      <c r="F127" s="6"/>
      <c r="H127" s="672"/>
      <c r="J127" s="674"/>
      <c r="K127" s="833"/>
      <c r="L127" s="674"/>
      <c r="M127" s="664"/>
    </row>
    <row r="128" spans="2:32" s="4" customFormat="1" ht="25" hidden="1" customHeight="1">
      <c r="B128" s="980" t="s">
        <v>613</v>
      </c>
      <c r="C128" s="980"/>
      <c r="D128" s="980"/>
      <c r="E128" s="980"/>
      <c r="F128" s="980"/>
      <c r="G128" s="677"/>
      <c r="H128" s="678"/>
      <c r="J128" s="679"/>
      <c r="K128" s="834"/>
      <c r="L128" s="680"/>
      <c r="M128" s="664"/>
      <c r="S128" s="675"/>
      <c r="T128" s="675"/>
      <c r="U128" s="675"/>
      <c r="V128" s="675"/>
      <c r="W128" s="675"/>
      <c r="X128" s="675"/>
      <c r="Y128" s="675"/>
      <c r="Z128" s="675"/>
    </row>
    <row r="129" spans="2:32" s="4" customFormat="1" ht="25" hidden="1" customHeight="1">
      <c r="B129" s="550" t="s">
        <v>602</v>
      </c>
      <c r="C129" s="551"/>
      <c r="D129" s="551"/>
      <c r="E129" s="551"/>
      <c r="F129" s="133"/>
      <c r="G129" s="677"/>
      <c r="H129" s="678"/>
      <c r="I129" s="677"/>
      <c r="J129" s="679"/>
      <c r="K129" s="834"/>
      <c r="L129" s="680"/>
      <c r="M129" s="664"/>
      <c r="S129" s="675"/>
      <c r="T129" s="675"/>
      <c r="U129" s="675"/>
      <c r="V129" s="675"/>
      <c r="W129" s="681"/>
      <c r="X129" s="8"/>
      <c r="Y129" s="675"/>
      <c r="Z129" s="675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844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208</v>
      </c>
      <c r="C131" s="989" t="s">
        <v>580</v>
      </c>
      <c r="D131" s="989"/>
      <c r="E131" s="989" t="s">
        <v>581</v>
      </c>
      <c r="F131" s="989"/>
      <c r="G131" s="989" t="s">
        <v>285</v>
      </c>
      <c r="H131" s="989"/>
      <c r="I131" s="24"/>
      <c r="J131" s="24"/>
      <c r="K131" s="612" t="s">
        <v>92</v>
      </c>
      <c r="L131" s="722"/>
      <c r="M131" s="664"/>
    </row>
    <row r="132" spans="2:32" ht="25" hidden="1" customHeight="1">
      <c r="B132" s="826" t="s">
        <v>466</v>
      </c>
      <c r="C132" s="994" t="s">
        <v>533</v>
      </c>
      <c r="D132" s="994"/>
      <c r="E132" s="996" t="s">
        <v>601</v>
      </c>
      <c r="F132" s="996"/>
      <c r="G132" s="990">
        <v>15000</v>
      </c>
      <c r="H132" s="991"/>
      <c r="I132" s="749"/>
      <c r="J132" s="911">
        <v>2</v>
      </c>
      <c r="K132" s="854" t="str">
        <f>IF(J132=1,G132," ")</f>
        <v xml:space="preserve"> </v>
      </c>
      <c r="L132" s="722"/>
      <c r="M132" s="664"/>
    </row>
    <row r="133" spans="2:32" ht="25" hidden="1" customHeight="1">
      <c r="B133" s="137" t="s">
        <v>467</v>
      </c>
      <c r="C133" s="995" t="s">
        <v>582</v>
      </c>
      <c r="D133" s="995"/>
      <c r="E133" s="997" t="s">
        <v>583</v>
      </c>
      <c r="F133" s="997"/>
      <c r="G133" s="992">
        <v>24000</v>
      </c>
      <c r="H133" s="993"/>
      <c r="I133" s="753"/>
      <c r="J133" s="738"/>
      <c r="K133" s="855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222</v>
      </c>
      <c r="C134" s="870"/>
      <c r="D134" s="870"/>
      <c r="E134" s="870"/>
      <c r="F134" s="870"/>
      <c r="G134" s="870"/>
      <c r="H134" s="870"/>
      <c r="I134" s="910"/>
      <c r="J134" s="870"/>
      <c r="K134" s="872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840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853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834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78" t="s">
        <v>291</v>
      </c>
      <c r="C138" s="978"/>
      <c r="D138" s="978"/>
      <c r="E138" s="978"/>
      <c r="F138" s="978"/>
      <c r="G138" s="978"/>
      <c r="H138" s="672"/>
      <c r="J138" s="674"/>
      <c r="K138" s="833"/>
      <c r="M138" s="664"/>
    </row>
    <row r="139" spans="2:32" s="4" customFormat="1" ht="25" customHeight="1">
      <c r="B139" s="978"/>
      <c r="C139" s="978"/>
      <c r="D139" s="978"/>
      <c r="E139" s="978"/>
      <c r="F139" s="978"/>
      <c r="G139" s="978"/>
      <c r="H139" s="672"/>
      <c r="J139" s="674"/>
      <c r="K139" s="833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833"/>
      <c r="M140" s="664"/>
    </row>
    <row r="141" spans="2:32" s="4" customFormat="1" ht="25" customHeight="1">
      <c r="B141" s="980" t="s">
        <v>562</v>
      </c>
      <c r="C141" s="980"/>
      <c r="D141" s="980"/>
      <c r="E141" s="980"/>
      <c r="F141" s="980"/>
      <c r="G141" s="677"/>
      <c r="H141" s="678"/>
      <c r="J141" s="679"/>
      <c r="K141" s="834"/>
      <c r="L141" s="680"/>
      <c r="M141" s="664"/>
      <c r="S141" s="675"/>
      <c r="T141" s="675"/>
      <c r="U141" s="675"/>
      <c r="V141" s="675"/>
      <c r="W141" s="675"/>
      <c r="X141" s="675"/>
      <c r="Y141" s="675"/>
      <c r="Z141" s="675"/>
    </row>
    <row r="142" spans="2:32" s="4" customFormat="1" ht="25" customHeight="1">
      <c r="B142" s="1068"/>
      <c r="C142" s="1068"/>
      <c r="D142" s="1068"/>
      <c r="E142" s="1068"/>
      <c r="F142" s="1068"/>
      <c r="G142" s="677"/>
      <c r="H142" s="678"/>
      <c r="I142" s="677"/>
      <c r="J142" s="679"/>
      <c r="K142" s="834"/>
      <c r="L142" s="677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292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584</v>
      </c>
      <c r="M145" s="664"/>
    </row>
    <row r="146" spans="2:18" ht="25" customHeight="1">
      <c r="B146" s="470" t="s">
        <v>208</v>
      </c>
      <c r="C146" s="23" t="s">
        <v>585</v>
      </c>
      <c r="D146" s="23"/>
      <c r="E146" s="24" t="s">
        <v>275</v>
      </c>
      <c r="F146" s="24"/>
      <c r="G146" s="24"/>
      <c r="H146" s="24"/>
      <c r="I146" s="24"/>
      <c r="J146" s="23" t="s">
        <v>587</v>
      </c>
      <c r="K146" s="612" t="s">
        <v>268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295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295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586</v>
      </c>
      <c r="F151" s="37"/>
      <c r="G151" s="37"/>
      <c r="H151" s="37"/>
      <c r="I151" s="37"/>
      <c r="J151" s="770" t="s">
        <v>239</v>
      </c>
      <c r="K151" s="555" t="s">
        <v>588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297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589</v>
      </c>
      <c r="M158" s="664"/>
    </row>
    <row r="159" spans="2:18" ht="25" customHeight="1">
      <c r="B159" s="470" t="s">
        <v>208</v>
      </c>
      <c r="C159" s="23"/>
      <c r="D159" s="23"/>
      <c r="E159" s="24" t="s">
        <v>275</v>
      </c>
      <c r="F159" s="24"/>
      <c r="G159" s="24"/>
      <c r="H159" s="24"/>
      <c r="I159" s="24"/>
      <c r="J159" s="23" t="s">
        <v>587</v>
      </c>
      <c r="K159" s="612" t="s">
        <v>268</v>
      </c>
      <c r="M159" s="664"/>
      <c r="N159" s="742"/>
      <c r="O159" s="8"/>
    </row>
    <row r="160" spans="2:18" ht="25" customHeight="1">
      <c r="B160" s="134" t="s">
        <v>475</v>
      </c>
      <c r="C160" s="129"/>
      <c r="D160" s="30"/>
      <c r="E160" s="30" t="s">
        <v>123</v>
      </c>
      <c r="F160" s="30"/>
      <c r="G160" s="30"/>
      <c r="H160" s="30"/>
      <c r="I160" s="30"/>
      <c r="J160" s="770" t="s">
        <v>10</v>
      </c>
      <c r="K160" s="828">
        <f>SW_win.ser.201X_SEK</f>
        <v>78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476</v>
      </c>
      <c r="C161" s="130"/>
      <c r="D161" s="38"/>
      <c r="E161" s="38" t="s">
        <v>125</v>
      </c>
      <c r="F161" s="771"/>
      <c r="G161" s="771"/>
      <c r="H161" s="771"/>
      <c r="I161" s="771"/>
      <c r="J161" s="773" t="s">
        <v>10</v>
      </c>
      <c r="K161" s="829">
        <f>SW_win.ser.201X_SEK</f>
        <v>78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614</v>
      </c>
      <c r="C162" s="129"/>
      <c r="D162" s="30"/>
      <c r="E162" s="30" t="s">
        <v>615</v>
      </c>
      <c r="F162" s="30"/>
      <c r="G162" s="30"/>
      <c r="H162" s="30"/>
      <c r="I162" s="30"/>
      <c r="J162" s="770" t="s">
        <v>10</v>
      </c>
      <c r="K162" s="828">
        <f>SW_win.ser.201X_SEK</f>
        <v>78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477</v>
      </c>
      <c r="C163" s="130"/>
      <c r="D163" s="38"/>
      <c r="E163" s="38" t="s">
        <v>409</v>
      </c>
      <c r="F163" s="771"/>
      <c r="G163" s="771"/>
      <c r="H163" s="771"/>
      <c r="I163" s="771"/>
      <c r="J163" s="773" t="s">
        <v>10</v>
      </c>
      <c r="K163" s="829">
        <f>SW_ms.sql.ser_SEK</f>
        <v>1498</v>
      </c>
      <c r="M163" s="664"/>
      <c r="N163" s="742"/>
      <c r="O163" s="8"/>
    </row>
    <row r="164" spans="2:18" ht="25" customHeight="1">
      <c r="B164" s="134" t="s">
        <v>478</v>
      </c>
      <c r="C164" s="129"/>
      <c r="D164" s="30"/>
      <c r="E164" s="30" t="s">
        <v>131</v>
      </c>
      <c r="F164" s="30"/>
      <c r="G164" s="30"/>
      <c r="H164" s="30"/>
      <c r="I164" s="30"/>
      <c r="J164" s="770" t="s">
        <v>94</v>
      </c>
      <c r="K164" s="828" t="s">
        <v>588</v>
      </c>
      <c r="L164" s="740"/>
      <c r="M164" s="664"/>
      <c r="N164" s="742"/>
      <c r="O164" s="8"/>
      <c r="Q164" s="675"/>
      <c r="R164" s="675"/>
    </row>
    <row r="165" spans="2:18" s="4" customFormat="1" ht="25" customHeight="1">
      <c r="B165" s="137" t="s">
        <v>479</v>
      </c>
      <c r="C165" s="130"/>
      <c r="D165" s="38"/>
      <c r="E165" s="38" t="s">
        <v>133</v>
      </c>
      <c r="F165" s="771"/>
      <c r="G165" s="771"/>
      <c r="H165" s="771"/>
      <c r="I165" s="771"/>
      <c r="J165" s="773" t="s">
        <v>94</v>
      </c>
      <c r="K165" s="829" t="s">
        <v>588</v>
      </c>
      <c r="M165" s="664"/>
      <c r="N165" s="742"/>
      <c r="O165" s="8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590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591</v>
      </c>
      <c r="M170" s="664"/>
    </row>
    <row r="171" spans="2:18" ht="25" customHeight="1">
      <c r="B171" s="470" t="s">
        <v>208</v>
      </c>
      <c r="C171" s="23"/>
      <c r="D171" s="23"/>
      <c r="E171" s="24" t="s">
        <v>275</v>
      </c>
      <c r="F171" s="24"/>
      <c r="G171" s="24"/>
      <c r="H171" s="24"/>
      <c r="I171" s="24"/>
      <c r="J171" s="131"/>
      <c r="K171" s="612" t="s">
        <v>268</v>
      </c>
      <c r="M171" s="664"/>
      <c r="N171" s="742"/>
      <c r="O171" s="8"/>
    </row>
    <row r="172" spans="2:18" ht="25" customHeight="1">
      <c r="B172" s="134" t="s">
        <v>467</v>
      </c>
      <c r="C172" s="129"/>
      <c r="D172" s="30"/>
      <c r="E172" s="30" t="s">
        <v>406</v>
      </c>
      <c r="F172" s="30"/>
      <c r="G172" s="30"/>
      <c r="H172" s="30"/>
      <c r="I172" s="30"/>
      <c r="J172" s="40"/>
      <c r="K172" s="868" t="s">
        <v>588</v>
      </c>
      <c r="M172" s="664"/>
      <c r="N172" s="742"/>
      <c r="O172" s="8"/>
    </row>
    <row r="173" spans="2:18" ht="25" customHeight="1">
      <c r="B173" s="137" t="s">
        <v>480</v>
      </c>
      <c r="C173" s="130"/>
      <c r="D173" s="38"/>
      <c r="E173" s="38" t="s">
        <v>407</v>
      </c>
      <c r="F173" s="771"/>
      <c r="G173" s="771"/>
      <c r="H173" s="771"/>
      <c r="I173" s="771"/>
      <c r="J173" s="779"/>
      <c r="K173" s="867" t="s">
        <v>588</v>
      </c>
      <c r="M173" s="664"/>
      <c r="N173" s="742"/>
      <c r="O173" s="8"/>
    </row>
    <row r="174" spans="2:18" ht="25" customHeight="1">
      <c r="B174" s="134" t="s">
        <v>481</v>
      </c>
      <c r="C174" s="129"/>
      <c r="D174" s="30"/>
      <c r="E174" s="30" t="s">
        <v>408</v>
      </c>
      <c r="F174" s="30"/>
      <c r="G174" s="30"/>
      <c r="H174" s="30"/>
      <c r="I174" s="30"/>
      <c r="J174" s="40"/>
      <c r="K174" s="629" t="s">
        <v>588</v>
      </c>
      <c r="M174" s="664"/>
      <c r="N174" s="742"/>
      <c r="O174" s="8"/>
    </row>
    <row r="175" spans="2:18" ht="25" customHeight="1">
      <c r="B175" s="137" t="s">
        <v>482</v>
      </c>
      <c r="C175" s="130"/>
      <c r="D175" s="38"/>
      <c r="E175" s="38" t="s">
        <v>428</v>
      </c>
      <c r="F175" s="771"/>
      <c r="G175" s="771"/>
      <c r="H175" s="771"/>
      <c r="I175" s="771"/>
      <c r="J175" s="779"/>
      <c r="K175" s="867" t="s">
        <v>588</v>
      </c>
      <c r="M175" s="664"/>
      <c r="N175" s="742"/>
      <c r="O175" s="8"/>
    </row>
    <row r="176" spans="2:18" ht="25" customHeight="1">
      <c r="B176" s="134" t="s">
        <v>670</v>
      </c>
      <c r="C176" s="129"/>
      <c r="D176" s="30"/>
      <c r="E176" s="30" t="s">
        <v>669</v>
      </c>
      <c r="F176" s="30"/>
      <c r="G176" s="30"/>
      <c r="H176" s="30"/>
      <c r="I176" s="30"/>
      <c r="J176" s="40"/>
      <c r="K176" s="629">
        <v>5650</v>
      </c>
      <c r="M176" s="664"/>
      <c r="N176" s="742"/>
      <c r="O176" s="8"/>
    </row>
    <row r="177" spans="2:20" ht="25" customHeight="1">
      <c r="B177" s="137" t="s">
        <v>483</v>
      </c>
      <c r="C177" s="130"/>
      <c r="D177" s="38"/>
      <c r="E177" s="38" t="s">
        <v>147</v>
      </c>
      <c r="F177" s="771"/>
      <c r="G177" s="771"/>
      <c r="H177" s="771"/>
      <c r="I177" s="771"/>
      <c r="J177" s="779"/>
      <c r="K177" s="867" t="s">
        <v>588</v>
      </c>
      <c r="M177" s="664"/>
      <c r="N177" s="742"/>
      <c r="O177" s="8"/>
    </row>
    <row r="178" spans="2:20" ht="25" customHeight="1">
      <c r="B178" s="134" t="s">
        <v>484</v>
      </c>
      <c r="C178" s="129"/>
      <c r="D178" s="30"/>
      <c r="E178" s="30" t="s">
        <v>150</v>
      </c>
      <c r="F178" s="30"/>
      <c r="G178" s="30"/>
      <c r="H178" s="30"/>
      <c r="I178" s="30"/>
      <c r="J178" s="40"/>
      <c r="K178" s="629" t="s">
        <v>588</v>
      </c>
      <c r="M178" s="664"/>
      <c r="N178" s="742"/>
      <c r="O178" s="8"/>
    </row>
    <row r="179" spans="2:20" ht="25" customHeight="1">
      <c r="B179" s="137" t="s">
        <v>442</v>
      </c>
      <c r="C179" s="130"/>
      <c r="D179" s="38"/>
      <c r="E179" s="38" t="s">
        <v>144</v>
      </c>
      <c r="F179" s="771"/>
      <c r="G179" s="771"/>
      <c r="H179" s="771"/>
      <c r="I179" s="771"/>
      <c r="J179" s="779"/>
      <c r="K179" s="867" t="s">
        <v>588</v>
      </c>
      <c r="M179" s="664"/>
      <c r="N179" s="742"/>
      <c r="O179" s="8"/>
    </row>
    <row r="180" spans="2:20" ht="25" customHeight="1">
      <c r="B180" s="106"/>
      <c r="C180" s="103"/>
      <c r="D180" s="397"/>
      <c r="E180" s="105"/>
      <c r="F180" s="777"/>
      <c r="G180" s="777"/>
      <c r="H180" s="777"/>
      <c r="I180" s="777"/>
      <c r="J180" s="778"/>
      <c r="K180" s="857"/>
      <c r="M180" s="664"/>
      <c r="N180" s="742"/>
      <c r="O180" s="8"/>
    </row>
    <row r="181" spans="2:20" ht="25" customHeight="1">
      <c r="B181" s="137"/>
      <c r="C181" s="130"/>
      <c r="D181" s="38"/>
      <c r="E181" s="31"/>
      <c r="F181" s="771"/>
      <c r="G181" s="779"/>
      <c r="H181" s="773"/>
      <c r="I181" s="441"/>
      <c r="M181" s="664"/>
    </row>
    <row r="182" spans="2:20" ht="25" customHeight="1">
      <c r="B182" s="417"/>
      <c r="C182" s="26"/>
      <c r="D182" s="26"/>
      <c r="E182" s="26"/>
      <c r="F182" s="760"/>
      <c r="G182" s="761"/>
      <c r="H182" s="26"/>
      <c r="I182" s="740"/>
      <c r="J182" s="740"/>
      <c r="K182" s="846"/>
      <c r="L182" s="742"/>
      <c r="M182" s="664"/>
      <c r="N182" s="675"/>
      <c r="O182" s="675"/>
    </row>
    <row r="183" spans="2:20" s="4" customFormat="1" ht="25" customHeight="1">
      <c r="B183" s="978" t="s">
        <v>299</v>
      </c>
      <c r="C183" s="978"/>
      <c r="D183" s="978"/>
      <c r="E183" s="978"/>
      <c r="F183" s="978"/>
      <c r="G183" s="978"/>
      <c r="H183" s="780"/>
      <c r="J183" s="674"/>
      <c r="K183" s="833"/>
      <c r="M183" s="664"/>
    </row>
    <row r="184" spans="2:20" s="4" customFormat="1" ht="25" customHeight="1">
      <c r="B184" s="978"/>
      <c r="C184" s="978"/>
      <c r="D184" s="978"/>
      <c r="E184" s="978"/>
      <c r="F184" s="978"/>
      <c r="G184" s="978"/>
      <c r="H184" s="780"/>
      <c r="J184" s="674"/>
      <c r="K184" s="833"/>
      <c r="M184" s="664"/>
    </row>
    <row r="185" spans="2:20" s="4" customFormat="1" ht="25" customHeight="1">
      <c r="B185" s="978"/>
      <c r="C185" s="978"/>
      <c r="D185" s="978"/>
      <c r="E185" s="978"/>
      <c r="F185" s="978"/>
      <c r="G185" s="978"/>
      <c r="H185" s="780"/>
      <c r="J185" s="674"/>
      <c r="K185" s="833"/>
      <c r="M185" s="664"/>
    </row>
    <row r="186" spans="2:20" s="4" customFormat="1" ht="25" customHeight="1">
      <c r="B186" s="979" t="s">
        <v>592</v>
      </c>
      <c r="C186" s="979"/>
      <c r="D186" s="979"/>
      <c r="E186" s="979"/>
      <c r="F186" s="979"/>
      <c r="H186" s="780"/>
      <c r="J186" s="674"/>
      <c r="K186" s="833"/>
      <c r="M186" s="664"/>
    </row>
    <row r="187" spans="2:20" s="4" customFormat="1" ht="25" customHeight="1">
      <c r="B187" s="980" t="s">
        <v>412</v>
      </c>
      <c r="C187" s="980"/>
      <c r="D187" s="980"/>
      <c r="E187" s="980"/>
      <c r="F187" s="980"/>
      <c r="G187" s="677"/>
      <c r="H187" s="678"/>
      <c r="I187" s="677"/>
      <c r="J187" s="679"/>
      <c r="K187" s="834"/>
      <c r="L187" s="677"/>
      <c r="M187" s="664"/>
    </row>
    <row r="188" spans="2:20" s="4" customFormat="1" ht="25" customHeight="1">
      <c r="B188" s="465"/>
      <c r="C188" s="133"/>
      <c r="D188" s="133"/>
      <c r="E188" s="133"/>
      <c r="F188" s="133"/>
      <c r="G188" s="677"/>
      <c r="H188" s="678"/>
      <c r="I188" s="677"/>
      <c r="J188" s="679"/>
      <c r="K188" s="834"/>
      <c r="L188" s="677"/>
      <c r="M188" s="664"/>
    </row>
    <row r="189" spans="2:20" ht="25" customHeight="1">
      <c r="B189" s="649" t="s">
        <v>152</v>
      </c>
      <c r="C189" s="13"/>
      <c r="D189" s="13"/>
      <c r="F189" s="13"/>
      <c r="G189" s="13"/>
      <c r="H189" s="13"/>
      <c r="I189" s="13"/>
      <c r="J189" s="13"/>
      <c r="K189" s="858"/>
      <c r="L189" s="13"/>
      <c r="M189" s="664"/>
      <c r="O189" s="742"/>
      <c r="P189" s="742"/>
      <c r="Q189" s="8"/>
      <c r="S189" s="675"/>
      <c r="T189" s="675"/>
    </row>
    <row r="190" spans="2:20" ht="25" customHeight="1">
      <c r="B190" s="628" t="s">
        <v>593</v>
      </c>
      <c r="M190" s="664"/>
    </row>
    <row r="191" spans="2:20" ht="25" customHeight="1">
      <c r="B191" s="470" t="s">
        <v>208</v>
      </c>
      <c r="C191" s="23"/>
      <c r="D191" s="24" t="s">
        <v>275</v>
      </c>
      <c r="E191" s="132"/>
      <c r="F191" s="24"/>
      <c r="G191" s="131"/>
      <c r="H191" s="131"/>
      <c r="I191" s="23" t="s">
        <v>587</v>
      </c>
      <c r="J191" s="23"/>
      <c r="K191" s="612" t="s">
        <v>92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485</v>
      </c>
      <c r="C192" s="129"/>
      <c r="D192" s="30" t="s">
        <v>413</v>
      </c>
      <c r="E192" s="40"/>
      <c r="F192" s="30"/>
      <c r="G192" s="40"/>
      <c r="H192" s="40"/>
      <c r="I192" s="775" t="s">
        <v>94</v>
      </c>
      <c r="J192" s="775"/>
      <c r="K192" s="555">
        <v>0</v>
      </c>
      <c r="L192" s="740"/>
      <c r="M192" s="664"/>
      <c r="N192" s="742"/>
      <c r="O192" s="8"/>
      <c r="Q192" s="675"/>
      <c r="R192" s="675"/>
    </row>
    <row r="193" spans="2:18" ht="25" customHeight="1">
      <c r="B193" s="137" t="s">
        <v>486</v>
      </c>
      <c r="C193" s="130"/>
      <c r="D193" s="38" t="s">
        <v>156</v>
      </c>
      <c r="E193" s="31"/>
      <c r="F193" s="771"/>
      <c r="G193" s="779"/>
      <c r="H193" s="779"/>
      <c r="I193" s="773" t="s">
        <v>244</v>
      </c>
      <c r="J193" s="773"/>
      <c r="K193" s="554" t="s">
        <v>594</v>
      </c>
      <c r="L193" s="740"/>
      <c r="M193" s="664"/>
      <c r="N193" s="742"/>
      <c r="O193" s="8"/>
      <c r="Q193" s="675"/>
      <c r="R193" s="675"/>
    </row>
    <row r="194" spans="2:18" ht="25" customHeight="1">
      <c r="B194" s="134" t="s">
        <v>487</v>
      </c>
      <c r="C194" s="129"/>
      <c r="D194" s="30" t="s">
        <v>160</v>
      </c>
      <c r="E194" s="129"/>
      <c r="F194" s="129"/>
      <c r="G194" s="129"/>
      <c r="H194" s="40"/>
      <c r="I194" s="770" t="s">
        <v>246</v>
      </c>
      <c r="J194" s="770"/>
      <c r="K194" s="555" t="s">
        <v>588</v>
      </c>
      <c r="L194" s="740"/>
      <c r="M194" s="664"/>
      <c r="N194" s="742"/>
      <c r="O194" s="8"/>
      <c r="Q194" s="675"/>
      <c r="R194" s="675"/>
    </row>
    <row r="195" spans="2:18" ht="25" customHeight="1">
      <c r="B195" s="106"/>
      <c r="C195" s="103"/>
      <c r="D195" s="103"/>
      <c r="E195" s="105"/>
      <c r="F195" s="777"/>
      <c r="G195" s="778"/>
      <c r="H195" s="778"/>
      <c r="I195" s="781"/>
      <c r="J195" s="781"/>
      <c r="K195" s="857"/>
      <c r="L195" s="740"/>
      <c r="M195" s="664"/>
      <c r="N195" s="742"/>
      <c r="O195" s="8"/>
      <c r="Q195" s="675"/>
      <c r="R195" s="675"/>
    </row>
    <row r="196" spans="2:18" ht="25" customHeight="1">
      <c r="B196" s="137"/>
      <c r="C196" s="130"/>
      <c r="D196" s="38"/>
      <c r="E196" s="31"/>
      <c r="F196" s="771"/>
      <c r="G196" s="779"/>
      <c r="H196" s="779"/>
      <c r="I196" s="773"/>
      <c r="J196" s="773"/>
      <c r="K196" s="554"/>
      <c r="L196" s="740"/>
      <c r="M196" s="664"/>
      <c r="N196" s="742"/>
      <c r="O196" s="8"/>
      <c r="Q196" s="675"/>
      <c r="R196" s="675"/>
    </row>
    <row r="197" spans="2:18" s="651" customFormat="1" ht="25" customHeight="1">
      <c r="B197" s="649" t="s">
        <v>595</v>
      </c>
      <c r="C197" s="878"/>
      <c r="D197" s="878"/>
      <c r="F197" s="878"/>
      <c r="G197" s="878"/>
      <c r="H197" s="878"/>
      <c r="I197" s="879"/>
      <c r="J197" s="879"/>
      <c r="K197" s="704"/>
      <c r="L197" s="880"/>
      <c r="M197" s="664"/>
      <c r="N197" s="881"/>
      <c r="O197" s="882"/>
      <c r="Q197" s="882"/>
      <c r="R197" s="882"/>
    </row>
    <row r="198" spans="2:18" ht="25" customHeight="1">
      <c r="B198" s="628" t="s">
        <v>596</v>
      </c>
      <c r="M198" s="664"/>
    </row>
    <row r="199" spans="2:18" ht="25" customHeight="1">
      <c r="B199" s="470" t="s">
        <v>208</v>
      </c>
      <c r="C199" s="23"/>
      <c r="D199" s="24" t="s">
        <v>275</v>
      </c>
      <c r="E199" s="132"/>
      <c r="F199" s="24"/>
      <c r="G199" s="131"/>
      <c r="H199" s="131"/>
      <c r="I199" s="23" t="s">
        <v>587</v>
      </c>
      <c r="J199" s="23"/>
      <c r="K199" s="612" t="s">
        <v>92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488</v>
      </c>
      <c r="C200" s="129"/>
      <c r="D200" s="30" t="s">
        <v>166</v>
      </c>
      <c r="E200" s="40"/>
      <c r="F200" s="30"/>
      <c r="G200" s="40"/>
      <c r="H200" s="40"/>
      <c r="I200" s="770" t="s">
        <v>246</v>
      </c>
      <c r="J200" s="770"/>
      <c r="K200" s="629">
        <f>PS_consult.jun_SEK</f>
        <v>1127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489</v>
      </c>
      <c r="C201" s="130"/>
      <c r="D201" s="38" t="s">
        <v>168</v>
      </c>
      <c r="E201" s="31"/>
      <c r="F201" s="771"/>
      <c r="G201" s="779"/>
      <c r="H201" s="779"/>
      <c r="I201" s="773" t="s">
        <v>246</v>
      </c>
      <c r="J201" s="773"/>
      <c r="K201" s="867">
        <f>PS_consult.sen_SEK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490</v>
      </c>
      <c r="C202" s="129"/>
      <c r="D202" s="30" t="s">
        <v>170</v>
      </c>
      <c r="E202" s="40"/>
      <c r="F202" s="30"/>
      <c r="G202" s="40"/>
      <c r="H202" s="40"/>
      <c r="I202" s="770" t="s">
        <v>246</v>
      </c>
      <c r="J202" s="770"/>
      <c r="K202" s="629">
        <f>PS_cloudarch.jun_SEK</f>
        <v>1277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491</v>
      </c>
      <c r="C203" s="130"/>
      <c r="D203" s="38" t="s">
        <v>172</v>
      </c>
      <c r="E203" s="38"/>
      <c r="F203" s="38"/>
      <c r="G203" s="779"/>
      <c r="H203" s="779"/>
      <c r="I203" s="773" t="s">
        <v>246</v>
      </c>
      <c r="J203" s="773"/>
      <c r="K203" s="867">
        <f>PS_cloudarch.sen_SEK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34" t="s">
        <v>492</v>
      </c>
      <c r="C204" s="129"/>
      <c r="D204" s="30" t="s">
        <v>174</v>
      </c>
      <c r="E204" s="40"/>
      <c r="F204" s="30"/>
      <c r="G204" s="40"/>
      <c r="H204" s="40"/>
      <c r="I204" s="770" t="s">
        <v>246</v>
      </c>
      <c r="J204" s="770"/>
      <c r="K204" s="629">
        <f>PS_pm.jun_SEK</f>
        <v>1139</v>
      </c>
      <c r="L204" s="740"/>
      <c r="M204" s="664"/>
      <c r="N204" s="742"/>
      <c r="O204" s="8"/>
      <c r="Q204" s="675"/>
      <c r="R204" s="675"/>
    </row>
    <row r="205" spans="2:18" ht="25" customHeight="1">
      <c r="B205" s="137" t="s">
        <v>493</v>
      </c>
      <c r="C205" s="130"/>
      <c r="D205" s="38" t="s">
        <v>176</v>
      </c>
      <c r="E205" s="31"/>
      <c r="F205" s="771"/>
      <c r="G205" s="779"/>
      <c r="H205" s="779"/>
      <c r="I205" s="773" t="s">
        <v>246</v>
      </c>
      <c r="J205" s="773"/>
      <c r="K205" s="867">
        <f>PS_pm.sen_SEK</f>
        <v>1374</v>
      </c>
      <c r="L205" s="740"/>
      <c r="M205" s="664"/>
      <c r="N205" s="742"/>
      <c r="O205" s="8"/>
      <c r="Q205" s="675"/>
      <c r="R205" s="675"/>
    </row>
    <row r="206" spans="2:18" ht="25" customHeight="1">
      <c r="B206" s="106"/>
      <c r="C206" s="103"/>
      <c r="D206" s="397"/>
      <c r="E206" s="105"/>
      <c r="F206" s="777"/>
      <c r="G206" s="778"/>
      <c r="H206" s="778"/>
      <c r="I206" s="781"/>
      <c r="J206" s="781"/>
      <c r="K206" s="857"/>
      <c r="L206" s="740"/>
      <c r="M206" s="664"/>
      <c r="N206" s="742"/>
      <c r="O206" s="8"/>
      <c r="Q206" s="675"/>
      <c r="R206" s="675"/>
    </row>
    <row r="207" spans="2:18" ht="25" customHeight="1">
      <c r="B207" s="137"/>
      <c r="C207" s="130"/>
      <c r="D207" s="38"/>
      <c r="E207" s="31"/>
      <c r="F207" s="771"/>
      <c r="G207" s="779"/>
      <c r="H207" s="779"/>
      <c r="I207" s="773"/>
      <c r="J207" s="773"/>
      <c r="K207" s="554"/>
      <c r="M207" s="664"/>
      <c r="N207" s="742"/>
      <c r="O207" s="8"/>
    </row>
    <row r="208" spans="2:18" ht="25" customHeight="1">
      <c r="B208" s="649" t="s">
        <v>250</v>
      </c>
      <c r="C208" s="13"/>
      <c r="D208" s="13"/>
      <c r="F208" s="13"/>
      <c r="G208" s="13"/>
      <c r="H208" s="13"/>
      <c r="I208" s="776"/>
      <c r="J208" s="776"/>
      <c r="L208" s="740"/>
      <c r="M208" s="664"/>
      <c r="N208" s="742"/>
      <c r="O208" s="8"/>
      <c r="Q208" s="675"/>
      <c r="R208" s="675"/>
    </row>
    <row r="209" spans="1:18" ht="25" customHeight="1">
      <c r="B209" s="628" t="s">
        <v>597</v>
      </c>
      <c r="M209" s="664"/>
    </row>
    <row r="210" spans="1:18" ht="25" customHeight="1">
      <c r="B210" s="470" t="s">
        <v>208</v>
      </c>
      <c r="C210" s="23"/>
      <c r="D210" s="24" t="s">
        <v>275</v>
      </c>
      <c r="E210" s="132"/>
      <c r="F210" s="24"/>
      <c r="G210" s="23" t="s">
        <v>251</v>
      </c>
      <c r="H210" s="23"/>
      <c r="I210" s="23" t="s">
        <v>587</v>
      </c>
      <c r="J210" s="23"/>
      <c r="K210" s="612" t="s">
        <v>92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632</v>
      </c>
      <c r="C211" s="129"/>
      <c r="D211" s="30" t="s">
        <v>252</v>
      </c>
      <c r="E211" s="40"/>
      <c r="F211" s="30"/>
      <c r="G211" s="770" t="s">
        <v>253</v>
      </c>
      <c r="H211" s="770"/>
      <c r="I211" s="770" t="s">
        <v>307</v>
      </c>
      <c r="J211" s="770"/>
      <c r="K211" s="555" t="s">
        <v>588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633</v>
      </c>
      <c r="C212" s="130"/>
      <c r="D212" s="38" t="s">
        <v>255</v>
      </c>
      <c r="E212" s="31"/>
      <c r="F212" s="771"/>
      <c r="G212" s="773" t="s">
        <v>253</v>
      </c>
      <c r="H212" s="773"/>
      <c r="I212" s="773" t="s">
        <v>307</v>
      </c>
      <c r="J212" s="773"/>
      <c r="K212" s="554" t="s">
        <v>588</v>
      </c>
      <c r="L212" s="740"/>
      <c r="M212" s="664"/>
      <c r="N212" s="742"/>
      <c r="O212" s="8"/>
      <c r="Q212" s="675"/>
      <c r="R212" s="675"/>
    </row>
    <row r="213" spans="1:18" ht="25" customHeight="1">
      <c r="B213" s="134" t="s">
        <v>634</v>
      </c>
      <c r="C213" s="129"/>
      <c r="D213" s="30" t="s">
        <v>256</v>
      </c>
      <c r="E213" s="40"/>
      <c r="F213" s="30"/>
      <c r="G213" s="770" t="s">
        <v>598</v>
      </c>
      <c r="H213" s="770"/>
      <c r="I213" s="770" t="s">
        <v>307</v>
      </c>
      <c r="J213" s="770"/>
      <c r="K213" s="555" t="s">
        <v>588</v>
      </c>
      <c r="L213" s="740"/>
      <c r="M213" s="664"/>
      <c r="N213" s="742"/>
      <c r="O213" s="8"/>
      <c r="Q213" s="675"/>
      <c r="R213" s="675"/>
    </row>
    <row r="214" spans="1:18" ht="25" customHeight="1">
      <c r="B214" s="137" t="s">
        <v>635</v>
      </c>
      <c r="C214" s="130"/>
      <c r="D214" s="38" t="s">
        <v>258</v>
      </c>
      <c r="E214" s="31"/>
      <c r="F214" s="771"/>
      <c r="G214" s="773" t="s">
        <v>598</v>
      </c>
      <c r="H214" s="773"/>
      <c r="I214" s="773" t="s">
        <v>307</v>
      </c>
      <c r="J214" s="773"/>
      <c r="K214" s="554" t="s">
        <v>588</v>
      </c>
      <c r="L214" s="740"/>
      <c r="M214" s="664"/>
      <c r="N214" s="742"/>
      <c r="O214" s="8"/>
      <c r="Q214" s="675"/>
      <c r="R214" s="675"/>
    </row>
    <row r="215" spans="1:18" ht="25" customHeight="1">
      <c r="B215" s="106"/>
      <c r="C215" s="103"/>
      <c r="D215" s="397"/>
      <c r="E215" s="105"/>
      <c r="F215" s="777"/>
      <c r="G215" s="778"/>
      <c r="H215" s="778"/>
      <c r="I215" s="778"/>
      <c r="J215" s="778"/>
      <c r="K215" s="857"/>
      <c r="L215" s="740"/>
      <c r="M215" s="664"/>
      <c r="N215" s="742"/>
      <c r="O215" s="8"/>
      <c r="Q215" s="675"/>
      <c r="R215" s="675"/>
    </row>
    <row r="216" spans="1:18" ht="25" customHeight="1">
      <c r="B216" s="417"/>
      <c r="C216" s="26"/>
      <c r="D216" s="26"/>
      <c r="E216" s="26"/>
      <c r="F216" s="760"/>
      <c r="G216" s="761"/>
      <c r="H216" s="740"/>
      <c r="I216" s="740"/>
      <c r="J216" s="740"/>
      <c r="K216" s="847"/>
      <c r="L216" s="742"/>
      <c r="M216" s="664"/>
      <c r="N216" s="675"/>
      <c r="O216" s="675"/>
    </row>
    <row r="217" spans="1:18" ht="25" customHeight="1">
      <c r="A217" s="769"/>
      <c r="B217" s="640"/>
      <c r="C217" s="60"/>
      <c r="D217" s="60"/>
      <c r="E217" s="60"/>
      <c r="F217" s="782"/>
      <c r="G217" s="783"/>
      <c r="H217" s="784"/>
      <c r="I217" s="785"/>
      <c r="J217" s="786"/>
      <c r="K217" s="859"/>
      <c r="L217" s="787"/>
      <c r="M217" s="664"/>
      <c r="N217" s="675"/>
      <c r="O217" s="675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641"/>
      <c r="C220" s="54"/>
      <c r="D220" s="54"/>
      <c r="E220" s="54"/>
      <c r="F220" s="788"/>
      <c r="G220" s="789"/>
      <c r="H220" s="790"/>
      <c r="I220" s="791"/>
      <c r="J220" s="792"/>
      <c r="K220" s="860"/>
      <c r="L220" s="3"/>
      <c r="M220" s="664"/>
    </row>
    <row r="221" spans="1:18" s="4" customFormat="1" ht="25" customHeight="1">
      <c r="A221" s="3"/>
      <c r="B221" s="976" t="s">
        <v>312</v>
      </c>
      <c r="C221" s="976"/>
      <c r="D221" s="976"/>
      <c r="E221" s="976"/>
      <c r="F221" s="976"/>
      <c r="G221" s="976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6"/>
      <c r="C222" s="976"/>
      <c r="D222" s="976"/>
      <c r="E222" s="976"/>
      <c r="F222" s="976"/>
      <c r="G222" s="976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6"/>
      <c r="C223" s="976"/>
      <c r="D223" s="976"/>
      <c r="E223" s="976"/>
      <c r="F223" s="976"/>
      <c r="G223" s="976"/>
      <c r="H223" s="666"/>
      <c r="I223" s="793"/>
      <c r="J223" s="3"/>
      <c r="K223" s="831"/>
      <c r="L223" s="3"/>
      <c r="M223" s="664"/>
    </row>
    <row r="224" spans="1:18" s="4" customFormat="1" ht="25" customHeight="1">
      <c r="A224" s="3"/>
      <c r="B224" s="977" t="s">
        <v>562</v>
      </c>
      <c r="C224" s="977"/>
      <c r="D224" s="977"/>
      <c r="E224" s="977"/>
      <c r="F224" s="977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634"/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22" t="s">
        <v>599</v>
      </c>
      <c r="C226" s="62"/>
      <c r="D226" s="62"/>
      <c r="E226" s="62"/>
      <c r="F226" s="62"/>
      <c r="G226" s="3"/>
      <c r="H226" s="666"/>
      <c r="I226" s="793"/>
      <c r="J226" s="3"/>
      <c r="K226" s="831"/>
      <c r="L226" s="794"/>
      <c r="M226" s="664"/>
    </row>
    <row r="227" spans="1:20" s="4" customFormat="1" ht="25" customHeight="1">
      <c r="A227" s="3"/>
      <c r="B227" s="418" t="s">
        <v>433</v>
      </c>
      <c r="C227" s="62"/>
      <c r="D227" s="62"/>
      <c r="E227" s="62"/>
      <c r="F227" s="62"/>
      <c r="G227" s="3"/>
      <c r="H227" s="666"/>
      <c r="I227" s="3"/>
      <c r="J227" s="667"/>
      <c r="K227" s="831"/>
      <c r="L227" s="794"/>
      <c r="M227" s="664"/>
    </row>
    <row r="228" spans="1:20" s="4" customFormat="1" ht="25" customHeight="1">
      <c r="A228" s="3"/>
      <c r="B228" s="913" t="s">
        <v>627</v>
      </c>
      <c r="C228" s="67"/>
      <c r="D228" s="67"/>
      <c r="E228" s="67"/>
      <c r="F228" s="67"/>
      <c r="G228" s="794"/>
      <c r="H228" s="795"/>
      <c r="I228" s="794"/>
      <c r="J228" s="796"/>
      <c r="K228" s="861"/>
      <c r="L228" s="794"/>
      <c r="M228" s="664"/>
    </row>
    <row r="229" spans="1:20" s="715" customFormat="1" ht="25" customHeight="1">
      <c r="A229" s="797"/>
      <c r="B229" s="883"/>
      <c r="C229" s="135"/>
      <c r="D229" s="135"/>
      <c r="E229" s="135"/>
      <c r="F229" s="135"/>
      <c r="G229" s="794"/>
      <c r="H229" s="795"/>
      <c r="I229" s="794"/>
      <c r="J229" s="796"/>
      <c r="K229" s="861"/>
      <c r="L229" s="797"/>
      <c r="M229" s="664"/>
      <c r="N229" s="798"/>
      <c r="O229" s="729"/>
      <c r="P229" s="729"/>
      <c r="Q229" s="729"/>
      <c r="R229" s="729"/>
      <c r="S229" s="729"/>
      <c r="T229" s="729"/>
    </row>
    <row r="230" spans="1:20" ht="25" customHeight="1">
      <c r="A230" s="2"/>
      <c r="B230" s="642" t="s">
        <v>495</v>
      </c>
      <c r="C230" s="56"/>
      <c r="D230" s="57"/>
      <c r="E230" s="56"/>
      <c r="F230" s="659"/>
      <c r="G230" s="659"/>
      <c r="H230" s="659"/>
      <c r="I230" s="56"/>
      <c r="J230" s="659" t="s">
        <v>312</v>
      </c>
      <c r="K230" s="862"/>
      <c r="L230" s="799"/>
      <c r="M230" s="664"/>
      <c r="N230" s="28"/>
    </row>
    <row r="231" spans="1:20" ht="25" customHeight="1">
      <c r="A231" s="2"/>
      <c r="B231" s="827" t="s">
        <v>4</v>
      </c>
      <c r="C231" s="656" t="str" cm="1">
        <f t="array" ref="C231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31" s="71"/>
      <c r="E231" s="656"/>
      <c r="F231" s="656"/>
      <c r="G231" s="657"/>
      <c r="H231" s="800"/>
      <c r="I231" s="801"/>
      <c r="J231" s="660">
        <f>K65+K74+K56+K39+K83</f>
        <v>0</v>
      </c>
      <c r="K231" s="828"/>
      <c r="L231" s="2"/>
      <c r="M231" s="664"/>
      <c r="N231" s="28"/>
    </row>
    <row r="232" spans="1:20" ht="25" customHeight="1">
      <c r="A232" s="2"/>
      <c r="B232" s="491" t="s">
        <v>72</v>
      </c>
      <c r="C232" s="610" t="str">
        <f>K95&amp;" TB - S3"&amp;"     /     "&amp;K94&amp;" TB - Archive"</f>
        <v>0 TB - S3     /     0 TB - Archive</v>
      </c>
      <c r="D232" s="658"/>
      <c r="E232" s="658"/>
      <c r="F232" s="802"/>
      <c r="G232" s="803"/>
      <c r="H232" s="803"/>
      <c r="I232" s="804"/>
      <c r="J232" s="661">
        <f>K96</f>
        <v>0</v>
      </c>
      <c r="K232" s="828"/>
      <c r="L232" s="2"/>
      <c r="M232" s="664"/>
      <c r="N232" s="28"/>
    </row>
    <row r="233" spans="1:20" ht="25" customHeight="1">
      <c r="A233" s="2"/>
      <c r="B233" s="491" t="s">
        <v>86</v>
      </c>
      <c r="C233" s="136"/>
      <c r="D233" s="72"/>
      <c r="E233" s="73"/>
      <c r="F233" s="802"/>
      <c r="G233" s="803"/>
      <c r="H233" s="803"/>
      <c r="I233" s="804"/>
      <c r="J233" s="661">
        <f>K120</f>
        <v>0</v>
      </c>
      <c r="K233" s="828"/>
      <c r="L233" s="2"/>
      <c r="M233" s="664"/>
      <c r="N233" s="28"/>
    </row>
    <row r="234" spans="1:20" s="808" customFormat="1" ht="25" customHeight="1">
      <c r="A234" s="806"/>
      <c r="B234" s="918" t="s">
        <v>222</v>
      </c>
      <c r="C234" s="662"/>
      <c r="D234" s="662"/>
      <c r="E234" s="662"/>
      <c r="F234" s="662"/>
      <c r="G234" s="662"/>
      <c r="H234" s="662"/>
      <c r="I234" s="662"/>
      <c r="J234" s="662">
        <f>SUM(J231:J233)</f>
        <v>0</v>
      </c>
      <c r="K234" s="863"/>
      <c r="L234" s="806"/>
      <c r="M234" s="664"/>
    </row>
    <row r="235" spans="1:20" ht="25" customHeight="1">
      <c r="A235" s="2"/>
      <c r="B235" s="421"/>
      <c r="C235" s="59"/>
      <c r="D235" s="59"/>
      <c r="E235" s="59"/>
      <c r="F235" s="809"/>
      <c r="G235" s="810"/>
      <c r="H235" s="810"/>
      <c r="I235" s="811"/>
      <c r="J235" s="811"/>
      <c r="K235" s="864"/>
      <c r="L235" s="2"/>
      <c r="M235" s="664"/>
    </row>
    <row r="236" spans="1:20" ht="25" customHeight="1">
      <c r="A236" s="2"/>
      <c r="B236" s="643"/>
      <c r="C236" s="30"/>
      <c r="D236" s="36"/>
      <c r="E236" s="37"/>
      <c r="F236" s="40"/>
      <c r="G236" s="442"/>
      <c r="H236" s="30"/>
      <c r="I236" s="774"/>
      <c r="J236" s="734"/>
      <c r="K236" s="828"/>
      <c r="L236" s="2"/>
      <c r="M236" s="664"/>
    </row>
    <row r="237" spans="1:20" ht="25" customHeight="1">
      <c r="A237" s="812"/>
      <c r="B237" s="644"/>
      <c r="C237" s="42"/>
      <c r="D237" s="33"/>
      <c r="E237" s="34"/>
      <c r="F237" s="813"/>
      <c r="G237" s="805"/>
      <c r="H237" s="42"/>
      <c r="I237" s="814"/>
      <c r="J237" s="437"/>
      <c r="K237" s="594"/>
      <c r="L237" s="815"/>
      <c r="M237" s="664"/>
    </row>
    <row r="238" spans="1:20" s="112" customFormat="1" ht="25" customHeight="1">
      <c r="B238" s="645"/>
      <c r="C238" s="108"/>
      <c r="D238" s="109"/>
      <c r="E238" s="110"/>
      <c r="F238" s="816"/>
      <c r="G238" s="817"/>
      <c r="H238" s="108"/>
      <c r="I238" s="818"/>
      <c r="J238" s="819"/>
      <c r="K238" s="865"/>
    </row>
    <row r="239" spans="1:20" s="112" customFormat="1" ht="25" customHeight="1">
      <c r="B239" s="914" t="s">
        <v>575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576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5" t="s">
        <v>577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4" t="s">
        <v>578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916" t="s">
        <v>621</v>
      </c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823" customFormat="1" ht="25" customHeight="1">
      <c r="A248" s="112"/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5"/>
      <c r="C267" s="108"/>
      <c r="D267" s="108"/>
      <c r="E267" s="108"/>
      <c r="F267" s="820"/>
      <c r="G267" s="821"/>
      <c r="H267" s="822"/>
      <c r="I267" s="822"/>
      <c r="J267" s="822"/>
      <c r="K267" s="866"/>
      <c r="L267" s="819"/>
      <c r="M267" s="819"/>
      <c r="N267" s="819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18" spans="2:13" s="112" customFormat="1" ht="25" customHeight="1">
      <c r="B318" s="646"/>
      <c r="K318" s="866"/>
      <c r="M318" s="824"/>
    </row>
    <row r="330" spans="2:4" ht="25" customHeight="1">
      <c r="B330" s="647"/>
      <c r="C330" s="38"/>
      <c r="D330" s="96"/>
    </row>
  </sheetData>
  <sheetProtection algorithmName="SHA-512" hashValue="YbKR30pIzMEUc1X0uTCtCJeKoCHw1I9+qyQK8jMhQwmZ7ZldqSt6SPiUQr8NjlWheXdWgDhqORU3E/ioNd8gdw==" saltValue="qYwT2YgqaiBkBz44zFWUOw==" spinCount="100000" sheet="1" selectLockedCells="1"/>
  <mergeCells count="47">
    <mergeCell ref="D101:E101"/>
    <mergeCell ref="F101:G101"/>
    <mergeCell ref="H101:I101"/>
    <mergeCell ref="B4:C4"/>
    <mergeCell ref="B15:G17"/>
    <mergeCell ref="B19:F19"/>
    <mergeCell ref="B59:E59"/>
    <mergeCell ref="B69:E69"/>
    <mergeCell ref="B86:G88"/>
    <mergeCell ref="D99:E99"/>
    <mergeCell ref="F99:G99"/>
    <mergeCell ref="H99:I99"/>
    <mergeCell ref="B24:E24"/>
    <mergeCell ref="B44:E44"/>
    <mergeCell ref="D102:E102"/>
    <mergeCell ref="F102:G102"/>
    <mergeCell ref="H102:I102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B109:G111"/>
    <mergeCell ref="B124:G126"/>
    <mergeCell ref="C131:D131"/>
    <mergeCell ref="E131:F131"/>
    <mergeCell ref="G131:H131"/>
    <mergeCell ref="B186:F186"/>
    <mergeCell ref="B187:F187"/>
    <mergeCell ref="B221:G223"/>
    <mergeCell ref="B224:F224"/>
    <mergeCell ref="B113:F113"/>
    <mergeCell ref="B128:F128"/>
    <mergeCell ref="B141:F141"/>
    <mergeCell ref="C133:D133"/>
    <mergeCell ref="E133:F133"/>
    <mergeCell ref="G133:H133"/>
    <mergeCell ref="B138:G140"/>
    <mergeCell ref="B142:F142"/>
    <mergeCell ref="B183:G185"/>
    <mergeCell ref="C132:D132"/>
    <mergeCell ref="E132:F132"/>
    <mergeCell ref="G132:H132"/>
  </mergeCells>
  <phoneticPr fontId="2" type="noConversion"/>
  <conditionalFormatting sqref="I26:I38 I46:I55 I61:I64 I71:I73 I80:I82 I94:I95 I117:I119 J118:J119 K26:K38 K46:K55 K61:K64 K71:K73 K80:K82 K94:K95 K117:K119">
    <cfRule type="cellIs" dxfId="39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9" location="'SEK - Safesprings tjänster 2022'!I83" display="Central blocklagring kan köpas till insatserna. Se &quot;Central blocklagring&quot; i prislistan." xr:uid="{0F7D6EBE-406B-D343-BF62-41C617272953}"/>
    <hyperlink ref="B59:E59" location="'SEK - Safesprings tjänster 2022'!I81" display="Central blocklagring kan köpas till insatserna. Se &quot;Central blocklagring&quot; i prislistan." xr:uid="{7E64E7BF-BAA3-654A-8516-E139F449EC73}"/>
    <hyperlink ref="B69" location="'SEK - Safesprings tjänster 2022'!I83" display="Central blocklagring kan köpas till insatserna. Se &quot;Central blocklagring&quot; i prislistan." xr:uid="{75FFEC3A-33F0-2843-9D30-6F73F6C7DA12}"/>
    <hyperlink ref="B69:E69" location="'SEK - Safesprings tjänster 2022'!I81" display="Central blocklagring kan köpas till insatserna. Se &quot;Central blocklagring&quot; i prislistan." xr:uid="{9FF4445D-B089-1147-93E8-440AA59C77E4}"/>
    <hyperlink ref="B44" location="'NOK - Safespring tjenester 2022'!I81" display="Sentral blokklagring kan kjøpes til innsatsene. Se &quot;Sentral blokklagring&quot; i prislisten." xr:uid="{D2571FAA-20C1-E749-9CA1-79CF9024940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3" max="11" man="1"/>
    <brk id="237" max="11" man="1"/>
    <brk id="257" max="13" man="1"/>
    <brk id="279" max="16383" man="1"/>
  </rowBreaks>
  <ignoredErrors>
    <ignoredError sqref="G81" formula="1"/>
  </ignoredError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51"/>
      <c r="C4" s="105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431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262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432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53" t="str">
        <f>"1 SEK = "&amp;NOK&amp;" NOK"</f>
        <v>1 SEK = 1 NOK</v>
      </c>
      <c r="E11" s="1053"/>
      <c r="F11" s="1053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43" t="s">
        <v>4</v>
      </c>
      <c r="C15" s="1043"/>
      <c r="D15" s="1043"/>
      <c r="E15" s="1043"/>
      <c r="F15" s="1043"/>
      <c r="G15" s="1043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43"/>
      <c r="C16" s="1043"/>
      <c r="D16" s="1043"/>
      <c r="E16" s="1043"/>
      <c r="F16" s="1043"/>
      <c r="G16" s="1043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43"/>
      <c r="C17" s="1043"/>
      <c r="D17" s="1043"/>
      <c r="E17" s="1043"/>
      <c r="F17" s="1043"/>
      <c r="G17" s="1043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264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50" t="s">
        <v>265</v>
      </c>
      <c r="C19" s="1050"/>
      <c r="D19" s="1050"/>
      <c r="E19" s="1050"/>
      <c r="F19" s="1050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392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266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267</v>
      </c>
      <c r="H24" s="193" t="s">
        <v>268</v>
      </c>
      <c r="I24" s="194" t="s">
        <v>269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389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390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267</v>
      </c>
      <c r="H42" s="193" t="s">
        <v>268</v>
      </c>
      <c r="I42" s="194" t="s">
        <v>269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267</v>
      </c>
      <c r="H71" s="193" t="s">
        <v>268</v>
      </c>
      <c r="I71" s="194" t="s">
        <v>269</v>
      </c>
      <c r="J71" s="194" t="s">
        <v>270</v>
      </c>
      <c r="K71" s="195"/>
      <c r="L71" s="193" t="s">
        <v>215</v>
      </c>
      <c r="M71" s="193" t="s">
        <v>271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273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267</v>
      </c>
      <c r="H80" s="193" t="s">
        <v>268</v>
      </c>
      <c r="I80" s="194" t="s">
        <v>269</v>
      </c>
      <c r="J80" s="194" t="s">
        <v>270</v>
      </c>
      <c r="K80" s="195"/>
      <c r="L80" s="193" t="s">
        <v>215</v>
      </c>
      <c r="M80" s="193" t="s">
        <v>271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274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275</v>
      </c>
      <c r="D88" s="24"/>
      <c r="E88" s="132" t="s">
        <v>267</v>
      </c>
      <c r="F88" s="1052" t="s">
        <v>276</v>
      </c>
      <c r="G88" s="1052"/>
      <c r="H88" s="265"/>
      <c r="I88" s="266" t="s">
        <v>277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69">
        <f>VOLUME_large_SEK</f>
        <v>1.2</v>
      </c>
      <c r="G89" s="1069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1">
        <f>VOLUME_fast_SEK</f>
        <v>3.6</v>
      </c>
      <c r="G90" s="1071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43" t="s">
        <v>72</v>
      </c>
      <c r="C95" s="1043"/>
      <c r="D95" s="1043"/>
      <c r="E95" s="1043"/>
      <c r="F95" s="1043"/>
      <c r="G95" s="1043"/>
      <c r="H95" s="177"/>
      <c r="J95" s="178"/>
      <c r="K95" s="178"/>
      <c r="M95" s="179"/>
      <c r="O95" s="168"/>
    </row>
    <row r="96" spans="2:23" s="169" customFormat="1" ht="25.5" customHeight="1">
      <c r="B96" s="1043"/>
      <c r="C96" s="1043"/>
      <c r="D96" s="1043"/>
      <c r="E96" s="1043"/>
      <c r="F96" s="1043"/>
      <c r="G96" s="1043"/>
      <c r="H96" s="177"/>
      <c r="J96" s="178"/>
      <c r="K96" s="178"/>
      <c r="M96" s="179"/>
      <c r="O96" s="168"/>
    </row>
    <row r="97" spans="2:23" s="169" customFormat="1" ht="25.5" customHeight="1">
      <c r="B97" s="1043"/>
      <c r="C97" s="1043"/>
      <c r="D97" s="1043"/>
      <c r="E97" s="1043"/>
      <c r="F97" s="1043"/>
      <c r="G97" s="1043"/>
      <c r="H97" s="177"/>
      <c r="J97" s="178"/>
      <c r="K97" s="178"/>
      <c r="M97" s="179"/>
      <c r="O97" s="168"/>
    </row>
    <row r="98" spans="2:23" s="169" customFormat="1" ht="25.5" customHeight="1">
      <c r="B98" s="1072" t="s">
        <v>278</v>
      </c>
      <c r="C98" s="1072"/>
      <c r="D98" s="1072"/>
      <c r="E98" s="1072"/>
      <c r="F98" s="1072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50" t="s">
        <v>279</v>
      </c>
      <c r="C99" s="1050"/>
      <c r="D99" s="1050"/>
      <c r="E99" s="1050"/>
      <c r="F99" s="1050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280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281</v>
      </c>
      <c r="D102" s="1052" t="s">
        <v>282</v>
      </c>
      <c r="E102" s="1052"/>
      <c r="F102" s="1052"/>
      <c r="G102" s="1052"/>
      <c r="H102" s="1052"/>
      <c r="I102" s="1052"/>
      <c r="J102" s="1052"/>
      <c r="K102" s="1052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0">
        <f>S3_storage.50_SEK</f>
        <v>350</v>
      </c>
      <c r="E103" s="1070"/>
      <c r="F103" s="1070"/>
      <c r="G103" s="1070"/>
      <c r="H103" s="1070"/>
      <c r="I103" s="1070"/>
      <c r="J103" s="1070"/>
      <c r="K103" s="1070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4">
        <f>S3_storage.100_SEK</f>
        <v>270</v>
      </c>
      <c r="E104" s="1074"/>
      <c r="F104" s="1074"/>
      <c r="G104" s="1074"/>
      <c r="H104" s="1074"/>
      <c r="I104" s="1074"/>
      <c r="J104" s="1074"/>
      <c r="K104" s="1074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3">
        <f>S3_storage.500_SEK</f>
        <v>200</v>
      </c>
      <c r="E105" s="1073"/>
      <c r="F105" s="1073"/>
      <c r="G105" s="1073"/>
      <c r="H105" s="1073"/>
      <c r="I105" s="1073"/>
      <c r="J105" s="1073"/>
      <c r="K105" s="1073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4">
        <f>S3_storage.1000_SEK</f>
        <v>185</v>
      </c>
      <c r="E106" s="1074"/>
      <c r="F106" s="1074"/>
      <c r="G106" s="1074"/>
      <c r="H106" s="1074"/>
      <c r="I106" s="1074"/>
      <c r="J106" s="1074"/>
      <c r="K106" s="1074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5" t="str">
        <f>S3_storage.quote_SEK</f>
        <v>Be om offert</v>
      </c>
      <c r="E107" s="1075"/>
      <c r="F107" s="1075"/>
      <c r="G107" s="1075"/>
      <c r="H107" s="1075"/>
      <c r="I107" s="1075"/>
      <c r="J107" s="1075"/>
      <c r="K107" s="1075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282</v>
      </c>
      <c r="G110" s="265"/>
      <c r="H110" s="266" t="s">
        <v>281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43" t="s">
        <v>86</v>
      </c>
      <c r="C116" s="1043"/>
      <c r="D116" s="1043"/>
      <c r="E116" s="1043"/>
      <c r="F116" s="1043"/>
      <c r="G116" s="1043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43"/>
      <c r="C117" s="1043"/>
      <c r="D117" s="1043"/>
      <c r="E117" s="1043"/>
      <c r="F117" s="1043"/>
      <c r="G117" s="1043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43"/>
      <c r="C118" s="1043"/>
      <c r="D118" s="1043"/>
      <c r="E118" s="1043"/>
      <c r="F118" s="1043"/>
      <c r="G118" s="1043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2" t="s">
        <v>283</v>
      </c>
      <c r="C119" s="1072"/>
      <c r="D119" s="1072"/>
      <c r="E119" s="1072"/>
      <c r="F119" s="1072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50" t="s">
        <v>284</v>
      </c>
      <c r="C120" s="1050"/>
      <c r="D120" s="1050"/>
      <c r="E120" s="1050"/>
      <c r="F120" s="1050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280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52" t="s">
        <v>285</v>
      </c>
      <c r="D123" s="1052"/>
      <c r="E123" s="131" t="s">
        <v>267</v>
      </c>
      <c r="F123" s="1052" t="s">
        <v>276</v>
      </c>
      <c r="G123" s="1052"/>
      <c r="H123" s="266" t="s">
        <v>90</v>
      </c>
      <c r="I123" s="265"/>
      <c r="J123" s="1027" t="s">
        <v>286</v>
      </c>
      <c r="K123" s="1027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6">
        <f>BAAS_on.demand_SEK</f>
        <v>2.4500000000000002</v>
      </c>
      <c r="G124" s="1077"/>
      <c r="H124" s="307"/>
      <c r="I124" s="472" t="s">
        <v>69</v>
      </c>
      <c r="J124" s="1032" t="s">
        <v>94</v>
      </c>
      <c r="K124" s="1032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78">
        <f>BAAS_small_SEK</f>
        <v>1.75</v>
      </c>
      <c r="G125" s="1079"/>
      <c r="H125" s="309"/>
      <c r="I125" s="473" t="s">
        <v>69</v>
      </c>
      <c r="J125" s="1036">
        <v>0.75</v>
      </c>
      <c r="K125" s="1037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80">
        <f>BAAS_large_SEK</f>
        <v>0.92</v>
      </c>
      <c r="G126" s="1081"/>
      <c r="H126" s="298"/>
      <c r="I126" s="474" t="s">
        <v>69</v>
      </c>
      <c r="J126" s="1041">
        <v>0.75</v>
      </c>
      <c r="K126" s="1042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287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288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289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290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43" t="s">
        <v>291</v>
      </c>
      <c r="C137" s="1043"/>
      <c r="D137" s="1043"/>
      <c r="E137" s="1043"/>
      <c r="F137" s="1043"/>
      <c r="G137" s="1043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43"/>
      <c r="C138" s="1043"/>
      <c r="D138" s="1043"/>
      <c r="E138" s="1043"/>
      <c r="F138" s="1043"/>
      <c r="G138" s="1043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43"/>
      <c r="C139" s="1043"/>
      <c r="D139" s="1043"/>
      <c r="E139" s="1043"/>
      <c r="F139" s="1043"/>
      <c r="G139" s="1043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50" t="s">
        <v>284</v>
      </c>
      <c r="C140" s="1050"/>
      <c r="D140" s="1050"/>
      <c r="E140" s="1050"/>
      <c r="F140" s="1050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28"/>
      <c r="C141" s="1028"/>
      <c r="D141" s="1028"/>
      <c r="E141" s="1028"/>
      <c r="F141" s="1028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292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275</v>
      </c>
      <c r="F144" s="265"/>
      <c r="G144" s="265"/>
      <c r="H144" s="265"/>
      <c r="I144" s="265"/>
      <c r="J144" s="265"/>
      <c r="K144" s="265"/>
      <c r="L144" s="314" t="s">
        <v>293</v>
      </c>
      <c r="M144" s="535" t="s">
        <v>268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294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295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295</v>
      </c>
      <c r="D148" s="130"/>
      <c r="E148" s="41" t="s">
        <v>296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239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297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275</v>
      </c>
      <c r="F154" s="265"/>
      <c r="G154" s="265"/>
      <c r="H154" s="265"/>
      <c r="I154" s="265"/>
      <c r="J154" s="265"/>
      <c r="K154" s="265"/>
      <c r="L154" s="314" t="s">
        <v>293</v>
      </c>
      <c r="M154" s="535" t="s">
        <v>268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298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241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275</v>
      </c>
      <c r="F166" s="265"/>
      <c r="G166" s="265"/>
      <c r="H166" s="265"/>
      <c r="I166" s="265"/>
      <c r="J166" s="265"/>
      <c r="K166" s="265"/>
      <c r="L166" s="535"/>
      <c r="M166" s="535" t="s">
        <v>268</v>
      </c>
      <c r="O166" s="205"/>
      <c r="Q166" s="191"/>
      <c r="R166" s="284"/>
      <c r="S166" s="189"/>
    </row>
    <row r="167" spans="2:19" ht="25.5" customHeight="1">
      <c r="B167" s="134" t="s">
        <v>404</v>
      </c>
      <c r="C167" s="129"/>
      <c r="D167" s="30"/>
      <c r="E167" s="30" t="s">
        <v>406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405</v>
      </c>
      <c r="C168" s="130"/>
      <c r="D168" s="38"/>
      <c r="E168" s="38" t="s">
        <v>407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242</v>
      </c>
      <c r="F169" s="316"/>
      <c r="G169" s="316"/>
      <c r="H169" s="316"/>
      <c r="I169" s="316"/>
      <c r="J169" s="316"/>
      <c r="K169" s="316"/>
      <c r="L169" s="317"/>
      <c r="M169" s="555" t="s">
        <v>308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308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308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308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43" t="s">
        <v>299</v>
      </c>
      <c r="C176" s="1043"/>
      <c r="D176" s="1043"/>
      <c r="E176" s="1043"/>
      <c r="F176" s="1043"/>
      <c r="G176" s="1043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43"/>
      <c r="C177" s="1043"/>
      <c r="D177" s="1043"/>
      <c r="E177" s="1043"/>
      <c r="F177" s="1043"/>
      <c r="G177" s="1043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43"/>
      <c r="C178" s="1043"/>
      <c r="D178" s="1043"/>
      <c r="E178" s="1043"/>
      <c r="F178" s="1043"/>
      <c r="G178" s="1043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50" t="s">
        <v>284</v>
      </c>
      <c r="C179" s="1050"/>
      <c r="D179" s="1050"/>
      <c r="E179" s="1050"/>
      <c r="F179" s="1050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28"/>
      <c r="C180" s="1028"/>
      <c r="D180" s="1028"/>
      <c r="E180" s="1028"/>
      <c r="F180" s="1028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275</v>
      </c>
      <c r="E183" s="132"/>
      <c r="F183" s="265"/>
      <c r="G183" s="535"/>
      <c r="H183" s="535"/>
      <c r="I183" s="535"/>
      <c r="J183" s="535"/>
      <c r="K183" s="314" t="s">
        <v>300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244</v>
      </c>
      <c r="L185" s="324"/>
      <c r="M185" s="441" t="s">
        <v>245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301</v>
      </c>
      <c r="L186" s="318"/>
      <c r="M186" s="442" t="s">
        <v>302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248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303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275</v>
      </c>
      <c r="E190" s="132"/>
      <c r="F190" s="265"/>
      <c r="G190" s="535"/>
      <c r="H190" s="535"/>
      <c r="I190" s="535"/>
      <c r="J190" s="535"/>
      <c r="K190" s="314" t="s">
        <v>300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301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301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301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301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301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301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304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275</v>
      </c>
      <c r="E200" s="132"/>
      <c r="F200" s="265"/>
      <c r="G200" s="314" t="s">
        <v>305</v>
      </c>
      <c r="H200" s="314"/>
      <c r="I200" s="314"/>
      <c r="J200" s="314"/>
      <c r="K200" s="314" t="s">
        <v>300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306</v>
      </c>
      <c r="E201" s="40"/>
      <c r="F201" s="316"/>
      <c r="G201" s="318" t="s">
        <v>253</v>
      </c>
      <c r="H201" s="318"/>
      <c r="I201" s="318"/>
      <c r="J201" s="318"/>
      <c r="K201" s="318" t="s">
        <v>307</v>
      </c>
      <c r="L201" s="318"/>
      <c r="M201" s="442" t="s">
        <v>308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309</v>
      </c>
      <c r="E202" s="31"/>
      <c r="F202" s="319"/>
      <c r="G202" s="324" t="s">
        <v>253</v>
      </c>
      <c r="H202" s="324"/>
      <c r="I202" s="324"/>
      <c r="J202" s="324"/>
      <c r="K202" s="324" t="s">
        <v>307</v>
      </c>
      <c r="L202" s="324"/>
      <c r="M202" s="441" t="s">
        <v>308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310</v>
      </c>
      <c r="E203" s="40"/>
      <c r="F203" s="316"/>
      <c r="G203" s="318" t="s">
        <v>257</v>
      </c>
      <c r="H203" s="318"/>
      <c r="I203" s="318"/>
      <c r="J203" s="318"/>
      <c r="K203" s="318" t="s">
        <v>307</v>
      </c>
      <c r="L203" s="318"/>
      <c r="M203" s="442" t="s">
        <v>308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311</v>
      </c>
      <c r="E204" s="31"/>
      <c r="F204" s="319"/>
      <c r="G204" s="324" t="s">
        <v>257</v>
      </c>
      <c r="H204" s="324"/>
      <c r="I204" s="324"/>
      <c r="J204" s="324"/>
      <c r="K204" s="324" t="s">
        <v>307</v>
      </c>
      <c r="L204" s="324"/>
      <c r="M204" s="441" t="s">
        <v>308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58" t="s">
        <v>312</v>
      </c>
      <c r="C211" s="1058"/>
      <c r="D211" s="1058"/>
      <c r="E211" s="1058"/>
      <c r="F211" s="1058"/>
      <c r="G211" s="1058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58"/>
      <c r="C212" s="1058"/>
      <c r="D212" s="1058"/>
      <c r="E212" s="1058"/>
      <c r="F212" s="1058"/>
      <c r="G212" s="1058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58"/>
      <c r="C213" s="1058"/>
      <c r="D213" s="1058"/>
      <c r="E213" s="1058"/>
      <c r="F213" s="1058"/>
      <c r="G213" s="1058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82" t="s">
        <v>313</v>
      </c>
      <c r="C214" s="1082"/>
      <c r="D214" s="1082"/>
      <c r="E214" s="1082"/>
      <c r="F214" s="1082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314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433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315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312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83" t="str">
        <f>SUM(E67)&amp;" GB NVME-Disk"</f>
        <v>0 GB NVME-Disk</v>
      </c>
      <c r="G221" s="1083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H111">
    <cfRule type="cellIs" dxfId="38" priority="40" operator="greaterThan">
      <formula>0</formula>
    </cfRule>
  </conditionalFormatting>
  <conditionalFormatting sqref="H124:H126">
    <cfRule type="cellIs" dxfId="37" priority="36" operator="greaterThan">
      <formula>0</formula>
    </cfRule>
  </conditionalFormatting>
  <conditionalFormatting sqref="I25:I37 I43:I66">
    <cfRule type="cellIs" dxfId="36" priority="149" operator="lessThan">
      <formula>#REF!</formula>
    </cfRule>
  </conditionalFormatting>
  <conditionalFormatting sqref="I25:I37">
    <cfRule type="cellIs" dxfId="35" priority="14" operator="greaterThan">
      <formula>0</formula>
    </cfRule>
  </conditionalFormatting>
  <conditionalFormatting sqref="I43:I66">
    <cfRule type="cellIs" dxfId="34" priority="6" operator="greaterThan">
      <formula>0</formula>
    </cfRule>
  </conditionalFormatting>
  <conditionalFormatting sqref="I89:I90">
    <cfRule type="cellIs" dxfId="33" priority="41" operator="greaterThan">
      <formula>0</formula>
    </cfRule>
  </conditionalFormatting>
  <conditionalFormatting sqref="I72:J75">
    <cfRule type="cellIs" dxfId="32" priority="34" operator="lessThan">
      <formula>$J72</formula>
    </cfRule>
    <cfRule type="cellIs" dxfId="31" priority="43" operator="greaterThan">
      <formula>0</formula>
    </cfRule>
  </conditionalFormatting>
  <conditionalFormatting sqref="I81:J83">
    <cfRule type="cellIs" dxfId="30" priority="30" operator="lessThan">
      <formula>$J81</formula>
    </cfRule>
    <cfRule type="cellIs" dxfId="29" priority="28" operator="greaterThan">
      <formula>0</formula>
    </cfRule>
  </conditionalFormatting>
  <conditionalFormatting sqref="J125:J126">
    <cfRule type="cellIs" dxfId="28" priority="35" operator="greaterThan">
      <formula>0</formula>
    </cfRule>
  </conditionalFormatting>
  <conditionalFormatting sqref="K25:K66">
    <cfRule type="cellIs" dxfId="27" priority="2" operator="greaterThan">
      <formula>0</formula>
    </cfRule>
  </conditionalFormatting>
  <conditionalFormatting sqref="K68 L69:M70">
    <cfRule type="cellIs" dxfId="26" priority="44" operator="greaterThan">
      <formula>0</formula>
    </cfRule>
  </conditionalFormatting>
  <conditionalFormatting sqref="L72:M72 L74:M74">
    <cfRule type="cellIs" dxfId="25" priority="31" operator="greaterThan">
      <formula>0</formula>
    </cfRule>
  </conditionalFormatting>
  <conditionalFormatting sqref="L72:M75">
    <cfRule type="cellIs" dxfId="24" priority="16" operator="greaterThan">
      <formula>0</formula>
    </cfRule>
  </conditionalFormatting>
  <conditionalFormatting sqref="L81:M83">
    <cfRule type="cellIs" dxfId="23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51"/>
      <c r="C4" s="105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316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43" t="s">
        <v>4</v>
      </c>
      <c r="C15" s="1043"/>
      <c r="D15" s="1043"/>
      <c r="E15" s="1043"/>
      <c r="F15" s="1043"/>
      <c r="G15" s="1043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43"/>
      <c r="C16" s="1043"/>
      <c r="D16" s="1043"/>
      <c r="E16" s="1043"/>
      <c r="F16" s="1043"/>
      <c r="G16" s="1043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43"/>
      <c r="C17" s="1043"/>
      <c r="D17" s="1043"/>
      <c r="E17" s="1043"/>
      <c r="F17" s="1043"/>
      <c r="G17" s="1043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28" t="s">
        <v>205</v>
      </c>
      <c r="C19" s="1028"/>
      <c r="D19" s="1028"/>
      <c r="E19" s="1028"/>
      <c r="F19" s="1028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317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318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318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318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318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318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318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318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318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318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318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318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317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318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318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318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318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318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318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318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318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318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318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318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318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318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318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318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318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318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318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318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319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317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320</v>
      </c>
      <c r="C65" s="39" t="s">
        <v>321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322</v>
      </c>
      <c r="C66" s="41" t="s">
        <v>321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323</v>
      </c>
      <c r="C67" s="39" t="s">
        <v>321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324</v>
      </c>
      <c r="C68" s="41" t="s">
        <v>321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325</v>
      </c>
      <c r="C69" s="39" t="s">
        <v>321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326</v>
      </c>
      <c r="C70" s="41" t="s">
        <v>321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327</v>
      </c>
      <c r="C71" s="39" t="s">
        <v>321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328</v>
      </c>
      <c r="C72" s="41" t="s">
        <v>321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329</v>
      </c>
      <c r="C73" s="39" t="s">
        <v>321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330</v>
      </c>
      <c r="C74" s="41" t="s">
        <v>321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331</v>
      </c>
      <c r="C75" s="39" t="s">
        <v>321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332</v>
      </c>
      <c r="C76" s="41" t="s">
        <v>321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333</v>
      </c>
      <c r="C77" s="39" t="s">
        <v>321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334</v>
      </c>
      <c r="C78" s="41" t="s">
        <v>321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335</v>
      </c>
      <c r="C79" s="39" t="s">
        <v>321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336</v>
      </c>
      <c r="C80" s="41" t="s">
        <v>321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337</v>
      </c>
      <c r="C81" s="39" t="s">
        <v>321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338</v>
      </c>
      <c r="C82" s="41" t="s">
        <v>321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339</v>
      </c>
      <c r="C83" s="39" t="s">
        <v>321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340</v>
      </c>
      <c r="C84" s="41" t="s">
        <v>321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341</v>
      </c>
      <c r="C85" s="39" t="s">
        <v>321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342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52" t="s">
        <v>221</v>
      </c>
      <c r="G98" s="1052"/>
      <c r="H98" s="1027"/>
      <c r="I98" s="1027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69">
        <f>VOLUME_large_SEK</f>
        <v>1.2</v>
      </c>
      <c r="G99" s="1069"/>
      <c r="H99" s="1096"/>
      <c r="I99" s="1096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71">
        <f>VOLUME_fast_SEK</f>
        <v>3.6</v>
      </c>
      <c r="G100" s="1071"/>
      <c r="H100" s="1097"/>
      <c r="I100" s="1097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43" t="s">
        <v>343</v>
      </c>
      <c r="C105" s="1043"/>
      <c r="D105" s="1043"/>
      <c r="E105" s="1043"/>
      <c r="F105" s="1043"/>
      <c r="G105" s="1043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43"/>
      <c r="C106" s="1043"/>
      <c r="D106" s="1043"/>
      <c r="E106" s="1043"/>
      <c r="F106" s="1043"/>
      <c r="G106" s="1043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43"/>
      <c r="C107" s="1043"/>
      <c r="D107" s="1043"/>
      <c r="E107" s="1043"/>
      <c r="F107" s="1043"/>
      <c r="G107" s="1043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49" t="s">
        <v>223</v>
      </c>
      <c r="C108" s="1049"/>
      <c r="D108" s="1049"/>
      <c r="E108" s="1049"/>
      <c r="F108" s="1049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50" t="s">
        <v>344</v>
      </c>
      <c r="C109" s="1050"/>
      <c r="D109" s="1050"/>
      <c r="E109" s="1050"/>
      <c r="F109" s="1050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52" t="s">
        <v>345</v>
      </c>
      <c r="E112" s="1052"/>
      <c r="F112" s="1052"/>
      <c r="G112" s="1052"/>
      <c r="H112" s="1052"/>
      <c r="I112" s="1052"/>
      <c r="J112" s="1052"/>
      <c r="K112" s="1052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346</v>
      </c>
      <c r="D113" s="1093">
        <f>S3_storage.50_SUNET</f>
        <v>0.35</v>
      </c>
      <c r="E113" s="1093"/>
      <c r="F113" s="1070"/>
      <c r="G113" s="1070"/>
      <c r="H113" s="1070"/>
      <c r="I113" s="1070"/>
      <c r="J113" s="1070"/>
      <c r="K113" s="1070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347</v>
      </c>
      <c r="D114" s="1092">
        <f>S3_storage.100_SUNET</f>
        <v>0.19</v>
      </c>
      <c r="E114" s="1092"/>
      <c r="F114" s="1074"/>
      <c r="G114" s="1074"/>
      <c r="H114" s="1074"/>
      <c r="I114" s="1074"/>
      <c r="J114" s="1074"/>
      <c r="K114" s="1074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348</v>
      </c>
      <c r="D115" s="1091">
        <f>S3_storage.500_SUNET</f>
        <v>0.1</v>
      </c>
      <c r="E115" s="1091"/>
      <c r="F115" s="1073"/>
      <c r="G115" s="1073"/>
      <c r="H115" s="1073"/>
      <c r="I115" s="1073"/>
      <c r="J115" s="1073"/>
      <c r="K115" s="1073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349</v>
      </c>
      <c r="D116" s="1092">
        <f>S3_storage.1000_SUNET</f>
        <v>0.06</v>
      </c>
      <c r="E116" s="1092"/>
      <c r="F116" s="1074"/>
      <c r="G116" s="1074"/>
      <c r="H116" s="1074"/>
      <c r="I116" s="1074"/>
      <c r="J116" s="1074"/>
      <c r="K116" s="1074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88" t="str">
        <f>S3_storage.quote_SUNET</f>
        <v>Be om offert</v>
      </c>
      <c r="E117" s="1088"/>
      <c r="F117" s="1075"/>
      <c r="G117" s="1075"/>
      <c r="H117" s="1075"/>
      <c r="I117" s="1075"/>
      <c r="J117" s="1075"/>
      <c r="K117" s="1075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52" t="s">
        <v>221</v>
      </c>
      <c r="G120" s="1052"/>
      <c r="H120" s="266" t="s">
        <v>224</v>
      </c>
      <c r="I120" s="265"/>
      <c r="J120" s="265"/>
      <c r="K120" s="24" t="s">
        <v>350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89" cm="1">
        <f t="array" ref="F121">_xlfn.IFS(H121&lt;=299,D113,H121&lt;1000,D114,H121&lt;2000,D115,H121&gt;=2000,D116)</f>
        <v>0.35</v>
      </c>
      <c r="G121" s="1090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94">
        <f>ROUNDUP((H121*1000)*F121,2)</f>
        <v>0</v>
      </c>
      <c r="N121" s="1094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95">
        <f>SUM(M121)</f>
        <v>0</v>
      </c>
      <c r="N122" s="1095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43" t="s">
        <v>86</v>
      </c>
      <c r="C126" s="1043"/>
      <c r="D126" s="1043"/>
      <c r="E126" s="1043"/>
      <c r="F126" s="1043"/>
      <c r="G126" s="1043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43"/>
      <c r="C127" s="1043"/>
      <c r="D127" s="1043"/>
      <c r="E127" s="1043"/>
      <c r="F127" s="1043"/>
      <c r="G127" s="1043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43"/>
      <c r="C128" s="1043"/>
      <c r="D128" s="1043"/>
      <c r="E128" s="1043"/>
      <c r="F128" s="1043"/>
      <c r="G128" s="1043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57" t="s">
        <v>87</v>
      </c>
      <c r="C129" s="1057"/>
      <c r="D129" s="1057"/>
      <c r="E129" s="1057"/>
      <c r="F129" s="1057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28" t="s">
        <v>226</v>
      </c>
      <c r="C130" s="1028"/>
      <c r="D130" s="1028"/>
      <c r="E130" s="1028"/>
      <c r="F130" s="1028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52" t="s">
        <v>228</v>
      </c>
      <c r="D133" s="1052"/>
      <c r="E133" s="131" t="s">
        <v>210</v>
      </c>
      <c r="F133" s="1052" t="s">
        <v>221</v>
      </c>
      <c r="G133" s="1052"/>
      <c r="H133" s="266" t="s">
        <v>90</v>
      </c>
      <c r="I133" s="265"/>
      <c r="J133" s="1027" t="s">
        <v>229</v>
      </c>
      <c r="K133" s="1027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6">
        <f>BAAS_on.demand_SEK</f>
        <v>2.4500000000000002</v>
      </c>
      <c r="G134" s="1077"/>
      <c r="H134" s="307">
        <v>0</v>
      </c>
      <c r="I134" s="472" t="s">
        <v>69</v>
      </c>
      <c r="J134" s="1032" t="s">
        <v>94</v>
      </c>
      <c r="K134" s="1032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78">
        <f>BAAS_small_SEK</f>
        <v>1.75</v>
      </c>
      <c r="G135" s="1079"/>
      <c r="H135" s="309">
        <v>0</v>
      </c>
      <c r="I135" s="473" t="s">
        <v>69</v>
      </c>
      <c r="J135" s="1036">
        <v>0.75</v>
      </c>
      <c r="K135" s="1037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80">
        <f>BAAS_large_SEK</f>
        <v>0.92</v>
      </c>
      <c r="G136" s="1081"/>
      <c r="H136" s="298">
        <v>0</v>
      </c>
      <c r="I136" s="474" t="s">
        <v>69</v>
      </c>
      <c r="J136" s="1041">
        <v>0.75</v>
      </c>
      <c r="K136" s="1042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58" t="s">
        <v>259</v>
      </c>
      <c r="C150" s="1058"/>
      <c r="D150" s="1058"/>
      <c r="E150" s="1058"/>
      <c r="F150" s="1058"/>
      <c r="G150" s="1058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58"/>
      <c r="C151" s="1058"/>
      <c r="D151" s="1058"/>
      <c r="E151" s="1058"/>
      <c r="F151" s="1058"/>
      <c r="G151" s="1058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58"/>
      <c r="C152" s="1058"/>
      <c r="D152" s="1058"/>
      <c r="E152" s="1058"/>
      <c r="F152" s="1058"/>
      <c r="G152" s="1058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82" t="s">
        <v>226</v>
      </c>
      <c r="C153" s="1082"/>
      <c r="D153" s="1082"/>
      <c r="E153" s="1082"/>
      <c r="F153" s="1082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260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261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259</v>
      </c>
      <c r="N159" s="358"/>
      <c r="O159" s="359"/>
      <c r="P159" s="160"/>
      <c r="Q159" s="313"/>
    </row>
    <row r="160" spans="1:23" ht="25.5" customHeight="1">
      <c r="A160" s="157"/>
      <c r="B160" s="1085" t="s">
        <v>196</v>
      </c>
      <c r="C160" s="1085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6" t="s">
        <v>197</v>
      </c>
      <c r="C161" s="1086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7" t="s">
        <v>199</v>
      </c>
      <c r="C163" s="1087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84">
        <f>SUM(M160:M163)</f>
        <v>0</v>
      </c>
      <c r="K164" s="1084"/>
      <c r="L164" s="1084"/>
      <c r="M164" s="1084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351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352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H121">
    <cfRule type="cellIs" dxfId="22" priority="55" operator="greaterThan">
      <formula>0</formula>
    </cfRule>
  </conditionalFormatting>
  <conditionalFormatting sqref="H134:H136">
    <cfRule type="cellIs" dxfId="21" priority="51" operator="greaterThan">
      <formula>0</formula>
    </cfRule>
  </conditionalFormatting>
  <conditionalFormatting sqref="I25:I35 I65:I85">
    <cfRule type="cellIs" dxfId="20" priority="54" operator="lessThan">
      <formula>$J25</formula>
    </cfRule>
  </conditionalFormatting>
  <conditionalFormatting sqref="I41:I59">
    <cfRule type="cellIs" dxfId="19" priority="40" operator="lessThan">
      <formula>$J41</formula>
    </cfRule>
  </conditionalFormatting>
  <conditionalFormatting sqref="I91:J93">
    <cfRule type="cellIs" dxfId="18" priority="45" operator="lessThan">
      <formula>$J91</formula>
    </cfRule>
  </conditionalFormatting>
  <conditionalFormatting sqref="I25:K35">
    <cfRule type="cellIs" dxfId="17" priority="58" operator="greaterThan">
      <formula>0</formula>
    </cfRule>
  </conditionalFormatting>
  <conditionalFormatting sqref="I41:K59">
    <cfRule type="cellIs" dxfId="16" priority="39" operator="greaterThan">
      <formula>0</formula>
    </cfRule>
  </conditionalFormatting>
  <conditionalFormatting sqref="I65:K85">
    <cfRule type="cellIs" dxfId="15" priority="6" operator="greaterThan">
      <formula>0</formula>
    </cfRule>
  </conditionalFormatting>
  <conditionalFormatting sqref="I91:K93">
    <cfRule type="cellIs" dxfId="14" priority="41" operator="greaterThan">
      <formula>0</formula>
    </cfRule>
  </conditionalFormatting>
  <conditionalFormatting sqref="J99:J136">
    <cfRule type="cellIs" dxfId="13" priority="50" operator="greaterThan">
      <formula>0</formula>
    </cfRule>
  </conditionalFormatting>
  <conditionalFormatting sqref="M25:N35 M39:N39">
    <cfRule type="cellIs" dxfId="12" priority="59" operator="greaterThan">
      <formula>0</formula>
    </cfRule>
  </conditionalFormatting>
  <conditionalFormatting sqref="M41:N85">
    <cfRule type="cellIs" dxfId="11" priority="1" operator="greaterThan">
      <formula>0</formula>
    </cfRule>
  </conditionalFormatting>
  <conditionalFormatting sqref="M91:N93">
    <cfRule type="cellIs" dxfId="10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A12" zoomScale="120" zoomScaleNormal="120" workbookViewId="0">
      <selection activeCell="D45" sqref="D45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353</v>
      </c>
      <c r="E2" s="117" t="s">
        <v>354</v>
      </c>
      <c r="F2" s="117" t="s">
        <v>355</v>
      </c>
      <c r="G2" s="482" t="s">
        <v>356</v>
      </c>
      <c r="I2" s="116" t="s">
        <v>357</v>
      </c>
      <c r="J2" s="117"/>
      <c r="K2" s="117"/>
    </row>
    <row r="3" spans="2:14" s="50" customFormat="1" ht="30" customHeight="1">
      <c r="B3" s="128" t="s">
        <v>358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359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355</v>
      </c>
      <c r="K4" s="455">
        <v>8.8999999999999996E-2</v>
      </c>
    </row>
    <row r="5" spans="2:14" s="50" customFormat="1" ht="30" customHeight="1">
      <c r="B5" s="128" t="s">
        <v>360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263</v>
      </c>
      <c r="J5" s="47"/>
      <c r="K5" s="456">
        <v>1</v>
      </c>
    </row>
    <row r="6" spans="2:14" s="50" customFormat="1" ht="30" customHeight="1">
      <c r="B6" s="84" t="s">
        <v>361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362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363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364</v>
      </c>
      <c r="J8" s="119" t="s">
        <v>365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366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367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342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368</v>
      </c>
      <c r="C13" s="116"/>
      <c r="D13" s="117" t="s">
        <v>353</v>
      </c>
      <c r="E13" s="117" t="s">
        <v>203</v>
      </c>
      <c r="F13" s="117" t="s">
        <v>355</v>
      </c>
      <c r="G13" s="482" t="s">
        <v>369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353</v>
      </c>
      <c r="E18" s="117" t="s">
        <v>203</v>
      </c>
      <c r="F18" s="117" t="s">
        <v>355</v>
      </c>
      <c r="G18" s="482" t="s">
        <v>369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353</v>
      </c>
      <c r="E22" s="117" t="s">
        <v>203</v>
      </c>
      <c r="F22" s="117" t="s">
        <v>355</v>
      </c>
      <c r="G22" s="482" t="s">
        <v>369</v>
      </c>
    </row>
    <row r="23" spans="2:7" ht="30" customHeight="1">
      <c r="B23" s="128" t="s">
        <v>370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371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372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373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374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353</v>
      </c>
      <c r="E29" s="117" t="s">
        <v>203</v>
      </c>
      <c r="F29" s="117" t="s">
        <v>355</v>
      </c>
      <c r="G29" s="482" t="s">
        <v>369</v>
      </c>
    </row>
    <row r="30" spans="2:7" ht="30" customHeight="1">
      <c r="B30" s="128" t="s">
        <v>375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376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377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378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379</v>
      </c>
      <c r="C34" s="44"/>
      <c r="D34" s="401" t="s">
        <v>380</v>
      </c>
      <c r="E34" s="151" t="str">
        <f>D34</f>
        <v>Be om offert</v>
      </c>
      <c r="F34" s="601" t="s">
        <v>384</v>
      </c>
      <c r="G34" s="484" t="str">
        <f>S3_storage.quote_SEK</f>
        <v>Be om offert</v>
      </c>
    </row>
    <row r="35" spans="2:7" ht="30" customHeight="1">
      <c r="B35" s="526" t="s">
        <v>416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417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418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419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420</v>
      </c>
      <c r="C39" s="83"/>
      <c r="D39" s="401" t="s">
        <v>380</v>
      </c>
      <c r="E39" s="149" t="str">
        <f>D39</f>
        <v>Be om offert</v>
      </c>
      <c r="F39" s="602" t="s">
        <v>384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381</v>
      </c>
      <c r="C41" s="116"/>
      <c r="D41" s="117" t="s">
        <v>353</v>
      </c>
      <c r="E41" s="117" t="s">
        <v>203</v>
      </c>
      <c r="F41" s="117" t="s">
        <v>355</v>
      </c>
      <c r="G41" s="482" t="s">
        <v>369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9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247</v>
      </c>
      <c r="E46" s="151" t="str">
        <f>D46</f>
        <v>Begär offert</v>
      </c>
      <c r="F46" s="611" t="s">
        <v>384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247</v>
      </c>
      <c r="E48" s="151" t="str">
        <f>D48</f>
        <v>Begär offert</v>
      </c>
      <c r="F48" s="152" t="s">
        <v>384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382</v>
      </c>
      <c r="C51" s="116"/>
      <c r="D51" s="117" t="s">
        <v>353</v>
      </c>
      <c r="E51" s="117" t="s">
        <v>203</v>
      </c>
      <c r="F51" s="117" t="s">
        <v>355</v>
      </c>
      <c r="G51" s="482" t="s">
        <v>369</v>
      </c>
    </row>
    <row r="52" spans="2:7" ht="30" customHeight="1">
      <c r="B52" s="128" t="s">
        <v>383</v>
      </c>
      <c r="C52" s="44"/>
      <c r="D52" s="143">
        <v>78</v>
      </c>
      <c r="E52" s="124">
        <f t="shared" ref="E52:E58" si="19">D52*SEK</f>
        <v>78</v>
      </c>
      <c r="F52" s="126">
        <f>D52*EUR</f>
        <v>6.9419999999999993</v>
      </c>
      <c r="G52" s="484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133.322</v>
      </c>
      <c r="G53" s="485" t="s">
        <v>94</v>
      </c>
    </row>
    <row r="54" spans="2:7" ht="30" customHeight="1">
      <c r="B54" s="128" t="s">
        <v>128</v>
      </c>
      <c r="C54" s="44"/>
      <c r="D54" s="143"/>
      <c r="E54" s="151" t="s">
        <v>247</v>
      </c>
      <c r="F54" s="152" t="s">
        <v>384</v>
      </c>
      <c r="G54" s="484" t="s">
        <v>94</v>
      </c>
    </row>
    <row r="55" spans="2:7" ht="30" customHeight="1">
      <c r="B55" s="84" t="s">
        <v>130</v>
      </c>
      <c r="C55" s="83"/>
      <c r="D55" s="143"/>
      <c r="E55" s="149" t="s">
        <v>247</v>
      </c>
      <c r="F55" s="150" t="s">
        <v>384</v>
      </c>
      <c r="G55" s="485" t="s">
        <v>94</v>
      </c>
    </row>
    <row r="56" spans="2:7" ht="30" customHeight="1">
      <c r="B56" s="128" t="s">
        <v>385</v>
      </c>
      <c r="C56" s="44"/>
      <c r="D56" s="143"/>
      <c r="E56" s="151" t="s">
        <v>247</v>
      </c>
      <c r="F56" s="152" t="s">
        <v>384</v>
      </c>
      <c r="G56" s="484" t="s">
        <v>94</v>
      </c>
    </row>
    <row r="57" spans="2:7" ht="30" customHeight="1">
      <c r="B57" s="84" t="s">
        <v>134</v>
      </c>
      <c r="C57" s="83"/>
      <c r="D57" s="143"/>
      <c r="E57" s="149" t="s">
        <v>386</v>
      </c>
      <c r="F57" s="150" t="s">
        <v>387</v>
      </c>
      <c r="G57" s="485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35.6</v>
      </c>
      <c r="G58" s="484" t="s">
        <v>94</v>
      </c>
    </row>
    <row r="59" spans="2:7" ht="30" customHeight="1">
      <c r="B59" s="460"/>
      <c r="C59" s="460"/>
      <c r="D59" s="461"/>
      <c r="E59" s="460"/>
      <c r="F59" s="460"/>
      <c r="G59" s="488"/>
    </row>
    <row r="60" spans="2:7" ht="30" customHeight="1">
      <c r="B60" s="118" t="s">
        <v>241</v>
      </c>
      <c r="C60" s="116"/>
      <c r="D60" s="117" t="s">
        <v>353</v>
      </c>
      <c r="E60" s="117" t="s">
        <v>203</v>
      </c>
      <c r="F60" s="117" t="s">
        <v>355</v>
      </c>
      <c r="G60" s="482" t="s">
        <v>369</v>
      </c>
    </row>
    <row r="61" spans="2:7" ht="30" customHeight="1">
      <c r="B61" s="128" t="s">
        <v>404</v>
      </c>
      <c r="C61" s="44"/>
      <c r="D61" s="143" t="s">
        <v>622</v>
      </c>
      <c r="E61" s="151" t="s">
        <v>247</v>
      </c>
      <c r="F61" s="152" t="s">
        <v>623</v>
      </c>
      <c r="G61" s="484" t="s">
        <v>94</v>
      </c>
    </row>
    <row r="62" spans="2:7" ht="30" customHeight="1">
      <c r="B62" s="84" t="s">
        <v>405</v>
      </c>
      <c r="C62" s="83"/>
      <c r="D62" s="143" t="s">
        <v>622</v>
      </c>
      <c r="E62" s="149" t="s">
        <v>247</v>
      </c>
      <c r="F62" s="127" t="s">
        <v>547</v>
      </c>
      <c r="G62" s="485" t="s">
        <v>94</v>
      </c>
    </row>
    <row r="63" spans="2:7" ht="30" customHeight="1">
      <c r="B63" s="128" t="s">
        <v>141</v>
      </c>
      <c r="C63" s="44"/>
      <c r="D63" s="143"/>
      <c r="E63" s="151" t="s">
        <v>247</v>
      </c>
      <c r="F63" s="152" t="s">
        <v>547</v>
      </c>
      <c r="G63" s="484" t="s">
        <v>94</v>
      </c>
    </row>
    <row r="64" spans="2:7" ht="30" customHeight="1">
      <c r="B64" s="84" t="s">
        <v>143</v>
      </c>
      <c r="C64" s="83"/>
      <c r="D64" s="143"/>
      <c r="E64" s="149" t="s">
        <v>247</v>
      </c>
      <c r="F64" s="150" t="s">
        <v>547</v>
      </c>
      <c r="G64" s="485" t="s">
        <v>94</v>
      </c>
    </row>
    <row r="65" spans="2:7" ht="30" customHeight="1">
      <c r="B65" s="128" t="s">
        <v>146</v>
      </c>
      <c r="C65" s="44"/>
      <c r="D65" s="143"/>
      <c r="E65" s="151" t="s">
        <v>247</v>
      </c>
      <c r="F65" s="152" t="s">
        <v>547</v>
      </c>
      <c r="G65" s="484" t="s">
        <v>94</v>
      </c>
    </row>
    <row r="66" spans="2:7" ht="30" customHeight="1">
      <c r="B66" s="84" t="s">
        <v>149</v>
      </c>
      <c r="C66" s="83"/>
      <c r="D66" s="143"/>
      <c r="E66" s="149" t="s">
        <v>247</v>
      </c>
      <c r="F66" s="150" t="s">
        <v>547</v>
      </c>
      <c r="G66" s="485" t="s">
        <v>94</v>
      </c>
    </row>
    <row r="67" spans="2:7" ht="30" customHeight="1">
      <c r="B67" s="128" t="s">
        <v>427</v>
      </c>
      <c r="C67" s="44"/>
      <c r="D67" s="143">
        <v>0</v>
      </c>
      <c r="E67" s="151" t="s">
        <v>247</v>
      </c>
      <c r="F67" s="152" t="s">
        <v>547</v>
      </c>
      <c r="G67" s="484" t="s">
        <v>94</v>
      </c>
    </row>
    <row r="68" spans="2:7" ht="30" customHeight="1">
      <c r="B68" s="460"/>
      <c r="C68" s="460"/>
      <c r="D68" s="461"/>
      <c r="E68" s="460"/>
      <c r="F68" s="460"/>
      <c r="G68" s="488"/>
    </row>
    <row r="69" spans="2:7" ht="30" customHeight="1">
      <c r="B69" s="118" t="s">
        <v>249</v>
      </c>
      <c r="C69" s="116"/>
      <c r="D69" s="117" t="s">
        <v>353</v>
      </c>
      <c r="E69" s="117" t="s">
        <v>203</v>
      </c>
      <c r="F69" s="117" t="s">
        <v>355</v>
      </c>
      <c r="G69" s="482" t="s">
        <v>369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0">D70*EUR</f>
        <v>100.303</v>
      </c>
      <c r="G70" s="484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1">D71*SEK</f>
        <v>1374</v>
      </c>
      <c r="F71" s="439">
        <f t="shared" si="20"/>
        <v>122.28599999999999</v>
      </c>
      <c r="G71" s="485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1"/>
        <v>1277</v>
      </c>
      <c r="F72" s="440">
        <f t="shared" si="20"/>
        <v>113.65299999999999</v>
      </c>
      <c r="G72" s="484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1"/>
        <v>1374</v>
      </c>
      <c r="F73" s="439">
        <f t="shared" si="20"/>
        <v>122.28599999999999</v>
      </c>
      <c r="G73" s="485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1"/>
        <v>1139</v>
      </c>
      <c r="F74" s="440">
        <f t="shared" si="20"/>
        <v>101.371</v>
      </c>
      <c r="G74" s="484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1"/>
        <v>1374</v>
      </c>
      <c r="F75" s="439">
        <f t="shared" si="20"/>
        <v>122.28599999999999</v>
      </c>
      <c r="G75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8">
    <cfRule type="cellIs" dxfId="3" priority="25" operator="greaterThan">
      <formula>0</formula>
    </cfRule>
  </conditionalFormatting>
  <conditionalFormatting sqref="D61:D67">
    <cfRule type="cellIs" dxfId="2" priority="1" operator="greaterThan">
      <formula>0</formula>
    </cfRule>
  </conditionalFormatting>
  <conditionalFormatting sqref="D70:D75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2023</vt:lpstr>
      <vt:lpstr>EUR - Safespring services 2023</vt:lpstr>
      <vt:lpstr>EUR - Safespring services 2021</vt:lpstr>
      <vt:lpstr>NOK - Safespring tjenester 2023</vt:lpstr>
      <vt:lpstr>NOK - Safesprings tjeneste 2021</vt:lpstr>
      <vt:lpstr>SUNET SEK - priser 2020</vt:lpstr>
      <vt:lpstr>Data</vt:lpstr>
      <vt:lpstr>'EUR - Safespring services 2023'!b2_list_Antal_instanser</vt:lpstr>
      <vt:lpstr>'NOK - Safespring tjenester 2023'!b2_list_Antal_instanser</vt:lpstr>
      <vt:lpstr>b2_list_Antal_instanser</vt:lpstr>
      <vt:lpstr>'EUR - Safespring services 2023'!b2_list_ram</vt:lpstr>
      <vt:lpstr>'NOK - Safespring tjenester 2023'!b2_list_ram</vt:lpstr>
      <vt:lpstr>b2_list_ram</vt:lpstr>
      <vt:lpstr>'EUR - Safespring services 2023'!b2_list_vCPU</vt:lpstr>
      <vt:lpstr>'NOK - Safespring tjenester 2023'!b2_list_vCPU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2023'!Utskriftsområde</vt:lpstr>
      <vt:lpstr>'NOK - Safespring tjenester 2023'!Utskriftsområde</vt:lpstr>
      <vt:lpstr>'NOK - Safesprings tjeneste 2021'!Utskriftsområde</vt:lpstr>
      <vt:lpstr>'SEK - Safesprings tjänster 2023'!Utskriftsområde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2023-07-31T14:01:57Z</cp:lastPrinted>
  <dcterms:created xsi:type="dcterms:W3CDTF">2015-05-31T16:02:08Z</dcterms:created>
  <dcterms:modified xsi:type="dcterms:W3CDTF">2023-07-31T14:08:03Z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