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13_ncr:1_{68E08CEC-E6C4-0D4A-975C-3A002636A869}" xr6:coauthVersionLast="47" xr6:coauthVersionMax="47" xr10:uidLastSave="{00000000-0000-0000-0000-000000000000}"/>
  <workbookProtection workbookAlgorithmName="SHA-512" workbookHashValue="flwOpWggv7MN8RdV3zj4cRMY8RK9GtYh6QBG8vzOHPhc6PocaCGxREf6gZPLaniq8u7D/zOKcIF0qPsw2i8bEw==" workbookSaltValue="J8ENkb1DLFNK91oUNVU9eQ==" workbookSpinCount="100000" lockStructure="1"/>
  <bookViews>
    <workbookView xWindow="0" yWindow="500" windowWidth="51200" windowHeight="28300" tabRatio="530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2023'!$A$1:$L$240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1" i="3" l="1"/>
  <c r="K172" i="3"/>
  <c r="K174" i="3"/>
  <c r="K175" i="3"/>
  <c r="K174" i="11"/>
  <c r="K175" i="11"/>
  <c r="K177" i="11"/>
  <c r="K178" i="11"/>
  <c r="B26" i="1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1" i="12" a="1"/>
  <c r="C231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3" i="11"/>
  <c r="K150" i="11"/>
  <c r="I56" i="11"/>
  <c r="C56" i="11" a="1"/>
  <c r="C56" i="11" s="1"/>
  <c r="D56" i="11" a="1"/>
  <c r="D56" i="11" s="1"/>
  <c r="I39" i="11"/>
  <c r="C230" i="11" a="1"/>
  <c r="C230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8" i="3" a="1"/>
  <c r="C228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D114" i="8" l="1"/>
  <c r="C229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6" i="11"/>
  <c r="J231" i="11" s="1"/>
  <c r="C231" i="11"/>
  <c r="L174" i="8"/>
  <c r="K172" i="11"/>
  <c r="G133" i="11"/>
  <c r="L173" i="8"/>
  <c r="G132" i="11"/>
  <c r="K132" i="11" s="1"/>
  <c r="K134" i="11" s="1"/>
  <c r="K171" i="11"/>
  <c r="K96" i="12"/>
  <c r="J232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1" i="3"/>
  <c r="M195" i="10"/>
  <c r="K200" i="3"/>
  <c r="M194" i="10"/>
  <c r="K199" i="3"/>
  <c r="M193" i="10"/>
  <c r="K197" i="3"/>
  <c r="K198" i="3"/>
  <c r="K202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3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2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9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1" i="12" s="1"/>
  <c r="J234" i="12" s="1"/>
  <c r="K83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30" i="3" s="1"/>
  <c r="K81" i="3"/>
  <c r="K80" i="3"/>
  <c r="F81" i="3"/>
  <c r="F80" i="3"/>
  <c r="K83" i="3" l="1"/>
  <c r="J228" i="3" s="1"/>
  <c r="J2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<sst xmlns="http://schemas.openxmlformats.org/spreadsheetml/2006/main" count="2108" uniqueCount="672">
  <si>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</si>
  <si>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</si>
  <si>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</si>
  <si>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</si>
  <si>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</si>
  <si>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</si>
  <si>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</si>
  <si>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</si>
  <si>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</si>
  <si>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</si>
  <si>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</si>
  <si>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</si>
  <si>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</si>
  <si>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</si>
  <si>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</si>
  <si>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</si>
  <si>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</si>
  <si>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</si>
  <si>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</si>
  <si>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</si>
  <si>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</si>
  <si>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</si>
  <si>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</si>
  <si>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</si>
  <si>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</si>
  <si>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</si>
  <si>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</si>
  <si>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</si>
  <si>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</si>
  <si>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</si>
  <si>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</si>
  <si>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</si>
  <si>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</si>
  <si>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</si>
  <si>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</si>
  <si>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</si>
  <si>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</si>
  <si>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</si>
  <si>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</si>
  <si>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</si>
  <si>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</si>
  <si>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</si>
  <si>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</si>
  <si>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</si>
  <si>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</si>
  <si>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</si>
  <si>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</si>
  <si>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</si>
  <si>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</si>
  <si>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</si>
  <si>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</si>
  <si>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</si>
  <si>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</si>
  <si>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</si>
  <si>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</si>
  <si>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</si>
  <si>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</si>
  <si>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</si>
  <si>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</si>
  <si>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</si>
  <si>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</si>
  <si>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</si>
  <si>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</si>
  <si>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</si>
  <si>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</si>
  <si>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</si>
  <si>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</si>
  <si>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</si>
  <si>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</si>
  <si>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</si>
  <si>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</si>
  <si>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</si>
  <si>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</si>
  <si>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</si>
  <si>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</si>
  <si>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</si>
  <si>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</si>
  <si>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</si>
  <si>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</si>
  <si>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</si>
  <si>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</si>
  <si>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</si>
  <si>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</si>
  <si>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</si>
  <si>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</si>
  <si>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</si>
  <si>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</si>
  <si>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</si>
  <si>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</si>
  <si>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</si>
  <si>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</si>
  <si>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</si>
  <si>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</si>
  <si>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</si>
  <si>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</si>
  <si>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</si>
  <si>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</si>
  <si>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</si>
  <si>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</si>
  <si>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</si>
  <si>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</si>
  <si>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</si>
  <si>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</si>
  <si>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</si>
  <si>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</si>
  <si>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</si>
  <si>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</si>
  <si>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</si>
  <si>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</si>
  <si>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</si>
  <si>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</si>
  <si>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</si>
  <si>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</si>
  <si>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</si>
  <si>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</si>
  <si>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</si>
  <si>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</si>
  <si>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</si>
  <si>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</si>
  <si>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</si>
  <si>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</si>
  <si>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</si>
  <si>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</si>
  <si>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</si>
  <si>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</si>
  <si>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</si>
  <si>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</si>
  <si>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</si>
  <si>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</si>
  <si>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</si>
  <si>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</si>
  <si>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</si>
  <si>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</si>
  <si>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</si>
  <si>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</si>
  <si>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</si>
  <si>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</si>
  <si>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</si>
  <si>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</si>
  <si>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</si>
  <si>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</si>
  <si>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</si>
  <si>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</si>
  <si>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</si>
  <si>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</si>
  <si>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</si>
  <si>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</si>
  <si>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</si>
  <si>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</si>
  <si>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</si>
  <si>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</si>
  <si>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</si>
  <si>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</si>
  <si>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</si>
  <si>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</si>
  <si>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</si>
  <si>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</si>
  <si>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</si>
  <si>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</si>
  <si>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</si>
  <si>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</si>
  <si>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</si>
  <si>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</si>
  <si>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</si>
  <si>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</si>
  <si>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</si>
  <si>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</si>
  <si>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</si>
  <si>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</si>
  <si>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</si>
  <si>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</si>
  <si>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</si>
  <si>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</si>
  <si>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</si>
  <si>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</si>
  <si>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</si>
  <si>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</si>
  <si>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</si>
  <si>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</si>
  <si>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</si>
  <si>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</si>
  <si>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</si>
  <si>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</si>
  <si>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</si>
  <si>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</si>
  <si>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</si>
  <si>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</si>
  <si>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</si>
  <si>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</si>
  <si>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</si>
  <si>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</si>
  <si>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</si>
  <si>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</si>
  <si>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</si>
  <si>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</si>
  <si>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</si>
  <si>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</si>
  <si>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</si>
  <si>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</si>
  <si>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</si>
  <si>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</si>
  <si>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</si>
  <si>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</si>
  <si>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</si>
  <si>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</si>
  <si>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</si>
  <si>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</si>
  <si>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</si>
  <si>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</si>
  <si>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</si>
  <si>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</si>
  <si>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</si>
  <si>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</si>
  <si>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</si>
  <si>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</si>
  <si>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</si>
  <si>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</si>
  <si>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</si>
  <si>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</si>
  <si>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</si>
  <si>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</si>
  <si>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</si>
  <si>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</si>
  <si>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</si>
  <si>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</si>
  <si>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</si>
  <si>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</si>
  <si>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</si>
  <si>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</si>
  <si>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</si>
  <si>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</si>
  <si>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</si>
  <si>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</si>
  <si>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</si>
  <si>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</si>
  <si>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</si>
  <si>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</si>
  <si>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</si>
  <si>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</si>
  <si>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</si>
  <si>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</si>
  <si>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</si>
  <si>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</si>
  <si>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</si>
  <si>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</si>
  <si>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</si>
  <si>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</si>
  <si>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</si>
  <si>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</si>
  <si>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</si>
  <si>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</si>
  <si>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</si>
  <si>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</si>
  <si>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</si>
  <si>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</si>
  <si>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</si>
  <si>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</si>
  <si>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</si>
  <si>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</si>
  <si>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</si>
  <si>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</si>
  <si>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</si>
  <si>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</si>
  <si>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</si>
  <si>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</si>
  <si>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</si>
  <si>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</si>
  <si>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</si>
  <si>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</si>
  <si>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</si>
  <si>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</si>
  <si>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</si>
  <si>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</si>
  <si>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</si>
  <si>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</si>
  <si>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</si>
  <si>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</si>
  <si>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</si>
  <si>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</si>
  <si>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</si>
  <si>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</si>
  <si>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</si>
  <si>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</si>
  <si>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</si>
  <si>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</si>
  <si>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</si>
  <si>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</si>
  <si>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</si>
  <si>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</si>
  <si>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</si>
  <si>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</si>
  <si>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</si>
  <si>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</si>
  <si>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</si>
  <si>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</si>
  <si>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</si>
  <si>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</si>
  <si>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</si>
  <si>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</si>
  <si>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</si>
  <si>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</si>
  <si>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</si>
  <si>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</si>
  <si>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</si>
  <si>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</si>
  <si>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</si>
  <si>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</si>
  <si>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</si>
  <si>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</si>
  <si>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</si>
  <si>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</si>
  <si>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</si>
  <si>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</si>
  <si>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</si>
  <si>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</si>
  <si>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</si>
  <si>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</si>
  <si>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</si>
  <si>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</si>
  <si>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</si>
  <si>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</si>
  <si>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</si>
  <si>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</si>
  <si>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</si>
  <si>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</si>
  <si>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</si>
  <si>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</si>
  <si>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</si>
  <si>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</si>
  <si>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</si>
  <si>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</si>
  <si>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</si>
  <si>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</si>
  <si>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</si>
  <si>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</si>
  <si>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</si>
  <si>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</si>
  <si>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</si>
  <si>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</si>
  <si>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</si>
  <si>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</si>
  <si>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</si>
  <si>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</si>
  <si>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</si>
  <si>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</si>
  <si>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</si>
  <si>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</si>
  <si>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</si>
  <si>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</si>
  <si>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</si>
  <si>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</si>
  <si>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</si>
  <si>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</si>
  <si>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</si>
  <si>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</si>
  <si>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</si>
  <si>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</si>
  <si>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</si>
  <si>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</si>
  <si>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</si>
  <si>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</si>
  <si>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</si>
  <si>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</si>
  <si>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</si>
  <si>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</si>
  <si>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</si>
  <si>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</si>
  <si>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</si>
  <si>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</si>
  <si>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</si>
  <si>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</si>
  <si>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</si>
  <si>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</si>
  <si>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</si>
  <si>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</si>
  <si>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</si>
  <si>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</si>
  <si>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</si>
  <si>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</si>
  <si>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</si>
  <si>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</si>
  <si>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</si>
  <si>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</si>
  <si>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</si>
  <si>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</si>
  <si>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</si>
  <si>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</si>
  <si>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</si>
  <si>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</si>
  <si>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</si>
  <si>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</si>
  <si>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</si>
  <si>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</si>
  <si>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</si>
  <si>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</si>
  <si>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</si>
  <si>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</si>
  <si>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</si>
  <si>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</si>
  <si>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</si>
  <si>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</si>
  <si>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</si>
  <si>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</si>
  <si>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</si>
  <si>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</si>
  <si>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</si>
  <si>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</si>
  <si>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</si>
  <si>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</si>
  <si>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</si>
  <si>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</si>
  <si>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</si>
  <si>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</si>
  <si>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</si>
  <si>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</si>
  <si>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</si>
  <si>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</si>
  <si>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</si>
  <si>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</si>
  <si>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</si>
  <si>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</si>
  <si>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</si>
  <si>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</si>
  <si>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</si>
  <si>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</si>
  <si>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</si>
  <si>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</si>
  <si>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</si>
  <si>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</si>
  <si>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</si>
  <si>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</si>
  <si>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</si>
  <si>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</si>
  <si>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</si>
  <si>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</si>
  <si>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</si>
  <si>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</si>
  <si>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</si>
  <si>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</si>
  <si>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</si>
  <si>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</si>
  <si>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</si>
  <si>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</si>
  <si>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</si>
  <si>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</si>
  <si>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</si>
  <si>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</si>
  <si>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</si>
  <si>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</si>
  <si>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</si>
  <si>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</si>
  <si>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</si>
  <si>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</si>
  <si>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</si>
  <si>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</si>
  <si>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</si>
  <si>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</si>
  <si>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</si>
  <si>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</si>
  <si>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</si>
  <si>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</si>
  <si>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</si>
  <si>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</si>
  <si>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</si>
  <si>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</si>
  <si>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</si>
  <si>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</si>
  <si>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</si>
  <si>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</si>
  <si>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</si>
  <si>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</si>
  <si>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</si>
  <si>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</si>
  <si>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</si>
  <si>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</si>
  <si>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</si>
  <si>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</si>
  <si>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</si>
  <si>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</si>
  <si>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</si>
  <si>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</si>
  <si>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</si>
  <si>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</si>
  <si>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</si>
  <si>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</si>
  <si>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</si>
  <si>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</si>
  <si>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</si>
  <si>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</si>
  <si>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</si>
  <si>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</si>
  <si>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</si>
  <si>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</si>
  <si>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</si>
  <si>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</si>
  <si>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</si>
  <si>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</si>
  <si>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</si>
  <si>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</si>
  <si>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</si>
  <si>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</si>
  <si>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</si>
  <si>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</si>
  <si>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</si>
  <si>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</si>
  <si>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</si>
  <si>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</si>
  <si>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</si>
  <si>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</si>
  <si>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</si>
  <si>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</si>
  <si>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</si>
  <si>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</si>
  <si>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</si>
  <si>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</si>
  <si>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</si>
  <si>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</si>
  <si>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</si>
  <si>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</si>
  <si>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</si>
  <si>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</si>
  <si>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</si>
  <si>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</si>
  <si>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</si>
  <si>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</si>
  <si>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</si>
  <si>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</si>
  <si>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</si>
  <si>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</si>
  <si>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</si>
  <si>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</si>
  <si>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</si>
  <si>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</si>
  <si>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</si>
  <si>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</si>
  <si>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</si>
  <si>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</si>
  <si>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</si>
  <si>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</si>
  <si>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</si>
  <si>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</si>
  <si>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</si>
  <si>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</si>
  <si>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</si>
  <si>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</si>
  <si>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</si>
  <si>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</si>
  <si>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</si>
  <si>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</si>
  <si>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</si>
  <si>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</si>
  <si>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</si>
  <si>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</si>
  <si>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</si>
  <si>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</si>
  <si>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</si>
  <si>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</si>
  <si>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</si>
  <si>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</si>
  <si>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</si>
  <si>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</si>
  <si>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</si>
  <si>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</si>
  <si>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</si>
  <si>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</si>
  <si>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</si>
  <si>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</si>
  <si>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</si>
  <si>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</si>
  <si>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</si>
  <si>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</si>
  <si>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</si>
  <si>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</si>
  <si>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</si>
  <si>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</si>
  <si>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</si>
  <si>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</si>
  <si>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</si>
  <si>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</si>
  <si>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</si>
  <si>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</si>
  <si>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</si>
  <si>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</si>
  <si>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</si>
  <si>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</si>
  <si>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</si>
  <si>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</si>
  <si>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</si>
  <si>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</si>
  <si>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</si>
  <si>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</si>
  <si>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</si>
  <si>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</si>
  <si>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</si>
  <si>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</si>
  <si>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</si>
  <si>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</si>
  <si>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</si>
  <si>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</si>
  <si>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</si>
  <si>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</si>
  <si>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</si>
  <si>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</si>
  <si>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</si>
  <si>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</si>
  <si>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</si>
  <si>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</si>
  <si>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</si>
  <si>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</si>
  <si>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</si>
  <si>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</si>
  <si>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</si>
  <si>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</si>
  <si>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</si>
  <si>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</si>
  <si>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</si>
  <si>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</si>
  <si>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</si>
  <si>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</si>
  <si>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</si>
  <si>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</si>
  <si>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</si>
  <si>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</si>
  <si>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</si>
  <si>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</si>
  <si>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</si>
  <si>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</si>
  <si>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</si>
  <si>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</si>
  <si>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</si>
  <si>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Price calculator 2023-03-30</t>
  </si>
  <si>
    <t>Priskalkulator 30.03.2023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</si>
  <si>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</si>
  <si>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</si>
  <si>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</si>
  <si>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</si>
  <si>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</si>
  <si>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</si>
  <si>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</si>
  <si>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</si>
  <si>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</si>
  <si>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</si>
  <si>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</si>
  <si>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</si>
  <si>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</si>
  <si>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</si>
  <si>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</si>
  <si>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</si>
  <si>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</si>
  <si>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</si>
  <si>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</si>
  <si>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</si>
  <si>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</si>
  <si>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</si>
  <si>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</si>
  <si>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</si>
  <si>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</si>
  <si>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</si>
  <si>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</si>
  <si>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</si>
  <si>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</si>
  <si>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</si>
  <si>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</si>
  <si>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</si>
  <si>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</si>
  <si>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</si>
  <si>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</si>
  <si>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</si>
  <si>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</si>
  <si>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</si>
  <si>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</si>
  <si>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Priskalkylator 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</si>
</sst>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7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7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608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400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3" t="s">
        <v>665</v>
      </c>
      <c r="C24" s="983"/>
      <c r="D24" s="983"/>
      <c r="E24" s="98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637</v>
      </c>
      <c r="E25" s="131" t="s">
        <v>636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638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639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640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641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642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643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644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645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646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647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648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649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650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664</v>
      </c>
      <c r="C43" s="650"/>
      <c r="D43" s="650"/>
      <c r="K43" s="842"/>
      <c r="M43" s="664"/>
    </row>
    <row r="44" spans="2:19" ht="25" customHeight="1">
      <c r="B44" s="983" t="s">
        <v>665</v>
      </c>
      <c r="C44" s="983"/>
      <c r="D44" s="983"/>
      <c r="E44" s="983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651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652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653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654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">
        <v>655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656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657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658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659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660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4" t="s">
        <v>603</v>
      </c>
      <c r="C59" s="984"/>
      <c r="D59" s="984"/>
      <c r="E59" s="984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4" t="s">
        <v>603</v>
      </c>
      <c r="C69" s="984"/>
      <c r="D69" s="984"/>
      <c r="E69" s="984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77" t="s">
        <v>609</v>
      </c>
      <c r="C86" s="977"/>
      <c r="D86" s="977"/>
      <c r="E86" s="977"/>
      <c r="F86" s="977"/>
      <c r="G86" s="977"/>
      <c r="H86" s="977"/>
      <c r="I86" s="977"/>
      <c r="J86" s="977"/>
      <c r="K86" s="977"/>
      <c r="M86" s="664"/>
    </row>
    <row r="87" spans="2:20" s="4" customFormat="1" ht="25" customHeight="1">
      <c r="B87" s="977"/>
      <c r="C87" s="977"/>
      <c r="D87" s="977"/>
      <c r="E87" s="977"/>
      <c r="F87" s="977"/>
      <c r="G87" s="977"/>
      <c r="H87" s="977"/>
      <c r="I87" s="977"/>
      <c r="J87" s="977"/>
      <c r="K87" s="977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1" t="s">
        <v>225</v>
      </c>
      <c r="E99" s="981"/>
      <c r="F99" s="981"/>
      <c r="G99" s="981"/>
      <c r="H99" s="981"/>
      <c r="I99" s="981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0">
        <f>S3_archive.50_SEK</f>
        <v>350</v>
      </c>
      <c r="E101" s="980"/>
      <c r="F101" s="980"/>
      <c r="G101" s="980"/>
      <c r="H101" s="980"/>
      <c r="I101" s="980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5">
        <f>S3_archive.100_SEK</f>
        <v>270</v>
      </c>
      <c r="E102" s="985"/>
      <c r="F102" s="985"/>
      <c r="G102" s="985"/>
      <c r="H102" s="985"/>
      <c r="I102" s="985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7">
        <f>S3_archive.500_SEK</f>
        <v>200</v>
      </c>
      <c r="E103" s="987"/>
      <c r="F103" s="987"/>
      <c r="G103" s="987"/>
      <c r="H103" s="987"/>
      <c r="I103" s="987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5">
        <f>S3_archive.1000_SEK</f>
        <v>185</v>
      </c>
      <c r="E104" s="985"/>
      <c r="F104" s="985"/>
      <c r="G104" s="985"/>
      <c r="H104" s="985"/>
      <c r="I104" s="985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6" t="str">
        <f>S3_archive.quote_SEK</f>
        <v>Be om offert</v>
      </c>
      <c r="E105" s="986"/>
      <c r="F105" s="986"/>
      <c r="G105" s="986"/>
      <c r="H105" s="986"/>
      <c r="I105" s="986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7" t="s">
        <v>616</v>
      </c>
      <c r="C109" s="977"/>
      <c r="D109" s="977"/>
      <c r="E109" s="977"/>
      <c r="F109" s="977"/>
      <c r="G109" s="977"/>
      <c r="H109" s="672"/>
      <c r="J109" s="674"/>
      <c r="K109" s="833"/>
      <c r="L109" s="674"/>
      <c r="M109" s="664"/>
    </row>
    <row r="110" spans="2:19" s="4" customFormat="1" ht="25" customHeight="1">
      <c r="B110" s="977"/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7" t="s">
        <v>434</v>
      </c>
      <c r="C124" s="977"/>
      <c r="D124" s="977"/>
      <c r="E124" s="977"/>
      <c r="F124" s="977"/>
      <c r="G124" s="977"/>
      <c r="H124" s="672"/>
      <c r="J124" s="674"/>
      <c r="K124" s="833"/>
      <c r="L124" s="674"/>
      <c r="M124" s="664"/>
    </row>
    <row r="125" spans="2:32" s="4" customFormat="1" ht="25" hidden="1" customHeight="1">
      <c r="B125" s="977"/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8" t="s">
        <v>437</v>
      </c>
      <c r="D131" s="988"/>
      <c r="E131" s="988" t="s">
        <v>438</v>
      </c>
      <c r="F131" s="988"/>
      <c r="G131" s="988" t="s">
        <v>228</v>
      </c>
      <c r="H131" s="988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3" t="s">
        <v>533</v>
      </c>
      <c r="D132" s="993"/>
      <c r="E132" s="995" t="s">
        <v>436</v>
      </c>
      <c r="F132" s="995"/>
      <c r="G132" s="989">
        <v>15000</v>
      </c>
      <c r="H132" s="990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4" t="s">
        <v>435</v>
      </c>
      <c r="D133" s="994"/>
      <c r="E133" s="996" t="s">
        <v>439</v>
      </c>
      <c r="F133" s="996"/>
      <c r="G133" s="991">
        <v>24000</v>
      </c>
      <c r="H133" s="992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7" t="s">
        <v>234</v>
      </c>
      <c r="C138" s="977"/>
      <c r="D138" s="977"/>
      <c r="E138" s="977"/>
      <c r="F138" s="977"/>
      <c r="G138" s="977"/>
      <c r="H138" s="672"/>
      <c r="J138" s="674"/>
      <c r="K138" s="833"/>
      <c r="M138" s="664"/>
    </row>
    <row r="139" spans="2:32" s="4" customFormat="1" ht="25" customHeight="1">
      <c r="B139" s="977"/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67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629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867" t="str">
        <f>PAAS_openshift_SEK</f>
        <v>Begär offert</v>
      </c>
      <c r="M172" s="664"/>
      <c r="N172" s="742"/>
      <c r="O172" s="8"/>
    </row>
    <row r="173" spans="2:18" ht="25" customHeight="1">
      <c r="B173" s="134" t="s">
        <v>670</v>
      </c>
      <c r="C173" s="129"/>
      <c r="D173" s="30"/>
      <c r="E173" s="30" t="s">
        <v>669</v>
      </c>
      <c r="F173" s="30"/>
      <c r="G173" s="30"/>
      <c r="H173" s="30"/>
      <c r="I173" s="30"/>
      <c r="J173" s="40"/>
      <c r="K173" s="629">
        <v>5650</v>
      </c>
      <c r="M173" s="664"/>
      <c r="N173" s="742"/>
      <c r="O173" s="8"/>
    </row>
    <row r="174" spans="2:18" ht="25" customHeight="1">
      <c r="B174" s="137" t="s">
        <v>483</v>
      </c>
      <c r="C174" s="130"/>
      <c r="D174" s="38"/>
      <c r="E174" s="38" t="s">
        <v>147</v>
      </c>
      <c r="F174" s="771"/>
      <c r="G174" s="771"/>
      <c r="H174" s="771"/>
      <c r="I174" s="771"/>
      <c r="J174" s="779"/>
      <c r="K174" s="867" t="str">
        <f>PAAS_man.nats_SEK</f>
        <v>Begär offert</v>
      </c>
      <c r="M174" s="664"/>
      <c r="N174" s="742"/>
      <c r="O174" s="8"/>
    </row>
    <row r="175" spans="2:18" ht="25" customHeight="1">
      <c r="B175" s="134" t="s">
        <v>484</v>
      </c>
      <c r="C175" s="129"/>
      <c r="D175" s="30"/>
      <c r="E175" s="30" t="s">
        <v>150</v>
      </c>
      <c r="F175" s="30"/>
      <c r="G175" s="30"/>
      <c r="H175" s="30"/>
      <c r="I175" s="30"/>
      <c r="J175" s="40"/>
      <c r="K175" s="629" t="str">
        <f>PAAS_man.mariadb_SEK</f>
        <v>Begär offert</v>
      </c>
      <c r="M175" s="664"/>
      <c r="N175" s="742"/>
      <c r="O175" s="8"/>
    </row>
    <row r="176" spans="2:18" ht="25" customHeight="1">
      <c r="B176" s="137" t="s">
        <v>442</v>
      </c>
      <c r="C176" s="130"/>
      <c r="D176" s="38"/>
      <c r="E176" s="38" t="s">
        <v>144</v>
      </c>
      <c r="F176" s="771"/>
      <c r="G176" s="771"/>
      <c r="H176" s="771"/>
      <c r="I176" s="771"/>
      <c r="J176" s="779"/>
      <c r="K176" s="867" t="s">
        <v>247</v>
      </c>
      <c r="M176" s="664"/>
      <c r="N176" s="742"/>
      <c r="O176" s="8"/>
    </row>
    <row r="177" spans="2:20" ht="25" customHeight="1">
      <c r="B177" s="106"/>
      <c r="C177" s="103"/>
      <c r="D177" s="397"/>
      <c r="E177" s="105"/>
      <c r="F177" s="777"/>
      <c r="G177" s="777"/>
      <c r="H177" s="777"/>
      <c r="I177" s="777"/>
      <c r="J177" s="778"/>
      <c r="K177" s="857"/>
      <c r="M177" s="664"/>
      <c r="N177" s="742"/>
      <c r="O177" s="8"/>
    </row>
    <row r="178" spans="2:20" ht="25" customHeight="1">
      <c r="B178" s="137"/>
      <c r="C178" s="130"/>
      <c r="D178" s="38"/>
      <c r="E178" s="31"/>
      <c r="F178" s="771"/>
      <c r="G178" s="779"/>
      <c r="H178" s="773"/>
      <c r="I178" s="441"/>
      <c r="M178" s="664"/>
    </row>
    <row r="179" spans="2:20" ht="25" customHeight="1">
      <c r="B179" s="417"/>
      <c r="C179" s="26"/>
      <c r="D179" s="26"/>
      <c r="E179" s="26"/>
      <c r="F179" s="760"/>
      <c r="G179" s="761"/>
      <c r="H179" s="26"/>
      <c r="I179" s="740"/>
      <c r="K179" s="846"/>
      <c r="L179" s="742"/>
      <c r="M179" s="664"/>
      <c r="N179" s="675"/>
      <c r="O179" s="675"/>
    </row>
    <row r="180" spans="2:20" s="4" customFormat="1" ht="25" customHeight="1">
      <c r="B180" s="977" t="s">
        <v>243</v>
      </c>
      <c r="C180" s="977"/>
      <c r="D180" s="977"/>
      <c r="E180" s="977"/>
      <c r="F180" s="977"/>
      <c r="G180" s="977"/>
      <c r="H180" s="780"/>
      <c r="J180" s="674"/>
      <c r="K180" s="833"/>
      <c r="M180" s="664"/>
    </row>
    <row r="181" spans="2:20" s="4" customFormat="1" ht="25" customHeight="1">
      <c r="B181" s="977"/>
      <c r="C181" s="977"/>
      <c r="D181" s="977"/>
      <c r="E181" s="977"/>
      <c r="F181" s="977"/>
      <c r="G181" s="977"/>
      <c r="H181" s="780"/>
      <c r="J181" s="674"/>
      <c r="K181" s="833"/>
      <c r="M181" s="664"/>
    </row>
    <row r="182" spans="2:20" s="4" customFormat="1" ht="25" customHeight="1">
      <c r="B182" s="977"/>
      <c r="C182" s="977"/>
      <c r="D182" s="977"/>
      <c r="E182" s="977"/>
      <c r="F182" s="977"/>
      <c r="G182" s="977"/>
      <c r="H182" s="780"/>
      <c r="J182" s="674"/>
      <c r="K182" s="833"/>
      <c r="M182" s="664"/>
    </row>
    <row r="183" spans="2:20" s="4" customFormat="1" ht="25" customHeight="1">
      <c r="B183" s="978" t="s">
        <v>506</v>
      </c>
      <c r="C183" s="978"/>
      <c r="D183" s="978"/>
      <c r="E183" s="978"/>
      <c r="F183" s="978"/>
      <c r="H183" s="780"/>
      <c r="J183" s="674"/>
      <c r="K183" s="833"/>
      <c r="M183" s="664"/>
    </row>
    <row r="184" spans="2:20" s="4" customFormat="1" ht="25" customHeight="1">
      <c r="B184" s="979" t="s">
        <v>412</v>
      </c>
      <c r="C184" s="979"/>
      <c r="D184" s="979"/>
      <c r="E184" s="979"/>
      <c r="F184" s="979"/>
      <c r="G184" s="677"/>
      <c r="H184" s="678"/>
      <c r="I184" s="677"/>
      <c r="J184" s="679"/>
      <c r="K184" s="834"/>
      <c r="L184" s="677"/>
      <c r="M184" s="664"/>
    </row>
    <row r="185" spans="2:20" s="4" customFormat="1" ht="25" customHeight="1">
      <c r="B185" s="465"/>
      <c r="C185" s="133"/>
      <c r="D185" s="133"/>
      <c r="E185" s="133"/>
      <c r="F185" s="133"/>
      <c r="G185" s="677"/>
      <c r="H185" s="678"/>
      <c r="I185" s="677"/>
      <c r="J185" s="679"/>
      <c r="K185" s="834"/>
      <c r="L185" s="677"/>
      <c r="M185" s="664"/>
    </row>
    <row r="186" spans="2:20" ht="25" customHeight="1">
      <c r="B186" s="649" t="s">
        <v>152</v>
      </c>
      <c r="C186" s="13"/>
      <c r="D186" s="13"/>
      <c r="F186" s="13"/>
      <c r="G186" s="13"/>
      <c r="H186" s="13"/>
      <c r="I186" s="13"/>
      <c r="J186" s="13"/>
      <c r="K186" s="858"/>
      <c r="L186" s="13"/>
      <c r="M186" s="664"/>
      <c r="O186" s="742"/>
      <c r="P186" s="742"/>
      <c r="Q186" s="8"/>
      <c r="S186" s="675"/>
      <c r="T186" s="675"/>
    </row>
    <row r="187" spans="2:20" ht="25" customHeight="1">
      <c r="B187" s="628" t="s">
        <v>502</v>
      </c>
      <c r="M187" s="664"/>
    </row>
    <row r="188" spans="2:20" ht="25" customHeight="1">
      <c r="B188" s="470" t="s">
        <v>208</v>
      </c>
      <c r="C188" s="23"/>
      <c r="D188" s="23" t="s">
        <v>220</v>
      </c>
      <c r="E188" s="132"/>
      <c r="F188" s="24"/>
      <c r="G188" s="131"/>
      <c r="H188" s="131"/>
      <c r="I188" s="23" t="s">
        <v>236</v>
      </c>
      <c r="J188" s="23"/>
      <c r="K188" s="612" t="s">
        <v>92</v>
      </c>
      <c r="L188" s="740"/>
      <c r="M188" s="664"/>
      <c r="N188" s="742"/>
      <c r="O188" s="8"/>
      <c r="Q188" s="675"/>
      <c r="R188" s="675"/>
    </row>
    <row r="189" spans="2:20" ht="25" customHeight="1">
      <c r="B189" s="134" t="s">
        <v>485</v>
      </c>
      <c r="C189" s="129"/>
      <c r="D189" s="30" t="s">
        <v>413</v>
      </c>
      <c r="E189" s="40"/>
      <c r="F189" s="30"/>
      <c r="G189" s="40"/>
      <c r="H189" s="40"/>
      <c r="I189" s="775" t="s">
        <v>94</v>
      </c>
      <c r="J189" s="775"/>
      <c r="K189" s="555">
        <v>0</v>
      </c>
      <c r="L189" s="740"/>
      <c r="M189" s="664"/>
      <c r="N189" s="742"/>
      <c r="O189" s="8"/>
      <c r="Q189" s="675"/>
      <c r="R189" s="675"/>
    </row>
    <row r="190" spans="2:20" ht="25" customHeight="1">
      <c r="B190" s="137" t="s">
        <v>486</v>
      </c>
      <c r="C190" s="130"/>
      <c r="D190" s="38" t="s">
        <v>156</v>
      </c>
      <c r="E190" s="31"/>
      <c r="F190" s="771"/>
      <c r="G190" s="779"/>
      <c r="H190" s="779"/>
      <c r="I190" s="773" t="s">
        <v>244</v>
      </c>
      <c r="J190" s="773"/>
      <c r="K190" s="554" t="s">
        <v>499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487</v>
      </c>
      <c r="C191" s="129"/>
      <c r="D191" s="30" t="s">
        <v>160</v>
      </c>
      <c r="E191" s="129"/>
      <c r="F191" s="129"/>
      <c r="G191" s="129"/>
      <c r="H191" s="40"/>
      <c r="I191" s="770" t="s">
        <v>246</v>
      </c>
      <c r="J191" s="770"/>
      <c r="K191" s="555" t="s">
        <v>247</v>
      </c>
      <c r="L191" s="740"/>
      <c r="M191" s="664"/>
      <c r="N191" s="742"/>
      <c r="O191" s="8"/>
      <c r="Q191" s="675"/>
      <c r="R191" s="675"/>
    </row>
    <row r="192" spans="2:20" ht="25" customHeight="1">
      <c r="B192" s="106"/>
      <c r="C192" s="103"/>
      <c r="D192" s="103"/>
      <c r="E192" s="105"/>
      <c r="F192" s="777"/>
      <c r="G192" s="778"/>
      <c r="H192" s="778"/>
      <c r="I192" s="781"/>
      <c r="J192" s="781"/>
      <c r="K192" s="857"/>
      <c r="L192" s="740"/>
      <c r="M192" s="664"/>
      <c r="N192" s="742"/>
      <c r="O192" s="8"/>
      <c r="Q192" s="675"/>
      <c r="R192" s="675"/>
    </row>
    <row r="193" spans="2:18" ht="25" customHeight="1">
      <c r="B193" s="137"/>
      <c r="C193" s="130"/>
      <c r="D193" s="38"/>
      <c r="E193" s="31"/>
      <c r="F193" s="771"/>
      <c r="G193" s="779"/>
      <c r="H193" s="779"/>
      <c r="I193" s="773"/>
      <c r="J193" s="773"/>
      <c r="K193" s="554"/>
      <c r="L193" s="740"/>
      <c r="M193" s="664"/>
      <c r="N193" s="742"/>
      <c r="O193" s="8"/>
      <c r="Q193" s="675"/>
      <c r="R193" s="675"/>
    </row>
    <row r="194" spans="2:18" s="651" customFormat="1" ht="25" customHeight="1">
      <c r="B194" s="649" t="s">
        <v>249</v>
      </c>
      <c r="C194" s="878"/>
      <c r="D194" s="878"/>
      <c r="F194" s="878"/>
      <c r="G194" s="878"/>
      <c r="H194" s="878"/>
      <c r="I194" s="879"/>
      <c r="J194" s="879"/>
      <c r="K194" s="704"/>
      <c r="L194" s="880"/>
      <c r="M194" s="664"/>
      <c r="N194" s="881"/>
      <c r="O194" s="882"/>
      <c r="Q194" s="882"/>
      <c r="R194" s="882"/>
    </row>
    <row r="195" spans="2:18" ht="25" customHeight="1">
      <c r="B195" s="628" t="s">
        <v>503</v>
      </c>
      <c r="M195" s="664"/>
    </row>
    <row r="196" spans="2:18" ht="25" customHeight="1">
      <c r="B196" s="470" t="s">
        <v>208</v>
      </c>
      <c r="C196" s="23"/>
      <c r="D196" s="23" t="s">
        <v>220</v>
      </c>
      <c r="E196" s="132"/>
      <c r="F196" s="24"/>
      <c r="G196" s="131"/>
      <c r="H196" s="131"/>
      <c r="I196" s="23" t="s">
        <v>236</v>
      </c>
      <c r="J196" s="23"/>
      <c r="K196" s="612" t="s">
        <v>92</v>
      </c>
      <c r="L196" s="740"/>
      <c r="M196" s="664"/>
      <c r="N196" s="742"/>
      <c r="O196" s="8"/>
      <c r="Q196" s="675"/>
      <c r="R196" s="675"/>
    </row>
    <row r="197" spans="2:18" ht="25" customHeight="1">
      <c r="B197" s="134" t="s">
        <v>488</v>
      </c>
      <c r="C197" s="129"/>
      <c r="D197" s="30" t="s">
        <v>166</v>
      </c>
      <c r="E197" s="40"/>
      <c r="F197" s="30"/>
      <c r="G197" s="40"/>
      <c r="H197" s="40"/>
      <c r="I197" s="770" t="s">
        <v>246</v>
      </c>
      <c r="J197" s="770"/>
      <c r="K197" s="629">
        <f>PS_consult.jun_SEK</f>
        <v>1127</v>
      </c>
      <c r="L197" s="740"/>
      <c r="M197" s="664"/>
      <c r="N197" s="742"/>
      <c r="O197" s="8"/>
      <c r="Q197" s="675"/>
      <c r="R197" s="675"/>
    </row>
    <row r="198" spans="2:18" ht="25" customHeight="1">
      <c r="B198" s="137" t="s">
        <v>489</v>
      </c>
      <c r="C198" s="130"/>
      <c r="D198" s="38" t="s">
        <v>168</v>
      </c>
      <c r="E198" s="31"/>
      <c r="F198" s="771"/>
      <c r="G198" s="779"/>
      <c r="H198" s="779"/>
      <c r="I198" s="773" t="s">
        <v>246</v>
      </c>
      <c r="J198" s="773"/>
      <c r="K198" s="867">
        <f>PS_consult.sen_SEK</f>
        <v>1374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490</v>
      </c>
      <c r="C199" s="129"/>
      <c r="D199" s="30" t="s">
        <v>170</v>
      </c>
      <c r="E199" s="40"/>
      <c r="F199" s="30"/>
      <c r="G199" s="40"/>
      <c r="H199" s="40"/>
      <c r="I199" s="770" t="s">
        <v>246</v>
      </c>
      <c r="J199" s="770"/>
      <c r="K199" s="629">
        <f>PS_cloudarch.jun_SEK</f>
        <v>1277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491</v>
      </c>
      <c r="C200" s="130"/>
      <c r="D200" s="38" t="s">
        <v>172</v>
      </c>
      <c r="E200" s="38"/>
      <c r="F200" s="38"/>
      <c r="G200" s="779"/>
      <c r="H200" s="779"/>
      <c r="I200" s="773" t="s">
        <v>246</v>
      </c>
      <c r="J200" s="773"/>
      <c r="K200" s="867">
        <f>PS_cloudarch.sen_SEK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492</v>
      </c>
      <c r="C201" s="129"/>
      <c r="D201" s="30" t="s">
        <v>174</v>
      </c>
      <c r="E201" s="40"/>
      <c r="F201" s="30"/>
      <c r="G201" s="40"/>
      <c r="H201" s="40"/>
      <c r="I201" s="770" t="s">
        <v>246</v>
      </c>
      <c r="J201" s="770"/>
      <c r="K201" s="629">
        <f>PS_pm.jun_SEK</f>
        <v>1139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493</v>
      </c>
      <c r="C202" s="130"/>
      <c r="D202" s="38" t="s">
        <v>176</v>
      </c>
      <c r="E202" s="31"/>
      <c r="F202" s="771"/>
      <c r="G202" s="779"/>
      <c r="H202" s="779"/>
      <c r="I202" s="773" t="s">
        <v>246</v>
      </c>
      <c r="J202" s="773"/>
      <c r="K202" s="867">
        <f>PS_pm.sen_SEK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06"/>
      <c r="C203" s="103"/>
      <c r="D203" s="397"/>
      <c r="E203" s="105"/>
      <c r="F203" s="777"/>
      <c r="G203" s="778"/>
      <c r="H203" s="778"/>
      <c r="I203" s="781"/>
      <c r="J203" s="781"/>
      <c r="K203" s="857"/>
      <c r="L203" s="740"/>
      <c r="M203" s="664"/>
      <c r="N203" s="742"/>
      <c r="O203" s="8"/>
      <c r="Q203" s="675"/>
      <c r="R203" s="675"/>
    </row>
    <row r="204" spans="2:18" ht="25" customHeight="1">
      <c r="B204" s="137"/>
      <c r="C204" s="130"/>
      <c r="D204" s="38"/>
      <c r="E204" s="31"/>
      <c r="F204" s="771"/>
      <c r="G204" s="779"/>
      <c r="H204" s="779"/>
      <c r="I204" s="773"/>
      <c r="J204" s="773"/>
      <c r="K204" s="554"/>
      <c r="M204" s="664"/>
      <c r="N204" s="742"/>
      <c r="O204" s="8"/>
    </row>
    <row r="205" spans="2:18" ht="25" customHeight="1">
      <c r="B205" s="649" t="s">
        <v>250</v>
      </c>
      <c r="C205" s="13"/>
      <c r="D205" s="13"/>
      <c r="F205" s="13"/>
      <c r="G205" s="13"/>
      <c r="H205" s="13"/>
      <c r="I205" s="776"/>
      <c r="J205" s="776"/>
      <c r="L205" s="740"/>
      <c r="M205" s="664"/>
      <c r="N205" s="742"/>
      <c r="O205" s="8"/>
      <c r="Q205" s="675"/>
      <c r="R205" s="675"/>
    </row>
    <row r="206" spans="2:18" ht="25" customHeight="1">
      <c r="B206" s="628" t="s">
        <v>504</v>
      </c>
      <c r="M206" s="664"/>
    </row>
    <row r="207" spans="2:18" ht="25" customHeight="1">
      <c r="B207" s="470" t="s">
        <v>208</v>
      </c>
      <c r="C207" s="23"/>
      <c r="D207" s="23" t="s">
        <v>220</v>
      </c>
      <c r="E207" s="132"/>
      <c r="F207" s="24"/>
      <c r="G207" s="23" t="s">
        <v>251</v>
      </c>
      <c r="H207" s="23"/>
      <c r="I207" s="23" t="s">
        <v>236</v>
      </c>
      <c r="J207" s="23"/>
      <c r="K207" s="612" t="s">
        <v>92</v>
      </c>
      <c r="L207" s="740"/>
      <c r="M207" s="664"/>
      <c r="N207" s="742"/>
      <c r="O207" s="8"/>
      <c r="Q207" s="675"/>
      <c r="R207" s="675"/>
    </row>
    <row r="208" spans="2:18" ht="25" customHeight="1">
      <c r="B208" s="134" t="s">
        <v>632</v>
      </c>
      <c r="C208" s="129"/>
      <c r="D208" s="30" t="s">
        <v>252</v>
      </c>
      <c r="E208" s="40"/>
      <c r="F208" s="30"/>
      <c r="G208" s="770" t="s">
        <v>253</v>
      </c>
      <c r="H208" s="770"/>
      <c r="I208" s="770" t="s">
        <v>254</v>
      </c>
      <c r="J208" s="770"/>
      <c r="K208" s="555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7" t="s">
        <v>633</v>
      </c>
      <c r="C209" s="130"/>
      <c r="D209" s="38" t="s">
        <v>255</v>
      </c>
      <c r="E209" s="31"/>
      <c r="F209" s="771"/>
      <c r="G209" s="773" t="s">
        <v>253</v>
      </c>
      <c r="H209" s="773"/>
      <c r="I209" s="773" t="s">
        <v>254</v>
      </c>
      <c r="J209" s="773"/>
      <c r="K209" s="554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634</v>
      </c>
      <c r="C210" s="129"/>
      <c r="D210" s="30" t="s">
        <v>256</v>
      </c>
      <c r="E210" s="40"/>
      <c r="F210" s="30"/>
      <c r="G210" s="770" t="s">
        <v>257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635</v>
      </c>
      <c r="C211" s="130"/>
      <c r="D211" s="38" t="s">
        <v>258</v>
      </c>
      <c r="E211" s="31"/>
      <c r="F211" s="771"/>
      <c r="G211" s="773" t="s">
        <v>257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06"/>
      <c r="C212" s="103"/>
      <c r="D212" s="397"/>
      <c r="E212" s="105"/>
      <c r="F212" s="777"/>
      <c r="G212" s="778"/>
      <c r="H212" s="778"/>
      <c r="I212" s="778"/>
      <c r="J212" s="778"/>
      <c r="K212" s="857"/>
      <c r="L212" s="740"/>
      <c r="M212" s="664"/>
      <c r="N212" s="742"/>
      <c r="O212" s="8"/>
      <c r="Q212" s="675"/>
      <c r="R212" s="675"/>
    </row>
    <row r="213" spans="1:18" ht="25" customHeight="1">
      <c r="B213" s="417"/>
      <c r="C213" s="26"/>
      <c r="D213" s="26"/>
      <c r="E213" s="26"/>
      <c r="F213" s="760"/>
      <c r="G213" s="761"/>
      <c r="H213" s="740"/>
      <c r="I213" s="740"/>
      <c r="J213" s="740"/>
      <c r="K213" s="847"/>
      <c r="L213" s="742"/>
      <c r="M213" s="664"/>
      <c r="N213" s="675"/>
      <c r="O213" s="675"/>
    </row>
    <row r="214" spans="1:18" ht="25" customHeight="1">
      <c r="A214" s="769"/>
      <c r="B214" s="640"/>
      <c r="C214" s="60"/>
      <c r="D214" s="60"/>
      <c r="E214" s="60"/>
      <c r="F214" s="782"/>
      <c r="G214" s="783"/>
      <c r="H214" s="784"/>
      <c r="I214" s="785"/>
      <c r="J214" s="786"/>
      <c r="K214" s="859"/>
      <c r="L214" s="787"/>
      <c r="M214" s="664"/>
      <c r="N214" s="675"/>
      <c r="O214" s="675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975" t="s">
        <v>259</v>
      </c>
      <c r="C218" s="975"/>
      <c r="D218" s="975"/>
      <c r="E218" s="975"/>
      <c r="F218" s="975"/>
      <c r="G218" s="975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75"/>
      <c r="C219" s="975"/>
      <c r="D219" s="975"/>
      <c r="E219" s="975"/>
      <c r="F219" s="975"/>
      <c r="G219" s="975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5"/>
      <c r="C220" s="975"/>
      <c r="D220" s="975"/>
      <c r="E220" s="975"/>
      <c r="F220" s="975"/>
      <c r="G220" s="975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6" t="s">
        <v>412</v>
      </c>
      <c r="C221" s="976"/>
      <c r="D221" s="976"/>
      <c r="E221" s="976"/>
      <c r="F221" s="976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634"/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22" t="s">
        <v>494</v>
      </c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18" t="s">
        <v>202</v>
      </c>
      <c r="C224" s="62"/>
      <c r="D224" s="62"/>
      <c r="E224" s="62"/>
      <c r="F224" s="62"/>
      <c r="G224" s="3"/>
      <c r="H224" s="666"/>
      <c r="I224" s="3"/>
      <c r="J224" s="667"/>
      <c r="K224" s="831"/>
      <c r="L224" s="794"/>
      <c r="M224" s="664"/>
    </row>
    <row r="225" spans="1:20" s="4" customFormat="1" ht="25" customHeight="1">
      <c r="A225" s="3"/>
      <c r="B225" s="913" t="s">
        <v>627</v>
      </c>
      <c r="C225" s="67"/>
      <c r="D225" s="67"/>
      <c r="E225" s="67"/>
      <c r="F225" s="67"/>
      <c r="G225" s="794"/>
      <c r="H225" s="795"/>
      <c r="I225" s="794"/>
      <c r="J225" s="796"/>
      <c r="K225" s="861"/>
      <c r="L225" s="794"/>
      <c r="M225" s="664"/>
    </row>
    <row r="226" spans="1:20" s="715" customFormat="1" ht="25" customHeight="1">
      <c r="A226" s="797"/>
      <c r="B226" s="883"/>
      <c r="C226" s="135"/>
      <c r="D226" s="135"/>
      <c r="E226" s="135"/>
      <c r="F226" s="135"/>
      <c r="G226" s="794"/>
      <c r="H226" s="795"/>
      <c r="I226" s="794"/>
      <c r="J226" s="796"/>
      <c r="K226" s="861"/>
      <c r="L226" s="797"/>
      <c r="M226" s="664"/>
      <c r="N226" s="798"/>
      <c r="O226" s="729"/>
      <c r="P226" s="729"/>
      <c r="Q226" s="729"/>
      <c r="R226" s="729"/>
      <c r="S226" s="729"/>
      <c r="T226" s="729"/>
    </row>
    <row r="227" spans="1:20" ht="25" customHeight="1">
      <c r="A227" s="2"/>
      <c r="B227" s="642" t="s">
        <v>495</v>
      </c>
      <c r="C227" s="56"/>
      <c r="D227" s="57"/>
      <c r="E227" s="56"/>
      <c r="F227" s="659"/>
      <c r="G227" s="659"/>
      <c r="H227" s="659"/>
      <c r="I227" s="56"/>
      <c r="J227" s="659" t="s">
        <v>259</v>
      </c>
      <c r="K227" s="862"/>
      <c r="L227" s="799"/>
      <c r="M227" s="664"/>
      <c r="N227" s="28"/>
    </row>
    <row r="228" spans="1:20" ht="25" customHeight="1">
      <c r="A228" s="2"/>
      <c r="B228" s="827" t="s">
        <v>4</v>
      </c>
      <c r="C228" s="656" t="str" cm="1">
        <f t="array" ref="C228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8" s="71"/>
      <c r="E228" s="656"/>
      <c r="F228" s="656"/>
      <c r="G228" s="657"/>
      <c r="H228" s="800"/>
      <c r="I228" s="801"/>
      <c r="J228" s="660">
        <f>K65+K74+K56+K39+K83</f>
        <v>0</v>
      </c>
      <c r="K228" s="828"/>
      <c r="L228" s="2"/>
      <c r="M228" s="664"/>
      <c r="N228" s="28"/>
    </row>
    <row r="229" spans="1:20" ht="25" customHeight="1">
      <c r="A229" s="2"/>
      <c r="B229" s="491" t="s">
        <v>72</v>
      </c>
      <c r="C229" s="610" t="str">
        <f>K95&amp;" TB - Storage"&amp;"     /     "&amp;K94&amp;" TB - Archive"</f>
        <v>0 TB - Storage     /     0 TB - Archive</v>
      </c>
      <c r="D229" s="658"/>
      <c r="E229" s="658"/>
      <c r="F229" s="802"/>
      <c r="G229" s="803"/>
      <c r="H229" s="803"/>
      <c r="I229" s="804"/>
      <c r="J229" s="661">
        <f>K96</f>
        <v>0</v>
      </c>
      <c r="K229" s="828"/>
      <c r="L229" s="2"/>
      <c r="M229" s="664"/>
      <c r="N229" s="28"/>
    </row>
    <row r="230" spans="1:20" ht="25" customHeight="1">
      <c r="A230" s="2"/>
      <c r="B230" s="491" t="s">
        <v>86</v>
      </c>
      <c r="C230" s="136"/>
      <c r="D230" s="72"/>
      <c r="E230" s="73"/>
      <c r="F230" s="802"/>
      <c r="G230" s="803"/>
      <c r="H230" s="803"/>
      <c r="I230" s="804"/>
      <c r="J230" s="661">
        <f>K120</f>
        <v>0</v>
      </c>
      <c r="K230" s="828"/>
      <c r="L230" s="2"/>
      <c r="M230" s="664"/>
      <c r="N230" s="28"/>
    </row>
    <row r="231" spans="1:20" s="808" customFormat="1" ht="25" customHeight="1">
      <c r="A231" s="806"/>
      <c r="B231" s="807" t="s">
        <v>222</v>
      </c>
      <c r="C231" s="807"/>
      <c r="D231" s="807"/>
      <c r="E231" s="807"/>
      <c r="F231" s="807"/>
      <c r="G231" s="807"/>
      <c r="H231" s="807"/>
      <c r="I231" s="807"/>
      <c r="J231" s="662">
        <f>SUM(J228:J230)</f>
        <v>0</v>
      </c>
      <c r="K231" s="863"/>
      <c r="L231" s="806"/>
      <c r="M231" s="664"/>
    </row>
    <row r="232" spans="1:20" ht="25" customHeight="1">
      <c r="A232" s="2"/>
      <c r="B232" s="421"/>
      <c r="C232" s="59"/>
      <c r="D232" s="59"/>
      <c r="E232" s="59"/>
      <c r="F232" s="809"/>
      <c r="G232" s="810"/>
      <c r="H232" s="810"/>
      <c r="I232" s="811"/>
      <c r="J232" s="811"/>
      <c r="K232" s="864"/>
      <c r="L232" s="2"/>
      <c r="M232" s="664"/>
    </row>
    <row r="233" spans="1:20" ht="25" customHeight="1">
      <c r="A233" s="2"/>
      <c r="B233" s="643"/>
      <c r="C233" s="30"/>
      <c r="D233" s="36"/>
      <c r="E233" s="37"/>
      <c r="F233" s="40"/>
      <c r="G233" s="442"/>
      <c r="H233" s="30"/>
      <c r="I233" s="774"/>
      <c r="J233" s="734"/>
      <c r="K233" s="828"/>
      <c r="L233" s="2"/>
      <c r="M233" s="664"/>
    </row>
    <row r="234" spans="1:20" ht="25" customHeight="1">
      <c r="A234" s="812"/>
      <c r="B234" s="644"/>
      <c r="C234" s="42"/>
      <c r="D234" s="33"/>
      <c r="E234" s="34"/>
      <c r="F234" s="813"/>
      <c r="G234" s="805"/>
      <c r="H234" s="42"/>
      <c r="I234" s="814"/>
      <c r="J234" s="437"/>
      <c r="K234" s="594"/>
      <c r="L234" s="815"/>
      <c r="M234" s="664"/>
    </row>
    <row r="235" spans="1:20" s="112" customFormat="1" ht="25" customHeight="1">
      <c r="B235" s="645"/>
      <c r="C235" s="108"/>
      <c r="D235" s="109"/>
      <c r="E235" s="110"/>
      <c r="F235" s="816"/>
      <c r="G235" s="817"/>
      <c r="H235" s="108"/>
      <c r="I235" s="818"/>
      <c r="J235" s="819"/>
      <c r="K235" s="865"/>
    </row>
    <row r="236" spans="1:20" s="112" customFormat="1" ht="25" customHeight="1">
      <c r="B236" s="914" t="s">
        <v>444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4" t="s">
        <v>445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5" t="s">
        <v>446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447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6" t="s">
        <v>620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823" customFormat="1" ht="25" customHeight="1">
      <c r="A245" s="112"/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  <c r="O245" s="112"/>
      <c r="P245" s="112"/>
      <c r="Q245" s="112"/>
      <c r="R245" s="112"/>
      <c r="S245" s="112"/>
      <c r="T245" s="112"/>
      <c r="U245" s="112"/>
      <c r="V245" s="112"/>
      <c r="W245" s="112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27" spans="2:4" ht="25" customHeight="1">
      <c r="B327" s="647"/>
      <c r="C327" s="38"/>
      <c r="D327" s="96"/>
    </row>
  </sheetData>
  <sheetProtection algorithmName="SHA-512" hashValue="YENmYSW2jf1yxQhKjRyJ0fqnbhPipMapLkeloov+x8vGSNmVixM3wIYtVeU8DtUvopEW9u4h2Wqvxrde2sptjA==" saltValue="oww6yvU6Ogv6pAafQPc3lg==" spinCount="100000" sheet="1" selectLockedCells="1"/>
  <mergeCells count="43"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B218:G220"/>
    <mergeCell ref="B221:F221"/>
    <mergeCell ref="B138:G140"/>
    <mergeCell ref="B180:G182"/>
    <mergeCell ref="B183:F183"/>
    <mergeCell ref="B184:F184"/>
  </mergeCells>
  <phoneticPr fontId="2" type="noConversion"/>
  <conditionalFormatting sqref="I26:I38 I46:I55 I61:I64 I71:I73 I80:I82 I94:I95 I117:I119 J118:J119 K26:K38 K46:K55 K61:K64 K71:K73 K80:K82 K94:K95 K117:K119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5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4" max="11" man="1"/>
    <brk id="254" max="13" man="1"/>
    <brk id="276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8" t="s">
        <v>668</v>
      </c>
      <c r="C24" s="998"/>
      <c r="D24" s="998"/>
      <c r="E24" s="998"/>
      <c r="F24" s="99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93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93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934"/>
      <c r="M42" s="664"/>
      <c r="P42" s="681"/>
      <c r="Q42" s="681"/>
      <c r="R42" s="688"/>
    </row>
    <row r="43" spans="2:18" s="651" customFormat="1" ht="25" customHeight="1">
      <c r="B43" s="652" t="s">
        <v>662</v>
      </c>
      <c r="C43" s="650"/>
      <c r="D43" s="650"/>
      <c r="K43" s="935"/>
      <c r="M43" s="664"/>
    </row>
    <row r="44" spans="2:18" ht="25" customHeight="1">
      <c r="B44" s="998" t="s">
        <v>668</v>
      </c>
      <c r="C44" s="998"/>
      <c r="D44" s="998"/>
      <c r="E44" s="998"/>
      <c r="F44" s="998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92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93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93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93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931">
        <f t="shared" si="11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93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93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93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93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93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93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93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93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937"/>
      <c r="L58" s="712"/>
      <c r="M58" s="664"/>
      <c r="R58" s="713"/>
      <c r="S58" s="713"/>
      <c r="T58" s="714"/>
    </row>
    <row r="59" spans="1:20" ht="25" hidden="1" customHeight="1">
      <c r="B59" s="984" t="s">
        <v>500</v>
      </c>
      <c r="C59" s="984"/>
      <c r="D59" s="984"/>
      <c r="E59" s="984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92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93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93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93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93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93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938"/>
      <c r="M68" s="664"/>
      <c r="N68" s="8"/>
      <c r="O68" s="8"/>
      <c r="P68" s="684"/>
      <c r="Q68" s="8"/>
      <c r="R68" s="685"/>
    </row>
    <row r="69" spans="2:20" ht="25" hidden="1" customHeight="1">
      <c r="B69" s="984" t="s">
        <v>500</v>
      </c>
      <c r="C69" s="984"/>
      <c r="D69" s="984"/>
      <c r="E69" s="984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92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93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93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93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93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93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93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93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94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94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94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94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93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94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944"/>
      <c r="L85" s="741"/>
      <c r="M85" s="664"/>
    </row>
    <row r="86" spans="2:20" s="4" customFormat="1" ht="25" customHeight="1">
      <c r="B86" s="977" t="s">
        <v>618</v>
      </c>
      <c r="C86" s="977"/>
      <c r="D86" s="977"/>
      <c r="E86" s="977"/>
      <c r="F86" s="977"/>
      <c r="G86" s="977"/>
      <c r="H86" s="672"/>
      <c r="J86" s="674"/>
      <c r="K86" s="925"/>
      <c r="M86" s="664"/>
    </row>
    <row r="87" spans="2:20" s="4" customFormat="1" ht="25" customHeight="1">
      <c r="B87" s="977"/>
      <c r="C87" s="977"/>
      <c r="D87" s="977"/>
      <c r="E87" s="977"/>
      <c r="F87" s="977"/>
      <c r="G87" s="977"/>
      <c r="H87" s="672"/>
      <c r="J87" s="674"/>
      <c r="K87" s="925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92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92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94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92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93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94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94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94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93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93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1" t="s">
        <v>225</v>
      </c>
      <c r="E99" s="981"/>
      <c r="F99" s="981"/>
      <c r="G99" s="981"/>
      <c r="H99" s="981"/>
      <c r="I99" s="981"/>
      <c r="J99" s="131"/>
      <c r="K99" s="94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94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0">
        <f>S3_archive.50_SEK</f>
        <v>350</v>
      </c>
      <c r="E101" s="980"/>
      <c r="F101" s="980"/>
      <c r="G101" s="980"/>
      <c r="H101" s="980"/>
      <c r="I101" s="980"/>
      <c r="J101" s="884"/>
      <c r="K101" s="94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5">
        <f>S3_archive.100_SEK</f>
        <v>270</v>
      </c>
      <c r="E102" s="985"/>
      <c r="F102" s="985"/>
      <c r="G102" s="985"/>
      <c r="H102" s="985"/>
      <c r="I102" s="985"/>
      <c r="J102" s="886"/>
      <c r="K102" s="94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7">
        <f>S3_archive.500_SEK</f>
        <v>200</v>
      </c>
      <c r="E103" s="987"/>
      <c r="F103" s="987"/>
      <c r="G103" s="987"/>
      <c r="H103" s="987"/>
      <c r="I103" s="987"/>
      <c r="J103" s="887"/>
      <c r="K103" s="94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5">
        <f>S3_archive.1000_SEK</f>
        <v>185</v>
      </c>
      <c r="E104" s="985"/>
      <c r="F104" s="985"/>
      <c r="G104" s="985"/>
      <c r="H104" s="985"/>
      <c r="I104" s="985"/>
      <c r="J104" s="886"/>
      <c r="K104" s="94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6" t="str">
        <f>S3_archive.quote_SEK</f>
        <v>Be om offert</v>
      </c>
      <c r="E105" s="986"/>
      <c r="F105" s="986"/>
      <c r="G105" s="986"/>
      <c r="H105" s="986"/>
      <c r="I105" s="986"/>
      <c r="J105" s="885"/>
      <c r="K105" s="95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93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92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943"/>
      <c r="L108" s="742"/>
      <c r="M108" s="664"/>
      <c r="N108" s="675"/>
      <c r="Q108" s="4"/>
    </row>
    <row r="109" spans="2:19" s="4" customFormat="1" ht="25" customHeight="1">
      <c r="B109" s="977" t="s">
        <v>619</v>
      </c>
      <c r="C109" s="977"/>
      <c r="D109" s="977"/>
      <c r="E109" s="977"/>
      <c r="F109" s="977"/>
      <c r="G109" s="977"/>
      <c r="H109" s="672"/>
      <c r="J109" s="674"/>
      <c r="K109" s="925"/>
      <c r="L109" s="674"/>
      <c r="M109" s="664"/>
    </row>
    <row r="110" spans="2:19" s="4" customFormat="1" ht="25" customHeight="1">
      <c r="B110" s="977"/>
      <c r="C110" s="977"/>
      <c r="D110" s="977"/>
      <c r="E110" s="977"/>
      <c r="F110" s="977"/>
      <c r="G110" s="977"/>
      <c r="H110" s="672"/>
      <c r="J110" s="674"/>
      <c r="K110" s="925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92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92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92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92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93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94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94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94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94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93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95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94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42"/>
      <c r="M123" s="664"/>
      <c r="N123" s="675"/>
      <c r="Q123" s="4"/>
    </row>
    <row r="124" spans="2:32" s="4" customFormat="1" ht="25" hidden="1" customHeight="1">
      <c r="B124" s="977" t="s">
        <v>434</v>
      </c>
      <c r="C124" s="977"/>
      <c r="D124" s="977"/>
      <c r="E124" s="977"/>
      <c r="F124" s="977"/>
      <c r="G124" s="977"/>
      <c r="H124" s="672"/>
      <c r="J124" s="674"/>
      <c r="K124" s="925"/>
      <c r="L124" s="674"/>
      <c r="M124" s="664"/>
    </row>
    <row r="125" spans="2:32" s="4" customFormat="1" ht="25" hidden="1" customHeight="1">
      <c r="B125" s="977"/>
      <c r="C125" s="977"/>
      <c r="D125" s="977"/>
      <c r="E125" s="977"/>
      <c r="F125" s="977"/>
      <c r="G125" s="977"/>
      <c r="H125" s="672"/>
      <c r="J125" s="674"/>
      <c r="K125" s="925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92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92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92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92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93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88" t="s">
        <v>528</v>
      </c>
      <c r="D131" s="988"/>
      <c r="E131" s="988" t="s">
        <v>529</v>
      </c>
      <c r="F131" s="988"/>
      <c r="G131" s="997" t="s">
        <v>520</v>
      </c>
      <c r="H131" s="997"/>
      <c r="I131" s="24"/>
      <c r="J131" s="24"/>
      <c r="K131" s="940" t="s">
        <v>92</v>
      </c>
      <c r="L131" s="722"/>
      <c r="M131" s="664"/>
    </row>
    <row r="132" spans="2:32" ht="25" hidden="1" customHeight="1">
      <c r="B132" s="826" t="s">
        <v>466</v>
      </c>
      <c r="C132" s="993" t="s">
        <v>533</v>
      </c>
      <c r="D132" s="993"/>
      <c r="E132" s="995" t="s">
        <v>532</v>
      </c>
      <c r="F132" s="995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95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94" t="s">
        <v>530</v>
      </c>
      <c r="D133" s="994"/>
      <c r="E133" s="996" t="s">
        <v>531</v>
      </c>
      <c r="F133" s="996"/>
      <c r="G133" s="902" t="str">
        <f>PAAS_man.kubernetes8_EUR</f>
        <v>Requests for quotation</v>
      </c>
      <c r="H133" s="900"/>
      <c r="I133" s="753"/>
      <c r="J133" s="738"/>
      <c r="K133" s="95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93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93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95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92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7" t="s">
        <v>100</v>
      </c>
      <c r="C138" s="977"/>
      <c r="D138" s="977"/>
      <c r="E138" s="977"/>
      <c r="F138" s="977"/>
      <c r="G138" s="977"/>
      <c r="H138" s="672"/>
      <c r="J138" s="674"/>
      <c r="K138" s="925"/>
      <c r="M138" s="664"/>
    </row>
    <row r="139" spans="2:32" s="4" customFormat="1" ht="25" customHeight="1">
      <c r="B139" s="977"/>
      <c r="C139" s="977"/>
      <c r="D139" s="977"/>
      <c r="E139" s="977"/>
      <c r="F139" s="977"/>
      <c r="G139" s="977"/>
      <c r="H139" s="672"/>
      <c r="J139" s="674"/>
      <c r="K139" s="925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92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92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92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92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94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92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92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92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92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95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92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92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95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94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94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94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94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94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95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95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670</v>
      </c>
      <c r="C176" s="130"/>
      <c r="D176" s="38"/>
      <c r="E176" s="38" t="s">
        <v>669</v>
      </c>
      <c r="F176" s="771"/>
      <c r="G176" s="771"/>
      <c r="H176" s="771"/>
      <c r="I176" s="771"/>
      <c r="J176" s="779"/>
      <c r="K176" s="974">
        <v>565</v>
      </c>
      <c r="M176" s="664"/>
      <c r="N176" s="742"/>
      <c r="O176" s="8"/>
    </row>
    <row r="177" spans="2:20" ht="25" customHeight="1">
      <c r="B177" s="134" t="s">
        <v>484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8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7" t="s">
        <v>541</v>
      </c>
      <c r="C182" s="977"/>
      <c r="D182" s="977"/>
      <c r="E182" s="977"/>
      <c r="F182" s="977"/>
      <c r="G182" s="977"/>
      <c r="H182" s="780"/>
      <c r="J182" s="674"/>
      <c r="K182" s="925"/>
      <c r="M182" s="664"/>
    </row>
    <row r="183" spans="2:20" s="4" customFormat="1" ht="25" customHeight="1">
      <c r="B183" s="977"/>
      <c r="C183" s="977"/>
      <c r="D183" s="977"/>
      <c r="E183" s="977"/>
      <c r="F183" s="977"/>
      <c r="G183" s="977"/>
      <c r="H183" s="780"/>
      <c r="J183" s="674"/>
      <c r="K183" s="925"/>
      <c r="M183" s="664"/>
    </row>
    <row r="184" spans="2:20" s="4" customFormat="1" ht="25" customHeight="1">
      <c r="B184" s="977"/>
      <c r="C184" s="977"/>
      <c r="D184" s="977"/>
      <c r="E184" s="977"/>
      <c r="F184" s="977"/>
      <c r="G184" s="977"/>
      <c r="H184" s="780"/>
      <c r="J184" s="674"/>
      <c r="K184" s="925"/>
      <c r="M184" s="664"/>
    </row>
    <row r="185" spans="2:20" s="4" customFormat="1" ht="25" customHeight="1">
      <c r="B185" s="978" t="s">
        <v>542</v>
      </c>
      <c r="C185" s="978"/>
      <c r="D185" s="978"/>
      <c r="E185" s="978"/>
      <c r="F185" s="978"/>
      <c r="H185" s="780"/>
      <c r="J185" s="674"/>
      <c r="K185" s="925"/>
      <c r="M185" s="664"/>
    </row>
    <row r="186" spans="2:20" s="4" customFormat="1" ht="25" customHeight="1">
      <c r="B186" s="979" t="s">
        <v>543</v>
      </c>
      <c r="C186" s="979"/>
      <c r="D186" s="979"/>
      <c r="E186" s="979"/>
      <c r="F186" s="979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60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544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535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545</v>
      </c>
      <c r="E191" s="40"/>
      <c r="F191" s="30"/>
      <c r="G191" s="40"/>
      <c r="H191" s="40"/>
      <c r="I191" s="775" t="s">
        <v>560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8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548</v>
      </c>
      <c r="C196" s="878"/>
      <c r="D196" s="878"/>
      <c r="F196" s="878"/>
      <c r="G196" s="878"/>
      <c r="H196" s="878"/>
      <c r="I196" s="879"/>
      <c r="J196" s="879"/>
      <c r="K196" s="961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549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535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8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551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535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632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633</v>
      </c>
      <c r="C211" s="130"/>
      <c r="D211" s="38" t="s">
        <v>552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634</v>
      </c>
      <c r="C212" s="129"/>
      <c r="D212" s="30" t="s">
        <v>553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635</v>
      </c>
      <c r="C213" s="130"/>
      <c r="D213" s="38" t="s">
        <v>554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8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2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975" t="s">
        <v>191</v>
      </c>
      <c r="C220" s="975"/>
      <c r="D220" s="975"/>
      <c r="E220" s="975"/>
      <c r="F220" s="975"/>
      <c r="G220" s="975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5"/>
      <c r="C221" s="975"/>
      <c r="D221" s="975"/>
      <c r="E221" s="975"/>
      <c r="F221" s="975"/>
      <c r="G221" s="975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5"/>
      <c r="C222" s="975"/>
      <c r="D222" s="975"/>
      <c r="E222" s="975"/>
      <c r="F222" s="975"/>
      <c r="G222" s="975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6" t="s">
        <v>543</v>
      </c>
      <c r="C223" s="976"/>
      <c r="D223" s="976"/>
      <c r="E223" s="976"/>
      <c r="F223" s="976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556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557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964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4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558</v>
      </c>
      <c r="C229" s="56"/>
      <c r="D229" s="57"/>
      <c r="E229" s="56"/>
      <c r="F229" s="659"/>
      <c r="G229" s="659"/>
      <c r="H229" s="659"/>
      <c r="I229" s="56"/>
      <c r="J229" s="659" t="s">
        <v>555</v>
      </c>
      <c r="K229" s="965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70">
        <f>K65+K74+K56+K39+K83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971">
        <f>K96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71">
        <f>K120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2">
        <f>SUM(J230:J232)</f>
        <v>0</v>
      </c>
      <c r="K233" s="966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7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8"/>
    </row>
    <row r="238" spans="1:20" s="112" customFormat="1" ht="25" customHeight="1">
      <c r="B238" s="914" t="s">
        <v>523</v>
      </c>
      <c r="C238" s="108"/>
      <c r="D238" s="108"/>
      <c r="E238" s="108"/>
      <c r="F238" s="820"/>
      <c r="G238" s="821"/>
      <c r="H238" s="822"/>
      <c r="I238" s="822"/>
      <c r="J238" s="822"/>
      <c r="K238" s="969"/>
      <c r="L238" s="819"/>
      <c r="M238" s="819"/>
      <c r="N238" s="819"/>
    </row>
    <row r="239" spans="1:20" s="112" customFormat="1" ht="25" customHeight="1">
      <c r="B239" s="914" t="s">
        <v>524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5" t="s">
        <v>525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4" t="s">
        <v>526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6"/>
      <c r="K267" s="969"/>
      <c r="M267" s="824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29" spans="2:4" ht="25" customHeight="1">
      <c r="B329" s="647"/>
      <c r="C329" s="38"/>
      <c r="D329" s="96"/>
    </row>
  </sheetData>
  <sheetProtection algorithmName="SHA-512" hashValue="n+PkxGBzxW9YYjYsOeYH7Qg7te9vW4nYHcp9VkoSjy1Yf5EVTDRnlXmwR+m6njfMAaVioc2zPkkRB4KQsjjzfA==" saltValue="5lQEYddiT4cySmfV2aZp3g==" spinCount="100000" sheet="1" selectLockedCells="1"/>
  <mergeCells count="40"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  <mergeCell ref="D102:E102"/>
    <mergeCell ref="F102:G102"/>
    <mergeCell ref="H102:I102"/>
    <mergeCell ref="D103:E103"/>
    <mergeCell ref="F103:G103"/>
    <mergeCell ref="H103:I10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5:F185"/>
    <mergeCell ref="B186:F186"/>
    <mergeCell ref="B220:G222"/>
    <mergeCell ref="B223:F223"/>
    <mergeCell ref="C133:D133"/>
    <mergeCell ref="E133:F133"/>
    <mergeCell ref="B138:G140"/>
    <mergeCell ref="B182:G184"/>
  </mergeCells>
  <phoneticPr fontId="2" type="noConversion"/>
  <conditionalFormatting sqref="I26:I38 I46:I55 I61:I64 I71:I73 I80:I82 I94:I95 I117:I119 J118:J119 K26:K38 K46:K55 K61:K64 K71:K73 K80:K82 K94:K95 K117:K119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2" t="str">
        <f>"1 SEK = "&amp;EUR&amp;" EUR"</f>
        <v>1 SEK = 0,089 EUR</v>
      </c>
      <c r="E11" s="1052"/>
      <c r="F11" s="105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2"/>
      <c r="C16" s="1042"/>
      <c r="D16" s="1042"/>
      <c r="E16" s="1042"/>
      <c r="F16" s="1042"/>
      <c r="G16" s="1042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2"/>
      <c r="C17" s="1042"/>
      <c r="D17" s="1042"/>
      <c r="E17" s="1042"/>
      <c r="F17" s="1042"/>
      <c r="G17" s="1042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9" t="s">
        <v>6</v>
      </c>
      <c r="C19" s="1049"/>
      <c r="D19" s="1049"/>
      <c r="E19" s="1049"/>
      <c r="F19" s="1049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1" t="s">
        <v>65</v>
      </c>
      <c r="G88" s="1051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5">
        <f>VOLUME_large_EUR</f>
        <v>0.10679999999999999</v>
      </c>
      <c r="G89" s="1025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7">
        <f>VOLUME_fast_EUR</f>
        <v>0.32040000000000002</v>
      </c>
      <c r="G90" s="1047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565"/>
      <c r="O95" s="168"/>
    </row>
    <row r="96" spans="2:23" s="169" customFormat="1" ht="2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565"/>
      <c r="O96" s="168"/>
    </row>
    <row r="97" spans="2:22" s="169" customFormat="1" ht="2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565"/>
      <c r="O97" s="168"/>
    </row>
    <row r="98" spans="2:22" s="169" customFormat="1" ht="25" customHeight="1">
      <c r="B98" s="1048" t="s">
        <v>73</v>
      </c>
      <c r="C98" s="1048"/>
      <c r="D98" s="1048"/>
      <c r="E98" s="1048"/>
      <c r="F98" s="1048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9" t="s">
        <v>74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1" t="s">
        <v>76</v>
      </c>
      <c r="E102" s="1051"/>
      <c r="F102" s="1051"/>
      <c r="G102" s="1051"/>
      <c r="H102" s="266" t="s">
        <v>75</v>
      </c>
      <c r="I102" s="265"/>
      <c r="J102" s="1051"/>
      <c r="K102" s="1051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5">
        <f>S3_storage.50_EUR</f>
        <v>31.15</v>
      </c>
      <c r="E104" s="1045"/>
      <c r="F104" s="1046"/>
      <c r="G104" s="1046"/>
      <c r="H104" s="1046"/>
      <c r="I104" s="1046"/>
      <c r="J104" s="1046"/>
      <c r="K104" s="104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4">
        <f>S3_storage.100_EUR</f>
        <v>24.029999999999998</v>
      </c>
      <c r="E105" s="1054"/>
      <c r="F105" s="999"/>
      <c r="G105" s="999"/>
      <c r="H105" s="999"/>
      <c r="I105" s="999"/>
      <c r="J105" s="999"/>
      <c r="K105" s="999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5">
        <f>S3_storage.500_EUR</f>
        <v>17.8</v>
      </c>
      <c r="E106" s="1055"/>
      <c r="F106" s="1008"/>
      <c r="G106" s="1008"/>
      <c r="H106" s="1008"/>
      <c r="I106" s="1008"/>
      <c r="J106" s="1008"/>
      <c r="K106" s="1008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4">
        <f>S3_storage.1000_EUR</f>
        <v>16.465</v>
      </c>
      <c r="E107" s="1054"/>
      <c r="F107" s="999"/>
      <c r="G107" s="999"/>
      <c r="H107" s="999"/>
      <c r="I107" s="999"/>
      <c r="J107" s="999"/>
      <c r="K107" s="999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0" t="str">
        <f>S3_storage.quote_EUR</f>
        <v>Request a quote</v>
      </c>
      <c r="E108" s="1000"/>
      <c r="F108" s="1009"/>
      <c r="G108" s="1009"/>
      <c r="H108" s="1009"/>
      <c r="I108" s="1009"/>
      <c r="J108" s="1009"/>
      <c r="K108" s="100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3" t="s">
        <v>76</v>
      </c>
      <c r="E111" s="1053"/>
      <c r="F111" s="1051"/>
      <c r="G111" s="1051"/>
      <c r="H111" s="266" t="s">
        <v>75</v>
      </c>
      <c r="I111" s="266"/>
      <c r="J111" s="1051"/>
      <c r="K111" s="1051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5">
        <f>S3_archive.50_EUR</f>
        <v>31.15</v>
      </c>
      <c r="E113" s="1045"/>
      <c r="F113" s="1046"/>
      <c r="G113" s="1046"/>
      <c r="H113" s="1046"/>
      <c r="I113" s="1046"/>
      <c r="J113" s="1046"/>
      <c r="K113" s="104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4">
        <f>S3_archive.100_EUR</f>
        <v>24.029999999999998</v>
      </c>
      <c r="E114" s="1054"/>
      <c r="F114" s="999"/>
      <c r="G114" s="999"/>
      <c r="H114" s="999"/>
      <c r="I114" s="999"/>
      <c r="J114" s="999"/>
      <c r="K114" s="999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5">
        <f>S3_archive.500_EUR</f>
        <v>17.8</v>
      </c>
      <c r="E115" s="1055"/>
      <c r="F115" s="1008"/>
      <c r="G115" s="1008"/>
      <c r="H115" s="1008"/>
      <c r="I115" s="1008"/>
      <c r="J115" s="1008"/>
      <c r="K115" s="1008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4">
        <f>S3_archive.1000_EUR</f>
        <v>16.465</v>
      </c>
      <c r="E116" s="1054"/>
      <c r="F116" s="999"/>
      <c r="G116" s="999"/>
      <c r="H116" s="999"/>
      <c r="I116" s="999"/>
      <c r="J116" s="999"/>
      <c r="K116" s="999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0" t="str">
        <f>S3_archive.quote_EUR</f>
        <v>Request a quote</v>
      </c>
      <c r="E117" s="1000"/>
      <c r="F117" s="1009"/>
      <c r="G117" s="1009"/>
      <c r="H117" s="1009"/>
      <c r="I117" s="1009"/>
      <c r="J117" s="1009"/>
      <c r="K117" s="100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2" t="s">
        <v>86</v>
      </c>
      <c r="C122" s="1042"/>
      <c r="D122" s="1042"/>
      <c r="E122" s="1042"/>
      <c r="F122" s="1042"/>
      <c r="G122" s="1042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2"/>
      <c r="C123" s="1042"/>
      <c r="D123" s="1042"/>
      <c r="E123" s="1042"/>
      <c r="F123" s="1042"/>
      <c r="G123" s="1042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2"/>
      <c r="C124" s="1042"/>
      <c r="D124" s="1042"/>
      <c r="E124" s="1042"/>
      <c r="F124" s="1042"/>
      <c r="G124" s="1042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6" t="s">
        <v>87</v>
      </c>
      <c r="C125" s="1056"/>
      <c r="D125" s="1056"/>
      <c r="E125" s="1056"/>
      <c r="F125" s="105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3" t="s">
        <v>6</v>
      </c>
      <c r="C126" s="1043"/>
      <c r="D126" s="1043"/>
      <c r="E126" s="1043"/>
      <c r="F126" s="1043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1" t="s">
        <v>89</v>
      </c>
      <c r="G129" s="1051"/>
      <c r="H129" s="266" t="s">
        <v>90</v>
      </c>
      <c r="I129" s="265"/>
      <c r="J129" s="1026" t="s">
        <v>91</v>
      </c>
      <c r="K129" s="1026"/>
      <c r="L129" s="533"/>
      <c r="M129" s="575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0.21804999999999999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6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489.5</v>
      </c>
      <c r="E131" s="32"/>
      <c r="F131" s="1033">
        <f>BAAS_small_EUR</f>
        <v>0.15575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845.5</v>
      </c>
      <c r="E132" s="35"/>
      <c r="F132" s="1038">
        <f>BAAS_large_EUR</f>
        <v>8.1879999999999994E-2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4" t="s">
        <v>97</v>
      </c>
      <c r="C135" s="1044"/>
      <c r="D135" s="1044"/>
      <c r="E135" s="1044"/>
      <c r="F135" s="1044"/>
      <c r="G135" s="1044"/>
      <c r="H135" s="1044"/>
      <c r="I135" s="104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4" t="s">
        <v>98</v>
      </c>
      <c r="C136" s="1044"/>
      <c r="D136" s="1044"/>
      <c r="E136" s="1044"/>
      <c r="F136" s="1044"/>
      <c r="G136" s="1044"/>
      <c r="H136" s="1044"/>
      <c r="I136" s="104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4" t="s">
        <v>99</v>
      </c>
      <c r="C137" s="1044"/>
      <c r="D137" s="1044"/>
      <c r="E137" s="1044"/>
      <c r="F137" s="1044"/>
      <c r="G137" s="1044"/>
      <c r="H137" s="1044"/>
      <c r="I137" s="104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4" t="s">
        <v>410</v>
      </c>
      <c r="C138" s="1044"/>
      <c r="D138" s="1044"/>
      <c r="E138" s="1044"/>
      <c r="F138" s="1044"/>
      <c r="G138" s="1044"/>
      <c r="H138" s="1044"/>
      <c r="I138" s="104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2" t="s">
        <v>100</v>
      </c>
      <c r="C143" s="1042"/>
      <c r="D143" s="1042"/>
      <c r="E143" s="1042"/>
      <c r="F143" s="1042"/>
      <c r="G143" s="1042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2"/>
      <c r="C144" s="1042"/>
      <c r="D144" s="1042"/>
      <c r="E144" s="1042"/>
      <c r="F144" s="1042"/>
      <c r="G144" s="1042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2"/>
      <c r="C145" s="1042"/>
      <c r="D145" s="1042"/>
      <c r="E145" s="1042"/>
      <c r="F145" s="1042"/>
      <c r="G145" s="1042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3" t="s">
        <v>6</v>
      </c>
      <c r="C146" s="1043"/>
      <c r="D146" s="1043"/>
      <c r="E146" s="1043"/>
      <c r="F146" s="1043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7"/>
      <c r="C147" s="1027"/>
      <c r="D147" s="1027"/>
      <c r="E147" s="1027"/>
      <c r="F147" s="102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2" t="s">
        <v>14</v>
      </c>
      <c r="M150" s="101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2">
        <f>NET_publicv4_EUR</f>
        <v>2.2250000000000001</v>
      </c>
      <c r="M151" s="1022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3">
        <f>NET_publicv6_EUR</f>
        <v>0</v>
      </c>
      <c r="M152" s="1023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4">
        <f>NET_ingress_EUR</f>
        <v>0</v>
      </c>
      <c r="M153" s="1024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3">
        <f>NET_egress_EUR</f>
        <v>0</v>
      </c>
      <c r="M154" s="1023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2" t="str">
        <f>NET_mgn.slb_EUR</f>
        <v>Request a quote</v>
      </c>
      <c r="M155" s="1002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3">
        <f>NET_rdns_EUR</f>
        <v>0</v>
      </c>
      <c r="M156" s="1023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2">
        <f>NET_byoip_EUR</f>
        <v>0</v>
      </c>
      <c r="M157" s="1002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1"/>
      <c r="M158" s="1021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7"/>
      <c r="M159" s="1007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2" t="s">
        <v>14</v>
      </c>
      <c r="M160" s="101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2">
        <f>SW_win.ser.201X_EUR</f>
        <v>6.9419999999999993</v>
      </c>
      <c r="M161" s="1022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1">
        <f>SW_win.ser.201X_EUR</f>
        <v>6.9419999999999993</v>
      </c>
      <c r="M162" s="100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2">
        <f>SW_ms.sql.ser_EUR</f>
        <v>133.322</v>
      </c>
      <c r="M163" s="1002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0" t="str">
        <f>SW_stackn_EUR</f>
        <v>Request a quote</v>
      </c>
      <c r="M164" s="1020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6" t="str">
        <f>SW_nextcloud_EUR</f>
        <v>Request a quote</v>
      </c>
      <c r="M165" s="101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0" t="str">
        <f>SW_suse_EUR</f>
        <v>Request a quote</v>
      </c>
      <c r="M166" s="1020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6" t="str">
        <f>SW_cluster.control_EUR</f>
        <v>3x instance price</v>
      </c>
      <c r="M167" s="101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7">
        <f>SW_backup.ninja_EUR</f>
        <v>35.6</v>
      </c>
      <c r="M168" s="1017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5"/>
      <c r="M169" s="1005"/>
      <c r="O169" s="205"/>
      <c r="P169" s="190"/>
      <c r="R169" s="284"/>
      <c r="S169" s="189"/>
    </row>
    <row r="170" spans="2:22" ht="25" customHeight="1">
      <c r="B170" s="471"/>
      <c r="K170" s="334"/>
      <c r="L170" s="1018"/>
      <c r="M170" s="101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7"/>
      <c r="M171" s="1007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2" t="s">
        <v>14</v>
      </c>
      <c r="M172" s="101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3" t="str">
        <f>PAAS_man.kubernetes24_EUR</f>
        <v xml:space="preserve"> Requests for quotation </v>
      </c>
      <c r="M173" s="1013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4" t="str">
        <f>PAAS_man.kubernetes8_EUR</f>
        <v>Requests for quotation</v>
      </c>
      <c r="M174" s="1014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5" t="str">
        <f>PAAS_man.elasticsearch_EUR</f>
        <v>Requests for quotation</v>
      </c>
      <c r="M175" s="1015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4" t="str">
        <f>PAAS_man.redis_EUR</f>
        <v>Requests for quotation</v>
      </c>
      <c r="M176" s="1014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5" t="str">
        <f>PAAS_man.nats_EUR</f>
        <v>Requests for quotation</v>
      </c>
      <c r="M177" s="1015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9" t="str">
        <f>PAAS_man.mariadb_EUR</f>
        <v>Requests for quotation</v>
      </c>
      <c r="M178" s="101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5"/>
      <c r="M179" s="1005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0"/>
      <c r="M180" s="1010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1"/>
      <c r="M181" s="1011"/>
      <c r="N181" s="189"/>
      <c r="O181" s="205"/>
      <c r="P181" s="180"/>
      <c r="Q181" s="180"/>
    </row>
    <row r="182" spans="2:19" s="169" customFormat="1" ht="25" customHeight="1">
      <c r="B182" s="1042" t="s">
        <v>151</v>
      </c>
      <c r="C182" s="1042"/>
      <c r="D182" s="1042"/>
      <c r="E182" s="1042"/>
      <c r="F182" s="1042"/>
      <c r="G182" s="1042"/>
      <c r="H182" s="335"/>
      <c r="J182" s="178"/>
      <c r="L182" s="1060"/>
      <c r="M182" s="1060"/>
      <c r="N182" s="189"/>
      <c r="O182" s="205"/>
    </row>
    <row r="183" spans="2:19" s="169" customFormat="1" ht="25" customHeight="1">
      <c r="B183" s="1042"/>
      <c r="C183" s="1042"/>
      <c r="D183" s="1042"/>
      <c r="E183" s="1042"/>
      <c r="F183" s="1042"/>
      <c r="G183" s="1042"/>
      <c r="H183" s="335"/>
      <c r="J183" s="178"/>
      <c r="L183" s="1060"/>
      <c r="M183" s="1060"/>
      <c r="N183" s="189"/>
      <c r="O183" s="205"/>
    </row>
    <row r="184" spans="2:19" s="169" customFormat="1" ht="25" customHeight="1">
      <c r="B184" s="1042"/>
      <c r="C184" s="1042"/>
      <c r="D184" s="1042"/>
      <c r="E184" s="1042"/>
      <c r="F184" s="1042"/>
      <c r="G184" s="1042"/>
      <c r="H184" s="335"/>
      <c r="J184" s="178"/>
      <c r="L184" s="1060"/>
      <c r="M184" s="1060"/>
      <c r="N184" s="189"/>
      <c r="O184" s="205"/>
    </row>
    <row r="185" spans="2:19" s="169" customFormat="1" ht="25" customHeight="1">
      <c r="B185" s="1043" t="s">
        <v>6</v>
      </c>
      <c r="C185" s="1043"/>
      <c r="D185" s="1043"/>
      <c r="E185" s="1043"/>
      <c r="F185" s="1043"/>
      <c r="H185" s="335"/>
      <c r="J185" s="178"/>
      <c r="L185" s="1060"/>
      <c r="M185" s="1060"/>
      <c r="N185" s="189"/>
      <c r="O185" s="205"/>
    </row>
    <row r="186" spans="2:19" s="169" customFormat="1" ht="25" customHeight="1">
      <c r="B186" s="1027"/>
      <c r="C186" s="1027"/>
      <c r="D186" s="1027"/>
      <c r="E186" s="1027"/>
      <c r="F186" s="1027"/>
      <c r="G186" s="182"/>
      <c r="H186" s="183"/>
      <c r="I186" s="182"/>
      <c r="J186" s="184"/>
      <c r="K186" s="182"/>
      <c r="L186" s="1061"/>
      <c r="M186" s="106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1"/>
      <c r="M187" s="106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2"/>
      <c r="M188" s="106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2" t="s">
        <v>14</v>
      </c>
      <c r="M189" s="101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3">
        <v>0</v>
      </c>
      <c r="M190" s="106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5"/>
      <c r="M193" s="1005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6"/>
      <c r="M194" s="1006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7"/>
      <c r="M195" s="1007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2" t="s">
        <v>14</v>
      </c>
      <c r="M196" s="101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2">
        <f>PS_consult.jun_EUR</f>
        <v>100.303</v>
      </c>
      <c r="M197" s="1022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1">
        <f>PS_consult.sen_EUR</f>
        <v>122.28599999999999</v>
      </c>
      <c r="M198" s="100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2">
        <f>PS_cloudarch.jun_EUR</f>
        <v>113.65299999999999</v>
      </c>
      <c r="M199" s="1002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1">
        <f>PS_cloudarch.sen_EUR</f>
        <v>122.28599999999999</v>
      </c>
      <c r="M200" s="100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2">
        <f>PS_pm.jun_EUR</f>
        <v>101.371</v>
      </c>
      <c r="M201" s="1002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7">
        <f>PS_pm.sen_EUR</f>
        <v>122.28599999999999</v>
      </c>
      <c r="M202" s="1017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5"/>
      <c r="M203" s="1005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6"/>
      <c r="M204" s="1006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7"/>
      <c r="M205" s="1007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2" t="s">
        <v>179</v>
      </c>
      <c r="M206" s="101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3" t="s">
        <v>162</v>
      </c>
      <c r="M207" s="106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4" t="s">
        <v>162</v>
      </c>
      <c r="M208" s="106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5" t="s">
        <v>162</v>
      </c>
      <c r="M209" s="106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6" t="s">
        <v>162</v>
      </c>
      <c r="M210" s="106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7" t="s">
        <v>191</v>
      </c>
      <c r="C217" s="1057"/>
      <c r="D217" s="1057"/>
      <c r="E217" s="1057"/>
      <c r="F217" s="1057"/>
      <c r="G217" s="105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7"/>
      <c r="C218" s="1057"/>
      <c r="D218" s="1057"/>
      <c r="E218" s="1057"/>
      <c r="F218" s="1057"/>
      <c r="G218" s="105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7"/>
      <c r="C219" s="1057"/>
      <c r="D219" s="1057"/>
      <c r="E219" s="1057"/>
      <c r="F219" s="1057"/>
      <c r="G219" s="105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8" t="s">
        <v>6</v>
      </c>
      <c r="C220" s="1058"/>
      <c r="D220" s="1058"/>
      <c r="E220" s="1058"/>
      <c r="F220" s="105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9" t="str">
        <f>SUM(E67)&amp;" GB NVME-Disk"</f>
        <v>0 GB NVME-Disk</v>
      </c>
      <c r="G227" s="105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562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8" t="s">
        <v>667</v>
      </c>
      <c r="C24" s="998"/>
      <c r="D24" s="998"/>
      <c r="E24" s="99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664</v>
      </c>
      <c r="C43" s="650"/>
      <c r="D43" s="650"/>
      <c r="K43" s="842"/>
      <c r="M43" s="664"/>
    </row>
    <row r="44" spans="2:18" ht="25" customHeight="1">
      <c r="B44" s="998" t="s">
        <v>666</v>
      </c>
      <c r="C44" s="998"/>
      <c r="D44" s="998"/>
      <c r="E44" s="998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4" t="s">
        <v>604</v>
      </c>
      <c r="C59" s="984"/>
      <c r="D59" s="984"/>
      <c r="E59" s="984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4" t="s">
        <v>604</v>
      </c>
      <c r="C69" s="984"/>
      <c r="D69" s="984"/>
      <c r="E69" s="984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77" t="s">
        <v>618</v>
      </c>
      <c r="C86" s="977"/>
      <c r="D86" s="977"/>
      <c r="E86" s="977"/>
      <c r="F86" s="977"/>
      <c r="G86" s="977"/>
      <c r="H86" s="672"/>
      <c r="J86" s="674"/>
      <c r="K86" s="833"/>
      <c r="M86" s="664"/>
    </row>
    <row r="87" spans="2:26" s="4" customFormat="1" ht="25" customHeight="1">
      <c r="B87" s="977"/>
      <c r="C87" s="977"/>
      <c r="D87" s="977"/>
      <c r="E87" s="977"/>
      <c r="F87" s="977"/>
      <c r="G87" s="977"/>
      <c r="H87" s="672"/>
      <c r="J87" s="674"/>
      <c r="K87" s="833"/>
      <c r="M87" s="664"/>
    </row>
    <row r="88" spans="2:26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1" t="s">
        <v>225</v>
      </c>
      <c r="E99" s="981"/>
      <c r="F99" s="981"/>
      <c r="G99" s="981"/>
      <c r="H99" s="981"/>
      <c r="I99" s="981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0">
        <f>S3_archive.50_SEK</f>
        <v>350</v>
      </c>
      <c r="E101" s="980"/>
      <c r="F101" s="980"/>
      <c r="G101" s="980"/>
      <c r="H101" s="980"/>
      <c r="I101" s="980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5">
        <f>S3_archive.100_SEK</f>
        <v>270</v>
      </c>
      <c r="E102" s="985"/>
      <c r="F102" s="985"/>
      <c r="G102" s="985"/>
      <c r="H102" s="985"/>
      <c r="I102" s="985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7">
        <f>S3_archive.500_SEK</f>
        <v>200</v>
      </c>
      <c r="E103" s="987"/>
      <c r="F103" s="987"/>
      <c r="G103" s="987"/>
      <c r="H103" s="987"/>
      <c r="I103" s="987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5">
        <f>S3_archive.1000_SEK</f>
        <v>185</v>
      </c>
      <c r="E104" s="985"/>
      <c r="F104" s="985"/>
      <c r="G104" s="985"/>
      <c r="H104" s="985"/>
      <c r="I104" s="985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6" t="str">
        <f>S3_archive.quote_SEK</f>
        <v>Be om offert</v>
      </c>
      <c r="E105" s="986"/>
      <c r="F105" s="986"/>
      <c r="G105" s="986"/>
      <c r="H105" s="986"/>
      <c r="I105" s="986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7" t="s">
        <v>619</v>
      </c>
      <c r="C109" s="977"/>
      <c r="D109" s="977"/>
      <c r="E109" s="977"/>
      <c r="F109" s="977"/>
      <c r="G109" s="977"/>
      <c r="H109" s="672"/>
      <c r="J109" s="674"/>
      <c r="K109" s="833"/>
      <c r="L109" s="674"/>
      <c r="M109" s="664"/>
    </row>
    <row r="110" spans="2:19" s="4" customFormat="1" ht="25" customHeight="1">
      <c r="B110" s="977"/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79" t="s">
        <v>562</v>
      </c>
      <c r="C113" s="979"/>
      <c r="D113" s="979"/>
      <c r="E113" s="979"/>
      <c r="F113" s="979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7" t="s">
        <v>434</v>
      </c>
      <c r="C124" s="977"/>
      <c r="D124" s="977"/>
      <c r="E124" s="977"/>
      <c r="F124" s="977"/>
      <c r="G124" s="977"/>
      <c r="H124" s="672"/>
      <c r="J124" s="674"/>
      <c r="K124" s="833"/>
      <c r="L124" s="674"/>
      <c r="M124" s="664"/>
    </row>
    <row r="125" spans="2:32" s="4" customFormat="1" ht="25" hidden="1" customHeight="1">
      <c r="B125" s="977"/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79" t="s">
        <v>613</v>
      </c>
      <c r="C128" s="979"/>
      <c r="D128" s="979"/>
      <c r="E128" s="979"/>
      <c r="F128" s="979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8" t="s">
        <v>580</v>
      </c>
      <c r="D131" s="988"/>
      <c r="E131" s="988" t="s">
        <v>581</v>
      </c>
      <c r="F131" s="988"/>
      <c r="G131" s="988" t="s">
        <v>285</v>
      </c>
      <c r="H131" s="988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3" t="s">
        <v>533</v>
      </c>
      <c r="D132" s="993"/>
      <c r="E132" s="995" t="s">
        <v>601</v>
      </c>
      <c r="F132" s="995"/>
      <c r="G132" s="989">
        <v>15000</v>
      </c>
      <c r="H132" s="990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4" t="s">
        <v>582</v>
      </c>
      <c r="D133" s="994"/>
      <c r="E133" s="996" t="s">
        <v>583</v>
      </c>
      <c r="F133" s="996"/>
      <c r="G133" s="991">
        <v>24000</v>
      </c>
      <c r="H133" s="992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7" t="s">
        <v>291</v>
      </c>
      <c r="C138" s="977"/>
      <c r="D138" s="977"/>
      <c r="E138" s="977"/>
      <c r="F138" s="977"/>
      <c r="G138" s="977"/>
      <c r="H138" s="672"/>
      <c r="J138" s="674"/>
      <c r="K138" s="833"/>
      <c r="M138" s="664"/>
    </row>
    <row r="139" spans="2:32" s="4" customFormat="1" ht="25" customHeight="1">
      <c r="B139" s="977"/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9" t="s">
        <v>562</v>
      </c>
      <c r="C141" s="979"/>
      <c r="D141" s="979"/>
      <c r="E141" s="979"/>
      <c r="F141" s="979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67"/>
      <c r="C142" s="1067"/>
      <c r="D142" s="1067"/>
      <c r="E142" s="1067"/>
      <c r="F142" s="1067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67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629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67" t="s">
        <v>588</v>
      </c>
      <c r="M175" s="664"/>
      <c r="N175" s="742"/>
      <c r="O175" s="8"/>
    </row>
    <row r="176" spans="2:18" ht="25" customHeight="1">
      <c r="B176" s="134" t="s">
        <v>670</v>
      </c>
      <c r="C176" s="129"/>
      <c r="D176" s="30"/>
      <c r="E176" s="30" t="s">
        <v>669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483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588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588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588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7" t="s">
        <v>299</v>
      </c>
      <c r="C183" s="977"/>
      <c r="D183" s="977"/>
      <c r="E183" s="977"/>
      <c r="F183" s="977"/>
      <c r="G183" s="977"/>
      <c r="H183" s="780"/>
      <c r="J183" s="674"/>
      <c r="K183" s="833"/>
      <c r="M183" s="664"/>
    </row>
    <row r="184" spans="2:20" s="4" customFormat="1" ht="25" customHeight="1">
      <c r="B184" s="977"/>
      <c r="C184" s="977"/>
      <c r="D184" s="977"/>
      <c r="E184" s="977"/>
      <c r="F184" s="977"/>
      <c r="G184" s="977"/>
      <c r="H184" s="780"/>
      <c r="J184" s="674"/>
      <c r="K184" s="833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833"/>
      <c r="M185" s="664"/>
    </row>
    <row r="186" spans="2:20" s="4" customFormat="1" ht="25" customHeight="1">
      <c r="B186" s="978" t="s">
        <v>592</v>
      </c>
      <c r="C186" s="978"/>
      <c r="D186" s="978"/>
      <c r="E186" s="978"/>
      <c r="F186" s="978"/>
      <c r="H186" s="780"/>
      <c r="J186" s="674"/>
      <c r="K186" s="833"/>
      <c r="M186" s="664"/>
    </row>
    <row r="187" spans="2:20" s="4" customFormat="1" ht="25" customHeight="1">
      <c r="B187" s="979" t="s">
        <v>412</v>
      </c>
      <c r="C187" s="979"/>
      <c r="D187" s="979"/>
      <c r="E187" s="979"/>
      <c r="F187" s="979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593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587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588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595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596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587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597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587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634</v>
      </c>
      <c r="C213" s="129"/>
      <c r="D213" s="30" t="s">
        <v>256</v>
      </c>
      <c r="E213" s="40"/>
      <c r="F213" s="30"/>
      <c r="G213" s="770" t="s">
        <v>598</v>
      </c>
      <c r="H213" s="770"/>
      <c r="I213" s="770" t="s">
        <v>307</v>
      </c>
      <c r="J213" s="770"/>
      <c r="K213" s="555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635</v>
      </c>
      <c r="C214" s="130"/>
      <c r="D214" s="38" t="s">
        <v>258</v>
      </c>
      <c r="E214" s="31"/>
      <c r="F214" s="771"/>
      <c r="G214" s="773" t="s">
        <v>598</v>
      </c>
      <c r="H214" s="773"/>
      <c r="I214" s="773" t="s">
        <v>307</v>
      </c>
      <c r="J214" s="773"/>
      <c r="K214" s="554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5" t="s">
        <v>312</v>
      </c>
      <c r="C221" s="975"/>
      <c r="D221" s="975"/>
      <c r="E221" s="975"/>
      <c r="F221" s="975"/>
      <c r="G221" s="975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5"/>
      <c r="C222" s="975"/>
      <c r="D222" s="975"/>
      <c r="E222" s="975"/>
      <c r="F222" s="975"/>
      <c r="G222" s="975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6" t="s">
        <v>562</v>
      </c>
      <c r="C224" s="976"/>
      <c r="D224" s="976"/>
      <c r="E224" s="976"/>
      <c r="F224" s="976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599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495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K65+K74+K56+K39+K83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K95&amp;" TB - S3"&amp;"     /     "&amp;K94&amp;"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K96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K120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578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M3Q/+aweKKrrN6OXMh44sfz5wQPdHPmC9dBuDGhOSB+cku0+VeX1U/9Yb6IhSUzI9Ze0883JgXPCG3Z83qQkaA==" saltValue="py5IZiwVOaXrAczAFkZkPA==" spinCount="100000" sheet="1" selectLockedCells="1"/>
  <mergeCells count="47"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6:F186"/>
    <mergeCell ref="B187:F187"/>
    <mergeCell ref="B221:G223"/>
    <mergeCell ref="B224:F224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3:G185"/>
    <mergeCell ref="C132:D132"/>
    <mergeCell ref="E132:F132"/>
    <mergeCell ref="G132:H132"/>
  </mergeCells>
  <phoneticPr fontId="2" type="noConversion"/>
  <conditionalFormatting sqref="I26:I38 I46:I55 I61:I64 I71:I73 I80:I82 I94:I95 I117:I119 J118:J119 K26:K38 K46:K55 K61:K64 K71:K73 K80:K82 K94:K95 K117:K119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7" max="11" man="1"/>
    <brk id="257" max="13" man="1"/>
    <brk id="279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2" t="str">
        <f>"1 SEK = "&amp;NOK&amp;" NOK"</f>
        <v>1 SEK = 1 NOK</v>
      </c>
      <c r="E11" s="1052"/>
      <c r="F11" s="105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9" t="s">
        <v>265</v>
      </c>
      <c r="C19" s="1049"/>
      <c r="D19" s="1049"/>
      <c r="E19" s="1049"/>
      <c r="F19" s="1049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1" t="s">
        <v>276</v>
      </c>
      <c r="G88" s="1051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8">
        <f>VOLUME_large_SEK</f>
        <v>1.2</v>
      </c>
      <c r="G89" s="1068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0">
        <f>VOLUME_fast_SEK</f>
        <v>3.6</v>
      </c>
      <c r="G90" s="1070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179"/>
      <c r="O95" s="168"/>
    </row>
    <row r="96" spans="2:23" s="169" customFormat="1" ht="25.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179"/>
      <c r="O96" s="168"/>
    </row>
    <row r="97" spans="2:23" s="169" customFormat="1" ht="25.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179"/>
      <c r="O97" s="168"/>
    </row>
    <row r="98" spans="2:23" s="169" customFormat="1" ht="25.5" customHeight="1">
      <c r="B98" s="1071" t="s">
        <v>278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9" t="s">
        <v>279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1" t="s">
        <v>282</v>
      </c>
      <c r="E102" s="1051"/>
      <c r="F102" s="1051"/>
      <c r="G102" s="1051"/>
      <c r="H102" s="1051"/>
      <c r="I102" s="1051"/>
      <c r="J102" s="1051"/>
      <c r="K102" s="1051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9">
        <f>S3_storage.50_SEK</f>
        <v>350</v>
      </c>
      <c r="E103" s="1069"/>
      <c r="F103" s="1069"/>
      <c r="G103" s="1069"/>
      <c r="H103" s="1069"/>
      <c r="I103" s="1069"/>
      <c r="J103" s="1069"/>
      <c r="K103" s="1069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3">
        <f>S3_storage.100_SEK</f>
        <v>270</v>
      </c>
      <c r="E104" s="1073"/>
      <c r="F104" s="1073"/>
      <c r="G104" s="1073"/>
      <c r="H104" s="1073"/>
      <c r="I104" s="1073"/>
      <c r="J104" s="1073"/>
      <c r="K104" s="1073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3">
        <f>S3_storage.1000_SEK</f>
        <v>185</v>
      </c>
      <c r="E106" s="1073"/>
      <c r="F106" s="1073"/>
      <c r="G106" s="1073"/>
      <c r="H106" s="1073"/>
      <c r="I106" s="1073"/>
      <c r="J106" s="1073"/>
      <c r="K106" s="1073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4" t="str">
        <f>S3_storage.quote_SEK</f>
        <v>Be om offert</v>
      </c>
      <c r="E107" s="1074"/>
      <c r="F107" s="1074"/>
      <c r="G107" s="1074"/>
      <c r="H107" s="1074"/>
      <c r="I107" s="1074"/>
      <c r="J107" s="1074"/>
      <c r="K107" s="1074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2" t="s">
        <v>86</v>
      </c>
      <c r="C116" s="1042"/>
      <c r="D116" s="1042"/>
      <c r="E116" s="1042"/>
      <c r="F116" s="1042"/>
      <c r="G116" s="1042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2"/>
      <c r="C117" s="1042"/>
      <c r="D117" s="1042"/>
      <c r="E117" s="1042"/>
      <c r="F117" s="1042"/>
      <c r="G117" s="1042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2"/>
      <c r="C118" s="1042"/>
      <c r="D118" s="1042"/>
      <c r="E118" s="1042"/>
      <c r="F118" s="1042"/>
      <c r="G118" s="1042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283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9" t="s">
        <v>284</v>
      </c>
      <c r="C120" s="1049"/>
      <c r="D120" s="1049"/>
      <c r="E120" s="1049"/>
      <c r="F120" s="1049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1" t="s">
        <v>285</v>
      </c>
      <c r="D123" s="1051"/>
      <c r="E123" s="131" t="s">
        <v>267</v>
      </c>
      <c r="F123" s="1051" t="s">
        <v>276</v>
      </c>
      <c r="G123" s="1051"/>
      <c r="H123" s="266" t="s">
        <v>90</v>
      </c>
      <c r="I123" s="265"/>
      <c r="J123" s="1026" t="s">
        <v>286</v>
      </c>
      <c r="K123" s="1026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5">
        <f>BAAS_on.demand_SEK</f>
        <v>2.4500000000000002</v>
      </c>
      <c r="G124" s="1076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7">
        <f>BAAS_small_SEK</f>
        <v>1.75</v>
      </c>
      <c r="G125" s="1078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9">
        <f>BAAS_large_SEK</f>
        <v>0.92</v>
      </c>
      <c r="G126" s="1080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2" t="s">
        <v>291</v>
      </c>
      <c r="C137" s="1042"/>
      <c r="D137" s="1042"/>
      <c r="E137" s="1042"/>
      <c r="F137" s="1042"/>
      <c r="G137" s="1042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2"/>
      <c r="C138" s="1042"/>
      <c r="D138" s="1042"/>
      <c r="E138" s="1042"/>
      <c r="F138" s="1042"/>
      <c r="G138" s="1042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2"/>
      <c r="C139" s="1042"/>
      <c r="D139" s="1042"/>
      <c r="E139" s="1042"/>
      <c r="F139" s="1042"/>
      <c r="G139" s="1042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9" t="s">
        <v>284</v>
      </c>
      <c r="C140" s="1049"/>
      <c r="D140" s="1049"/>
      <c r="E140" s="1049"/>
      <c r="F140" s="1049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7"/>
      <c r="C141" s="1027"/>
      <c r="D141" s="1027"/>
      <c r="E141" s="1027"/>
      <c r="F141" s="102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2" t="s">
        <v>299</v>
      </c>
      <c r="C176" s="1042"/>
      <c r="D176" s="1042"/>
      <c r="E176" s="1042"/>
      <c r="F176" s="1042"/>
      <c r="G176" s="1042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2"/>
      <c r="C177" s="1042"/>
      <c r="D177" s="1042"/>
      <c r="E177" s="1042"/>
      <c r="F177" s="1042"/>
      <c r="G177" s="1042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2"/>
      <c r="C178" s="1042"/>
      <c r="D178" s="1042"/>
      <c r="E178" s="1042"/>
      <c r="F178" s="1042"/>
      <c r="G178" s="1042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9" t="s">
        <v>284</v>
      </c>
      <c r="C179" s="1049"/>
      <c r="D179" s="1049"/>
      <c r="E179" s="1049"/>
      <c r="F179" s="1049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7"/>
      <c r="C180" s="1027"/>
      <c r="D180" s="1027"/>
      <c r="E180" s="1027"/>
      <c r="F180" s="102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7" t="s">
        <v>312</v>
      </c>
      <c r="C211" s="1057"/>
      <c r="D211" s="1057"/>
      <c r="E211" s="1057"/>
      <c r="F211" s="1057"/>
      <c r="G211" s="105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7"/>
      <c r="C212" s="1057"/>
      <c r="D212" s="1057"/>
      <c r="E212" s="1057"/>
      <c r="F212" s="1057"/>
      <c r="G212" s="105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7"/>
      <c r="C213" s="1057"/>
      <c r="D213" s="1057"/>
      <c r="E213" s="1057"/>
      <c r="F213" s="1057"/>
      <c r="G213" s="105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1" t="s">
        <v>313</v>
      </c>
      <c r="C214" s="1081"/>
      <c r="D214" s="1081"/>
      <c r="E214" s="1081"/>
      <c r="F214" s="108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2" t="str">
        <f>SUM(E67)&amp;" GB NVME-Disk"</f>
        <v>0 GB NVME-Disk</v>
      </c>
      <c r="G221" s="108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7" t="s">
        <v>205</v>
      </c>
      <c r="C19" s="1027"/>
      <c r="D19" s="1027"/>
      <c r="E19" s="1027"/>
      <c r="F19" s="102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1" t="s">
        <v>221</v>
      </c>
      <c r="G98" s="1051"/>
      <c r="H98" s="1026"/>
      <c r="I98" s="1026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8">
        <f>VOLUME_large_SEK</f>
        <v>1.2</v>
      </c>
      <c r="G99" s="1068"/>
      <c r="H99" s="1095"/>
      <c r="I99" s="1095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0">
        <f>VOLUME_fast_SEK</f>
        <v>3.6</v>
      </c>
      <c r="G100" s="1070"/>
      <c r="H100" s="1096"/>
      <c r="I100" s="1096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2" t="s">
        <v>343</v>
      </c>
      <c r="C105" s="1042"/>
      <c r="D105" s="1042"/>
      <c r="E105" s="1042"/>
      <c r="F105" s="1042"/>
      <c r="G105" s="1042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2"/>
      <c r="C106" s="1042"/>
      <c r="D106" s="1042"/>
      <c r="E106" s="1042"/>
      <c r="F106" s="1042"/>
      <c r="G106" s="1042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2"/>
      <c r="C107" s="1042"/>
      <c r="D107" s="1042"/>
      <c r="E107" s="1042"/>
      <c r="F107" s="1042"/>
      <c r="G107" s="1042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8" t="s">
        <v>223</v>
      </c>
      <c r="C108" s="1048"/>
      <c r="D108" s="1048"/>
      <c r="E108" s="1048"/>
      <c r="F108" s="1048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9" t="s">
        <v>344</v>
      </c>
      <c r="C109" s="1049"/>
      <c r="D109" s="1049"/>
      <c r="E109" s="1049"/>
      <c r="F109" s="1049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1" t="s">
        <v>345</v>
      </c>
      <c r="E112" s="1051"/>
      <c r="F112" s="1051"/>
      <c r="G112" s="1051"/>
      <c r="H112" s="1051"/>
      <c r="I112" s="1051"/>
      <c r="J112" s="1051"/>
      <c r="K112" s="1051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2">
        <f>S3_storage.50_SUNET</f>
        <v>0.35</v>
      </c>
      <c r="E113" s="1092"/>
      <c r="F113" s="1069"/>
      <c r="G113" s="1069"/>
      <c r="H113" s="1069"/>
      <c r="I113" s="1069"/>
      <c r="J113" s="1069"/>
      <c r="K113" s="1069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1">
        <f>S3_storage.100_SUNET</f>
        <v>0.19</v>
      </c>
      <c r="E114" s="1091"/>
      <c r="F114" s="1073"/>
      <c r="G114" s="1073"/>
      <c r="H114" s="1073"/>
      <c r="I114" s="1073"/>
      <c r="J114" s="1073"/>
      <c r="K114" s="1073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0">
        <f>S3_storage.500_SUNET</f>
        <v>0.1</v>
      </c>
      <c r="E115" s="1090"/>
      <c r="F115" s="1072"/>
      <c r="G115" s="1072"/>
      <c r="H115" s="1072"/>
      <c r="I115" s="1072"/>
      <c r="J115" s="1072"/>
      <c r="K115" s="1072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1">
        <f>S3_storage.1000_SUNET</f>
        <v>0.06</v>
      </c>
      <c r="E116" s="1091"/>
      <c r="F116" s="1073"/>
      <c r="G116" s="1073"/>
      <c r="H116" s="1073"/>
      <c r="I116" s="1073"/>
      <c r="J116" s="1073"/>
      <c r="K116" s="1073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7" t="str">
        <f>S3_storage.quote_SUNET</f>
        <v>Be om offert</v>
      </c>
      <c r="E117" s="1087"/>
      <c r="F117" s="1074"/>
      <c r="G117" s="1074"/>
      <c r="H117" s="1074"/>
      <c r="I117" s="1074"/>
      <c r="J117" s="1074"/>
      <c r="K117" s="1074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1" t="s">
        <v>221</v>
      </c>
      <c r="G120" s="1051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8" cm="1">
        <f t="array" ref="F121">_xlfn.IFS(H121&lt;=299,D113,H121&lt;1000,D114,H121&lt;2000,D115,H121&gt;=2000,D116)</f>
        <v>0.35</v>
      </c>
      <c r="G121" s="1089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3">
        <f>ROUNDUP((H121*1000)*F121,2)</f>
        <v>0</v>
      </c>
      <c r="N121" s="1093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4">
        <f>SUM(M121)</f>
        <v>0</v>
      </c>
      <c r="N122" s="1094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2" t="s">
        <v>86</v>
      </c>
      <c r="C126" s="1042"/>
      <c r="D126" s="1042"/>
      <c r="E126" s="1042"/>
      <c r="F126" s="1042"/>
      <c r="G126" s="1042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2"/>
      <c r="C127" s="1042"/>
      <c r="D127" s="1042"/>
      <c r="E127" s="1042"/>
      <c r="F127" s="1042"/>
      <c r="G127" s="1042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2"/>
      <c r="C128" s="1042"/>
      <c r="D128" s="1042"/>
      <c r="E128" s="1042"/>
      <c r="F128" s="1042"/>
      <c r="G128" s="1042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6" t="s">
        <v>87</v>
      </c>
      <c r="C129" s="1056"/>
      <c r="D129" s="1056"/>
      <c r="E129" s="1056"/>
      <c r="F129" s="105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7" t="s">
        <v>226</v>
      </c>
      <c r="C130" s="1027"/>
      <c r="D130" s="1027"/>
      <c r="E130" s="1027"/>
      <c r="F130" s="102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1" t="s">
        <v>228</v>
      </c>
      <c r="D133" s="1051"/>
      <c r="E133" s="131" t="s">
        <v>210</v>
      </c>
      <c r="F133" s="1051" t="s">
        <v>221</v>
      </c>
      <c r="G133" s="1051"/>
      <c r="H133" s="266" t="s">
        <v>90</v>
      </c>
      <c r="I133" s="265"/>
      <c r="J133" s="1026" t="s">
        <v>229</v>
      </c>
      <c r="K133" s="1026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5">
        <f>BAAS_on.demand_SEK</f>
        <v>2.4500000000000002</v>
      </c>
      <c r="G134" s="1076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7">
        <f>BAAS_small_SEK</f>
        <v>1.75</v>
      </c>
      <c r="G135" s="1078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9">
        <f>BAAS_large_SEK</f>
        <v>0.92</v>
      </c>
      <c r="G136" s="1080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7" t="s">
        <v>259</v>
      </c>
      <c r="C150" s="1057"/>
      <c r="D150" s="1057"/>
      <c r="E150" s="1057"/>
      <c r="F150" s="1057"/>
      <c r="G150" s="105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7"/>
      <c r="C151" s="1057"/>
      <c r="D151" s="1057"/>
      <c r="E151" s="1057"/>
      <c r="F151" s="1057"/>
      <c r="G151" s="105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7"/>
      <c r="C152" s="1057"/>
      <c r="D152" s="1057"/>
      <c r="E152" s="1057"/>
      <c r="F152" s="1057"/>
      <c r="G152" s="105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1" t="s">
        <v>226</v>
      </c>
      <c r="C153" s="1081"/>
      <c r="D153" s="1081"/>
      <c r="E153" s="1081"/>
      <c r="F153" s="108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4" t="s">
        <v>196</v>
      </c>
      <c r="C160" s="1084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5" t="s">
        <v>197</v>
      </c>
      <c r="C161" s="1085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6" t="s">
        <v>199</v>
      </c>
      <c r="C163" s="1086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3">
        <f>SUM(M160:M163)</f>
        <v>0</v>
      </c>
      <c r="K164" s="1083"/>
      <c r="L164" s="1083"/>
      <c r="M164" s="1083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2023-07-31T14:01:57Z</cp:lastPrinted>
  <dcterms:created xsi:type="dcterms:W3CDTF">2015-05-31T16:02:08Z</dcterms:created>
  <dcterms:modified xsi:type="dcterms:W3CDTF">2023-07-31T14:08:40Z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